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30.xml" ContentType="application/vnd.openxmlformats-officedocument.spreadsheetml.table+xml"/>
  <Override PartName="/xl/tables/table31.xml" ContentType="application/vnd.openxmlformats-officedocument.spreadsheetml.table+xml"/>
  <Override PartName="/xl/pivotTables/pivotTable1.xml" ContentType="application/vnd.openxmlformats-officedocument.spreadsheetml.pivotTable+xml"/>
  <Override PartName="/xl/tables/table32.xml" ContentType="application/vnd.openxmlformats-officedocument.spreadsheetml.table+xml"/>
  <Override PartName="/xl/queryTables/queryTable2.xml" ContentType="application/vnd.openxmlformats-officedocument.spreadsheetml.queryTable+xml"/>
  <Override PartName="/xl/tables/table33.xml" ContentType="application/vnd.openxmlformats-officedocument.spreadsheetml.table+xml"/>
  <Override PartName="/xl/queryTables/queryTable3.xml" ContentType="application/vnd.openxmlformats-officedocument.spreadsheetml.queryTable+xml"/>
  <Override PartName="/xl/tables/table34.xml" ContentType="application/vnd.openxmlformats-officedocument.spreadsheetml.table+xml"/>
  <Override PartName="/xl/queryTables/queryTable4.xml" ContentType="application/vnd.openxmlformats-officedocument.spreadsheetml.queryTab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thumbnail" Target="docProps/thumbnail.emf"/><Relationship Id="rId2" Type="http://schemas.microsoft.com/office/2011/relationships/webextensiontaskpanes" Target="xl/webextensions/taskpanes.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StyledWorkbook" hidePivotFieldList="1"/>
  <mc:AlternateContent xmlns:mc="http://schemas.openxmlformats.org/markup-compatibility/2006">
    <mc:Choice Requires="x15">
      <x15ac:absPath xmlns:x15ac="http://schemas.microsoft.com/office/spreadsheetml/2010/11/ac" url="J:\Excel Tools\"/>
    </mc:Choice>
  </mc:AlternateContent>
  <xr:revisionPtr revIDLastSave="0" documentId="13_ncr:1_{930710DB-0068-419C-94A8-895A6F2A7230}" xr6:coauthVersionLast="47" xr6:coauthVersionMax="47" xr10:uidLastSave="{00000000-0000-0000-0000-000000000000}"/>
  <bookViews>
    <workbookView xWindow="-28920" yWindow="-120" windowWidth="29040" windowHeight="15720" firstSheet="2" activeTab="7" xr2:uid="{E27018B4-947A-4CB1-A09A-7894081C8AEF}"/>
  </bookViews>
  <sheets>
    <sheet name="Key" sheetId="2" state="hidden" r:id="rId1"/>
    <sheet name="List" sheetId="1" state="hidden" r:id="rId2"/>
    <sheet name="TQty &amp; SQty" sheetId="3" r:id="rId3"/>
    <sheet name="AddSheet" sheetId="31" r:id="rId4"/>
    <sheet name="ITSecondTable" sheetId="27" r:id="rId5"/>
    <sheet name="Duplicates" sheetId="28" r:id="rId6"/>
    <sheet name="Storage Inv (IQty)" sheetId="13" r:id="rId7"/>
    <sheet name="ActiveDirectory" sheetId="30" r:id="rId8"/>
    <sheet name="VNCTable" sheetId="33" r:id="rId9"/>
    <sheet name="IntuneData" sheetId="34" r:id="rId10"/>
  </sheets>
  <functionGroups builtInGroupCount="19"/>
  <definedNames>
    <definedName name="_xlcn.WorksheetConnection_ITInventory.xlsmActiveDirectoryComputers1" hidden="1">ActiveDirectoryComputers[]</definedName>
    <definedName name="_xlcn.WorksheetConnection_ITInventory.xlsmITEquipmentTable1" hidden="1">ITEquipmentTable[]</definedName>
    <definedName name="_xleta.T" hidden="1" xlm="1">#NAME?</definedName>
    <definedName name="_xleta.TYPE" hidden="1" xlm="1">#NAME?</definedName>
    <definedName name="_xleta.XLOOKUP" hidden="1" xlm="1">#NAME?</definedName>
    <definedName name="_xlpm.adjcount" hidden="1" xlm="1">#NAME?</definedName>
    <definedName name="_xlpm.b" hidden="1" xlm="1">#NAME?</definedName>
    <definedName name="_xlpm.base" hidden="1" xlm="1">#NAME?</definedName>
    <definedName name="_xlpm.cact" hidden="1" xlm="1">#NAME?</definedName>
    <definedName name="_xlpm.cell" hidden="1" xlm="1">#NAME?</definedName>
    <definedName name="_xlpm.checkassign" hidden="1" xlm="1">#NAME?</definedName>
    <definedName name="_xlpm.checkname" hidden="1" xlm="1">#NAME?</definedName>
    <definedName name="_xlpm.ched" hidden="1" xlm="1">#NAME?</definedName>
    <definedName name="_xlpm.chk" hidden="1" xlm="1">#NAME?</definedName>
    <definedName name="_xlpm.chkk" hidden="1" xlm="1">#NAME?</definedName>
    <definedName name="_xlpm.chky" hidden="1" xlm="1">#NAME?</definedName>
    <definedName name="_xlpm.ckey" hidden="1" xlm="1">#NAME?</definedName>
    <definedName name="_xlpm.col" hidden="1" xlm="1">#NAME?</definedName>
    <definedName name="_xlpm.countb" hidden="1" xlm="1">#NAME?</definedName>
    <definedName name="_xlpm.emp" hidden="1" xlm="1">#NAME?</definedName>
    <definedName name="_xlpm.err_dupeip" hidden="1" xlm="1">#NAME?</definedName>
    <definedName name="_xlpm.err_dupename" hidden="1" xlm="1">#NAME?</definedName>
    <definedName name="_xlpm.err_dupeserial" hidden="1" xlm="1">#NAME?</definedName>
    <definedName name="_xlpm.f" hidden="1" xlm="1">#NAME?</definedName>
    <definedName name="_xlpm.filled" hidden="1" xlm="1">#NAME?</definedName>
    <definedName name="_xlpm.filter_ip" hidden="1" xlm="1">#NAME?</definedName>
    <definedName name="_xlpm.filter_name" hidden="1" xlm="1">#NAME?</definedName>
    <definedName name="_xlpm.filter_serial" hidden="1" xlm="1">#NAME?</definedName>
    <definedName name="_xlpm.h" hidden="1" xlm="1">#NAME?</definedName>
    <definedName name="_xlpm.ha" hidden="1" xlm="1">#NAME?</definedName>
    <definedName name="_xlpm.has" hidden="1" xlm="1">#NAME?</definedName>
    <definedName name="_xlpm.hasN" hidden="1" xlm="1">#NAME?</definedName>
    <definedName name="_xlpm.hasNo" hidden="1" xlm="1">#NAME?</definedName>
    <definedName name="_xlpm.hasNoO" hidden="1" xlm="1">#NAME?</definedName>
    <definedName name="_xlpm.hasNoOS" hidden="1" xlm="1">#NAME?</definedName>
    <definedName name="_xlpm.i" hidden="1" xlm="1">#NAME?</definedName>
    <definedName name="_xlpm.ignorename" hidden="1" xlm="1">#NAME?</definedName>
    <definedName name="_xlpm.instorage" hidden="1" xlm="1">#NAME?</definedName>
    <definedName name="_xlpm.IQTY" hidden="1" xlm="1">#NAME?</definedName>
    <definedName name="_xlpm.is" hidden="1" xlm="1">#NAME?</definedName>
    <definedName name="_xlpm.isAlwaysNA" hidden="1" xlm="1">#NAME?</definedName>
    <definedName name="_xlpm.isN" hidden="1" xlm="1">#NAME?</definedName>
    <definedName name="_xlpm.isNo" hidden="1" xlm="1">#NAME?</definedName>
    <definedName name="_xlpm.isNot" hidden="1" xlm="1">#NAME?</definedName>
    <definedName name="_xlpm.isNotP" hidden="1" xlm="1">#NAME?</definedName>
    <definedName name="_xlpm.isNotPC" hidden="1" xlm="1">#NAME?</definedName>
    <definedName name="_xlpm.ispc" hidden="1" xlm="1">#NAME?</definedName>
    <definedName name="_xlpm.loc" hidden="1" xlm="1">#NAME?</definedName>
    <definedName name="_xlpm.look" hidden="1" xlm="1">#NAME?</definedName>
    <definedName name="_xlpm.needsrepair" hidden="1" xlm="1">#NAME?</definedName>
    <definedName name="_xlpm.noblanks" hidden="1" xlm="1">#NAME?</definedName>
    <definedName name="_xlpm.o" hidden="1" xlm="1">#NAME?</definedName>
    <definedName name="_xlpm.okcondition" hidden="1" xlm="1">#NAME?</definedName>
    <definedName name="_xlpm.ov" hidden="1" xlm="1">#NAME?</definedName>
    <definedName name="_xlpm.ovn" hidden="1" xlm="1">#NAME?</definedName>
    <definedName name="_xlpm.p" hidden="1" xlm="1">#NAME?</definedName>
    <definedName name="_xlpm.s" hidden="1" xlm="1">#NAME?</definedName>
    <definedName name="_xlpm.SQ" hidden="1" xlm="1">#NAME?</definedName>
    <definedName name="_xlpm.SQT" hidden="1" xlm="1">#NAME?</definedName>
    <definedName name="_xlpm.SQTy" hidden="1" xlm="1">#NAME?</definedName>
    <definedName name="_xlpm.ss" hidden="1" xlm="1">#NAME?</definedName>
    <definedName name="_xlpm.stat0" hidden="1" xlm="1">#NAME?</definedName>
    <definedName name="_xlpm.stat1" hidden="1" xlm="1">#NAME?</definedName>
    <definedName name="_xlpm.stat2" hidden="1" xlm="1">#NAME?</definedName>
    <definedName name="_xlpm.stat3" hidden="1" xlm="1">#NAME?</definedName>
    <definedName name="_xlpm.stat4" hidden="1" xlm="1">#NAME?</definedName>
    <definedName name="_xlpm.stat5" hidden="1" xlm="1">#NAME?</definedName>
    <definedName name="_xlpm.stat6" hidden="1" xlm="1">#NAME?</definedName>
    <definedName name="_xlpm.stat7" hidden="1" xlm="1">#NAME?</definedName>
    <definedName name="_xlpm.stat8" hidden="1" xlm="1">#NAME?</definedName>
    <definedName name="_xlpm.stat9" hidden="1" xlm="1">#NAME?</definedName>
    <definedName name="_xlpm.step1" hidden="1" xlm="1">#NAME?</definedName>
    <definedName name="_xlpm.step2" hidden="1" xlm="1">#NAME?</definedName>
    <definedName name="_xlpm.step3" hidden="1" xlm="1">#NAME?</definedName>
    <definedName name="_xlpm.step4" hidden="1" xlm="1">#NAME?</definedName>
    <definedName name="_xlpm.step5" hidden="1" xlm="1">#NAME?</definedName>
    <definedName name="_xlpm.step6" hidden="1" xlm="1">#NAME?</definedName>
    <definedName name="_xlpm.step7" hidden="1" xlm="1">#NAME?</definedName>
    <definedName name="_xlpm.step8" hidden="1" xlm="1">#NAME?</definedName>
    <definedName name="_xlpm.tbm_blank" hidden="1" xlm="1">#NAME?</definedName>
    <definedName name="_xlpm.total" hidden="1" xlm="1">#NAME?</definedName>
    <definedName name="_xlpm.use" hidden="1" xlm="1">#NAME?</definedName>
    <definedName name="BoolName">BoolTable[Bool]</definedName>
    <definedName name="BoolYes">BoolValueTable[Y]</definedName>
    <definedName name="CellFontSize_Override">SizeOverrideTable[Cells]</definedName>
    <definedName name="CG_ThisField">1</definedName>
    <definedName name="CG_Unused">0</definedName>
    <definedName name="CG_Value">2</definedName>
    <definedName name="ChangeNormalSize_Override">SizeOverrideTable[ChgNorm]</definedName>
    <definedName name="DeviceTypes">DeviceTypeTable[Type]</definedName>
    <definedName name="Employees">EmployeeTable[name]</definedName>
    <definedName name="EquipmentKeyList">ITEquipmentTable[Key]</definedName>
    <definedName name="EquipmentTableRequiredCells">ITEquipmentTable[[Type]:[Storage Location]]</definedName>
    <definedName name="ExternalData_1" localSheetId="7" hidden="1">ActiveDirectory!$A$2:$F$392</definedName>
    <definedName name="ExternalData_1" localSheetId="2" hidden="1">'TQty &amp; SQty'!$X$5:$Z$415</definedName>
    <definedName name="ExternalData_2" localSheetId="8" hidden="1">VNCTable!$A$2:$K$171</definedName>
    <definedName name="ExternalData_3" localSheetId="9" hidden="1">IntuneData!$A$1:$M$109</definedName>
    <definedName name="HeaderFontSize_Override">SizeOverrideTable[Headers]</definedName>
    <definedName name="ITEquipmentLocations">ITEquipmentLocTable[Name]</definedName>
    <definedName name="ITTCount">'TQty &amp; SQty'!$B$3</definedName>
    <definedName name="NextID">'TQty &amp; SQty'!$D$3</definedName>
    <definedName name="_xlnm.Print_Titles" localSheetId="7">ActiveDirectory!$K:$K,ActiveDirectory!$1:$3</definedName>
    <definedName name="QtyBlankCount">'Storage Inv (IQty)'!$P$3</definedName>
    <definedName name="QtyNonMatchCount">'Storage Inv (IQty)'!$O$3</definedName>
    <definedName name="RepairCodes">RepairCodeTable[Code]</definedName>
    <definedName name="SerialTypes">SerialTypeTable[Type]</definedName>
    <definedName name="SetsFont_Override">SizeOverrideTable[Sets Font]</definedName>
    <definedName name="SetsFormat_Override">SizeOverrideTable[Sets Fmt]</definedName>
    <definedName name="Slicer_Assigned_Location">#N/A</definedName>
    <definedName name="Slicer_Brand">#N/A</definedName>
    <definedName name="Slicer_Condition">#N/A</definedName>
    <definedName name="Slicer_Model">#N/A</definedName>
    <definedName name="Slicer_NeedsRepair">#N/A</definedName>
    <definedName name="Slicer_Notes">#N/A</definedName>
    <definedName name="Slicer_OS_Version">#N/A</definedName>
    <definedName name="Slicer_Storage_Location">#N/A</definedName>
    <definedName name="Slicer_Type">#N/A</definedName>
    <definedName name="StyleNames">KeyTable[StyleName]</definedName>
    <definedName name="TitleFontSize_Override">SizeOverrideTable[Cell Title]</definedName>
  </definedNames>
  <calcPr calcId="191028"/>
  <pivotCaches>
    <pivotCache cacheId="9" r:id="rId11"/>
  </pivotCaches>
  <webPublishing allowPng="1" targetScreenSize="1280x1024" dpi="120" codePage="6500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2"/>
        <x14:slicerCache r:id="rId13"/>
        <x14:slicerCache r:id="rId14"/>
        <x14:slicerCache r:id="rId15"/>
        <x14:slicerCache r:id="rId16"/>
        <x14:slicerCache r:id="rId17"/>
        <x14:slicerCache r:id="rId18"/>
        <x14:slicerCache r:id="rId19"/>
        <x14:slicerCache r:id="rId20"/>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eviceTypes_fb42a75b-b03b-4b00-a19f-22666ea997eb" name="DeviceTypes" connection="Query - DeviceTypes"/>
          <x15:modelTable id="ModelCount_8cb52f9f-cb45-45a9-8377-7ceccd15c2b8" name="ModelCount" connection="Query - ModelCount"/>
          <x15:modelTable id="BrandCount_4cc371f5-973b-4be6-bd52-68494a7052ff" name="BrandCount" connection="Query - BrandCount"/>
          <x15:modelTable id="ITSecondTable_1df60093-0633-47fe-8573-677748f2aef0" name="ITSecondTable" connection="Query - ITSecondTable"/>
          <x15:modelTable id="ActiveDirectoryComputers_d2d2e822-cc89-46c0-b425-a450203f891e" name="ActiveDirectoryComputers" connection="Query - ActiveDirectoryComputers"/>
          <x15:modelTable id="EmployeeTable_f9645c11-351f-4953-b30b-4a5e6ec01d54" name="EmployeeTable" connection="Query - EmployeeTable"/>
          <x15:modelTable id="ActualClients_8f0da49b-075a-4369-bc55-19f3b077dbdd" name="ActualClients" connection="Query - ActualClients"/>
          <x15:modelTable id="UnusedIndices_178041b1-a7bc-4f00-82fa-f59a0306519d" name="UnusedIndices" connection="Query - UnusedIndices"/>
          <x15:modelTable id="RemoveFromAD_dbf0ddf7-c071-4a4a-8854-043810fa21c1" name="RemoveFromAD" connection="Query - RemoveFromAD"/>
          <x15:modelTable id="UnusedIndexQty_1fa7268d-21e8-4db9-bb12-22cad43bba18" name="UnusedIndexQty" connection="Query - UnusedIndexQty"/>
          <x15:modelTable id="VNCTable_a8625306-6358-403d-a41a-ab8f30e025ff" name="VNCTable" connection="Query - VNCTable"/>
          <x15:modelTable id="IntuneData_761a01a8-98af-449c-966a-1bd1e1d76f3c" name="IntuneData" connection="Query - IntuneData"/>
          <x15:modelTable id="ITEquipmentTable" name="ITEquipmentTable" connection="WorksheetConnection_IT Inventory.xlsm!ITEquipmentTable"/>
          <x15:modelTable id="ActiveDirectoryComputers 1" name="ActiveDirectoryComputers 1" connection="WorksheetConnection_IT Inventory.xlsm!ActiveDirectoryComputers"/>
        </x15:modelTables>
        <x15:modelRelationships>
          <x15:modelRelationship fromTable="ITEquipmentTable" fromColumn="Name" toTable="ActiveDirectoryComputers 1" toColumn="computer.cn"/>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01" i="13" l="1"/>
  <c r="L101" i="13"/>
  <c r="M101" i="13"/>
  <c r="P101" i="13" s="1"/>
  <c r="N101" i="13"/>
  <c r="O101" i="13" s="1"/>
  <c r="Q101" i="13"/>
  <c r="R101" i="13"/>
  <c r="G772" i="3"/>
  <c r="I772" i="27"/>
  <c r="K772" i="27"/>
  <c r="L772" i="27"/>
  <c r="M772" i="27"/>
  <c r="L772" i="3"/>
  <c r="N772" i="3"/>
  <c r="O772" i="3" a="1"/>
  <c r="O772" i="3" s="1"/>
  <c r="P772" i="3"/>
  <c r="I771" i="27"/>
  <c r="K771" i="27"/>
  <c r="L771" i="27"/>
  <c r="M771" i="27"/>
  <c r="G6" i="30" a="1"/>
  <c r="G12" i="30" a="1"/>
  <c r="G18" i="30" a="1"/>
  <c r="G24" i="30" a="1"/>
  <c r="G30" i="30" a="1"/>
  <c r="G36" i="30" a="1"/>
  <c r="G42" i="30" a="1"/>
  <c r="G48" i="30" a="1"/>
  <c r="G54" i="30" a="1"/>
  <c r="G60" i="30" a="1"/>
  <c r="G66" i="30" a="1"/>
  <c r="G92" i="30" a="1"/>
  <c r="G68" i="30" a="1"/>
  <c r="G76" i="30" a="1"/>
  <c r="G83" i="30" a="1"/>
  <c r="G127" i="30" a="1"/>
  <c r="G133" i="30" a="1"/>
  <c r="G139" i="30" a="1"/>
  <c r="G98" i="30" a="1"/>
  <c r="G104" i="30" a="1"/>
  <c r="G110" i="30" a="1"/>
  <c r="G121" i="30" a="1"/>
  <c r="G126" i="30" a="1"/>
  <c r="G142" i="30" a="1"/>
  <c r="G148" i="30" a="1"/>
  <c r="G153" i="30" a="1"/>
  <c r="G160" i="30" a="1"/>
  <c r="G230" i="30" a="1"/>
  <c r="G196" i="30" a="1"/>
  <c r="G181" i="30" a="1"/>
  <c r="G14" i="30" a="1"/>
  <c r="G20" i="30" a="1"/>
  <c r="G26" i="30" a="1"/>
  <c r="G32" i="30" a="1"/>
  <c r="G38" i="30" a="1"/>
  <c r="G44" i="30" a="1"/>
  <c r="G50" i="30" a="1"/>
  <c r="G56" i="30" a="1"/>
  <c r="G62" i="30" a="1"/>
  <c r="G70" i="30" a="1"/>
  <c r="G82" i="30" a="1"/>
  <c r="G71" i="30" a="1"/>
  <c r="G78" i="30" a="1"/>
  <c r="G87" i="30" a="1"/>
  <c r="G129" i="30" a="1"/>
  <c r="G135" i="30" a="1"/>
  <c r="G94" i="30" a="1"/>
  <c r="G100" i="30" a="1"/>
  <c r="G106" i="30" a="1"/>
  <c r="G8" i="30" a="1"/>
  <c r="G5" i="30" a="1"/>
  <c r="G15" i="30" a="1"/>
  <c r="G23" i="30" a="1"/>
  <c r="G33" i="30" a="1"/>
  <c r="G41" i="30" a="1"/>
  <c r="G51" i="30" a="1"/>
  <c r="G59" i="30" a="1"/>
  <c r="G73" i="30" a="1"/>
  <c r="G4" i="30" a="1"/>
  <c r="G79" i="30" a="1"/>
  <c r="G90" i="30" a="1"/>
  <c r="G136" i="30" a="1"/>
  <c r="G97" i="30" a="1"/>
  <c r="G107" i="30" a="1"/>
  <c r="G122" i="30" a="1"/>
  <c r="G145" i="30" a="1"/>
  <c r="G161" i="30" a="1"/>
  <c r="G237" i="30" a="1"/>
  <c r="G206" i="30" a="1"/>
  <c r="G215" i="30" a="1"/>
  <c r="G223" i="30" a="1"/>
  <c r="G282" i="30" a="1"/>
  <c r="G247" i="30" a="1"/>
  <c r="G256" i="30" a="1"/>
  <c r="G263" i="30" a="1"/>
  <c r="G270" i="30" a="1"/>
  <c r="G173" i="30" a="1"/>
  <c r="G170" i="30" a="1"/>
  <c r="G183" i="30" a="1"/>
  <c r="G285" i="30" a="1"/>
  <c r="G300" i="30" a="1"/>
  <c r="G307" i="30" a="1"/>
  <c r="G314" i="30" a="1"/>
  <c r="G321" i="30" a="1"/>
  <c r="G336" i="30" a="1"/>
  <c r="G343" i="30" a="1"/>
  <c r="G350" i="30" a="1"/>
  <c r="G359" i="30" a="1"/>
  <c r="G391" i="30" a="1"/>
  <c r="G368" i="30" a="1"/>
  <c r="G375" i="30" a="1"/>
  <c r="G385" i="30" a="1"/>
  <c r="G376" i="30" a="1"/>
  <c r="G124" i="30" a="1"/>
  <c r="G316" i="30" a="1"/>
  <c r="G27" i="30" a="1"/>
  <c r="G130" i="30" a="1"/>
  <c r="G155" i="30" a="1"/>
  <c r="G258" i="30" a="1"/>
  <c r="G288" i="30" a="1"/>
  <c r="G192" i="30" a="1"/>
  <c r="G274" i="30" a="1"/>
  <c r="G303" i="30" a="1"/>
  <c r="G364" i="30" a="1"/>
  <c r="G304" i="30" a="1"/>
  <c r="G39" i="30" a="1"/>
  <c r="G244" i="30" a="1"/>
  <c r="G188" i="30" a="1"/>
  <c r="G326" i="30" a="1"/>
  <c r="G380" i="30" a="1"/>
  <c r="G168" i="30" a="1"/>
  <c r="G40" i="30" a="1"/>
  <c r="G115" i="30" a="1"/>
  <c r="G123" i="30" a="1"/>
  <c r="G152" i="30" a="1"/>
  <c r="G162" i="30" a="1"/>
  <c r="G180" i="30" a="1"/>
  <c r="G197" i="30" a="1"/>
  <c r="G283" i="30" a="1"/>
  <c r="G240" i="30" a="1"/>
  <c r="G271" i="30" a="1"/>
  <c r="G278" i="30" a="1"/>
  <c r="G286" i="30" a="1"/>
  <c r="G293" i="30" a="1"/>
  <c r="G322" i="30" a="1"/>
  <c r="G329" i="30" a="1"/>
  <c r="G361" i="30" a="1"/>
  <c r="G384" i="30" a="1"/>
  <c r="G52" i="30" a="1"/>
  <c r="G238" i="30" a="1"/>
  <c r="G209" i="30" a="1"/>
  <c r="G216" i="30" a="1"/>
  <c r="G224" i="30" a="1"/>
  <c r="G241" i="30" a="1"/>
  <c r="G248" i="30" a="1"/>
  <c r="G264" i="30" a="1"/>
  <c r="G279" i="30" a="1"/>
  <c r="G174" i="30" a="1"/>
  <c r="G184" i="30" a="1"/>
  <c r="G294" i="30" a="1"/>
  <c r="G308" i="30" a="1"/>
  <c r="G330" i="30" a="1"/>
  <c r="G344" i="30" a="1"/>
  <c r="G351" i="30" a="1"/>
  <c r="G392" i="30" a="1"/>
  <c r="G163" i="30" a="1"/>
  <c r="G190" i="30" a="1"/>
  <c r="G229" i="30" a="1"/>
  <c r="G272" i="30" a="1"/>
  <c r="G185" i="30" a="1"/>
  <c r="G323" i="30" a="1"/>
  <c r="G362" i="30" a="1"/>
  <c r="G377" i="30" a="1"/>
  <c r="G9" i="30" a="1"/>
  <c r="G45" i="30" a="1"/>
  <c r="G53" i="30" a="1"/>
  <c r="G63" i="30" a="1"/>
  <c r="G91" i="30" a="1"/>
  <c r="G81" i="30" a="1"/>
  <c r="G138" i="30" a="1"/>
  <c r="G117" i="30" a="1"/>
  <c r="G191" i="30" a="1"/>
  <c r="G217" i="30" a="1"/>
  <c r="G242" i="30" a="1"/>
  <c r="G233" i="30" a="1"/>
  <c r="G175" i="30" a="1"/>
  <c r="G302" i="30" a="1"/>
  <c r="G324" i="30" a="1"/>
  <c r="G338" i="30" a="1"/>
  <c r="G363" i="30" a="1"/>
  <c r="G370" i="30" a="1"/>
  <c r="G250" i="30" a="1"/>
  <c r="G243" i="30" a="1"/>
  <c r="G267" i="30" a="1"/>
  <c r="G165" i="30" a="1"/>
  <c r="G296" i="30" a="1"/>
  <c r="G325" i="30" a="1"/>
  <c r="G339" i="30" a="1"/>
  <c r="G354" i="30" a="1"/>
  <c r="G141" i="30" a="1"/>
  <c r="G219" i="30" a="1"/>
  <c r="G178" i="30" a="1"/>
  <c r="G340" i="30" a="1"/>
  <c r="G360" i="30" a="1"/>
  <c r="G11" i="30" a="1"/>
  <c r="G57" i="30" a="1"/>
  <c r="G75" i="30" a="1"/>
  <c r="G95" i="30" a="1"/>
  <c r="G158" i="30" a="1"/>
  <c r="G202" i="30" a="1"/>
  <c r="G220" i="30" a="1"/>
  <c r="G261" i="30" a="1"/>
  <c r="G171" i="30" a="1"/>
  <c r="G297" i="30" a="1"/>
  <c r="G319" i="30" a="1"/>
  <c r="G365" i="30" a="1"/>
  <c r="G373" i="30" a="1"/>
  <c r="G143" i="30" a="1"/>
  <c r="G234" i="30" a="1"/>
  <c r="G203" i="30" a="1"/>
  <c r="G254" i="30" a="1"/>
  <c r="G172" i="30" a="1"/>
  <c r="G341" i="30" a="1"/>
  <c r="G389" i="30" a="1"/>
  <c r="G22" i="30" a="1"/>
  <c r="G67" i="30" a="1"/>
  <c r="G77" i="30" a="1"/>
  <c r="G134" i="30" a="1"/>
  <c r="G105" i="30" a="1"/>
  <c r="G120" i="30" a="1"/>
  <c r="G7" i="30" a="1"/>
  <c r="G16" i="30" a="1"/>
  <c r="G25" i="30" a="1"/>
  <c r="G34" i="30" a="1"/>
  <c r="G43" i="30" a="1"/>
  <c r="G61" i="30" a="1"/>
  <c r="G86" i="30" a="1"/>
  <c r="G69" i="30" a="1"/>
  <c r="G80" i="30" a="1"/>
  <c r="G128" i="30" a="1"/>
  <c r="G137" i="30" a="1"/>
  <c r="G99" i="30" a="1"/>
  <c r="G108" i="30" a="1"/>
  <c r="G146" i="30" a="1"/>
  <c r="G199" i="30" a="1"/>
  <c r="G257" i="30" a="1"/>
  <c r="G228" i="30" a="1"/>
  <c r="G301" i="30" a="1"/>
  <c r="G315" i="30" a="1"/>
  <c r="G337" i="30" a="1"/>
  <c r="G369" i="30" a="1"/>
  <c r="G154" i="30" a="1"/>
  <c r="G265" i="30" a="1"/>
  <c r="G352" i="30" a="1"/>
  <c r="G17" i="30" a="1"/>
  <c r="G109" i="30" a="1"/>
  <c r="G201" i="30" a="1"/>
  <c r="G273" i="30" a="1"/>
  <c r="G309" i="30" a="1"/>
  <c r="G386" i="30" a="1"/>
  <c r="G211" i="30" a="1"/>
  <c r="G289" i="30" a="1"/>
  <c r="G355" i="30" a="1"/>
  <c r="G164" i="30" a="1"/>
  <c r="G29" i="30" a="1"/>
  <c r="G236" i="30" a="1"/>
  <c r="G179" i="30" a="1"/>
  <c r="G357" i="30" a="1"/>
  <c r="G305" i="30" a="1"/>
  <c r="G116" i="30" a="1"/>
  <c r="G284" i="30" a="1"/>
  <c r="G287" i="30" a="1"/>
  <c r="G35" i="30" a="1"/>
  <c r="G72" i="30" a="1"/>
  <c r="G101" i="30" a="1"/>
  <c r="G147" i="30" a="1"/>
  <c r="G195" i="30" a="1"/>
  <c r="G210" i="30" a="1"/>
  <c r="G207" i="30" a="1"/>
  <c r="G249" i="30" a="1"/>
  <c r="G280" i="30" a="1"/>
  <c r="G295" i="30" a="1"/>
  <c r="G331" i="30" a="1"/>
  <c r="G345" i="30" a="1"/>
  <c r="G353" i="30" a="1"/>
  <c r="G208" i="30" a="1"/>
  <c r="G252" i="30" a="1"/>
  <c r="G281" i="30" a="1"/>
  <c r="G187" i="30" a="1"/>
  <c r="G332" i="30" a="1"/>
  <c r="G387" i="30" a="1"/>
  <c r="G379" i="30" a="1"/>
  <c r="G111" i="30" a="1"/>
  <c r="G150" i="30" a="1"/>
  <c r="G212" i="30" a="1"/>
  <c r="G253" i="30" a="1"/>
  <c r="G166" i="30" a="1"/>
  <c r="G311" i="30" a="1"/>
  <c r="G347" i="30" a="1"/>
  <c r="G372" i="30" a="1"/>
  <c r="G21" i="30" a="1"/>
  <c r="G65" i="30" a="1"/>
  <c r="G84" i="30" a="1"/>
  <c r="G88" i="30" a="1"/>
  <c r="G132" i="30" a="1"/>
  <c r="G103" i="30" a="1"/>
  <c r="G119" i="30" a="1"/>
  <c r="G193" i="30" a="1"/>
  <c r="G226" i="30" a="1"/>
  <c r="G268" i="30" a="1"/>
  <c r="G290" i="30" a="1"/>
  <c r="G312" i="30" a="1"/>
  <c r="G333" i="30" a="1"/>
  <c r="G388" i="30" a="1"/>
  <c r="G113" i="30" a="1"/>
  <c r="G151" i="30" a="1"/>
  <c r="G167" i="30" a="1"/>
  <c r="G213" i="30" a="1"/>
  <c r="G245" i="30" a="1"/>
  <c r="G334" i="30" a="1"/>
  <c r="G13" i="30" a="1"/>
  <c r="G58" i="30" a="1"/>
  <c r="G3" i="30" a="1"/>
  <c r="G89" i="30" a="1"/>
  <c r="G96" i="30" a="1"/>
  <c r="G125" i="30" a="1"/>
  <c r="G222" i="30" a="1"/>
  <c r="G218" i="30" a="1"/>
  <c r="G231" i="30" a="1"/>
  <c r="G259" i="30" a="1"/>
  <c r="G266" i="30" a="1"/>
  <c r="G176" i="30" a="1"/>
  <c r="G186" i="30" a="1"/>
  <c r="G310" i="30" a="1"/>
  <c r="G317" i="30" a="1"/>
  <c r="G346" i="30" a="1"/>
  <c r="G356" i="30" a="1"/>
  <c r="G371" i="30" a="1"/>
  <c r="G378" i="30" a="1"/>
  <c r="G10" i="30" a="1"/>
  <c r="G19" i="30" a="1"/>
  <c r="G28" i="30" a="1"/>
  <c r="G37" i="30" a="1"/>
  <c r="G46" i="30" a="1"/>
  <c r="G55" i="30" a="1"/>
  <c r="G64" i="30" a="1"/>
  <c r="G93" i="30" a="1"/>
  <c r="G74" i="30" a="1"/>
  <c r="G85" i="30" a="1"/>
  <c r="G131" i="30" a="1"/>
  <c r="G140" i="30" a="1"/>
  <c r="G102" i="30" a="1"/>
  <c r="G112" i="30" a="1"/>
  <c r="G118" i="30" a="1"/>
  <c r="G149" i="30" a="1"/>
  <c r="G156" i="30" a="1"/>
  <c r="G200" i="30" a="1"/>
  <c r="G232" i="30" a="1"/>
  <c r="G318" i="30" a="1"/>
  <c r="G225" i="30" a="1"/>
  <c r="G260" i="30" a="1"/>
  <c r="G47" i="30" a="1"/>
  <c r="G275" i="30" a="1"/>
  <c r="G348" i="30" a="1"/>
  <c r="G298" i="30" a="1"/>
  <c r="G366" i="30" a="1"/>
  <c r="G277" i="30" a="1"/>
  <c r="G299" i="30" a="1"/>
  <c r="G227" i="30" a="1"/>
  <c r="G306" i="30" a="1"/>
  <c r="G349" i="30" a="1"/>
  <c r="G381" i="30" a="1"/>
  <c r="G31" i="30" a="1"/>
  <c r="G177" i="30" a="1"/>
  <c r="G239" i="30" a="1"/>
  <c r="G205" i="30" a="1"/>
  <c r="G114" i="30" a="1"/>
  <c r="G194" i="30" a="1"/>
  <c r="G169" i="30" a="1"/>
  <c r="G313" i="30" a="1"/>
  <c r="G358" i="30" a="1"/>
  <c r="G198" i="30" a="1"/>
  <c r="G246" i="30" a="1"/>
  <c r="G49" i="30" a="1"/>
  <c r="G144" i="30" a="1"/>
  <c r="G255" i="30" a="1"/>
  <c r="G182" i="30" a="1"/>
  <c r="G320" i="30" a="1"/>
  <c r="G204" i="30" a="1"/>
  <c r="G383" i="30" a="1"/>
  <c r="G262" i="30" a="1"/>
  <c r="G327" i="30" a="1"/>
  <c r="G157" i="30" a="1"/>
  <c r="G328" i="30" a="1"/>
  <c r="G390" i="30" a="1"/>
  <c r="G159" i="30" a="1"/>
  <c r="G291" i="30" a="1"/>
  <c r="G335" i="30" a="1"/>
  <c r="G251" i="30" a="1"/>
  <c r="G374" i="30" a="1"/>
  <c r="G214" i="30" a="1"/>
  <c r="G189" i="30" a="1"/>
  <c r="G221" i="30" a="1"/>
  <c r="G269" i="30" a="1"/>
  <c r="G367" i="30" a="1"/>
  <c r="G292" i="30" a="1"/>
  <c r="G235" i="30" a="1"/>
  <c r="G276" i="30" a="1"/>
  <c r="G342" i="30" a="1"/>
  <c r="G382" i="30" a="1"/>
  <c r="G382" i="30" l="1"/>
  <c r="G342" i="30"/>
  <c r="G276" i="30"/>
  <c r="G235" i="30"/>
  <c r="G292" i="30"/>
  <c r="G367" i="30"/>
  <c r="G269" i="30"/>
  <c r="G221" i="30"/>
  <c r="G189" i="30"/>
  <c r="G214" i="30"/>
  <c r="G374" i="30"/>
  <c r="G251" i="30"/>
  <c r="G335" i="30"/>
  <c r="G291" i="30"/>
  <c r="G159" i="30"/>
  <c r="G390" i="30"/>
  <c r="G328" i="30"/>
  <c r="G157" i="30"/>
  <c r="G327" i="30"/>
  <c r="G262" i="30"/>
  <c r="G383" i="30"/>
  <c r="G204" i="30"/>
  <c r="G320" i="30"/>
  <c r="G182" i="30"/>
  <c r="G255" i="30"/>
  <c r="G144" i="30"/>
  <c r="G49" i="30"/>
  <c r="G246" i="30"/>
  <c r="G198" i="30"/>
  <c r="G358" i="30"/>
  <c r="G313" i="30"/>
  <c r="G169" i="30"/>
  <c r="G194" i="30"/>
  <c r="G114" i="30"/>
  <c r="G205" i="30"/>
  <c r="G239" i="30"/>
  <c r="G177" i="30"/>
  <c r="G31" i="30"/>
  <c r="G381" i="30"/>
  <c r="G349" i="30"/>
  <c r="G306" i="30"/>
  <c r="G227" i="30"/>
  <c r="G299" i="30"/>
  <c r="G277" i="30"/>
  <c r="G366" i="30"/>
  <c r="G298" i="30"/>
  <c r="G348" i="30"/>
  <c r="G275" i="30"/>
  <c r="G47" i="30"/>
  <c r="G260" i="30"/>
  <c r="G225" i="30"/>
  <c r="G318" i="30"/>
  <c r="G232" i="30"/>
  <c r="G200" i="30"/>
  <c r="G156" i="30"/>
  <c r="G149" i="30"/>
  <c r="G118" i="30"/>
  <c r="G112" i="30"/>
  <c r="G102" i="30"/>
  <c r="G140" i="30"/>
  <c r="G131" i="30"/>
  <c r="G85" i="30"/>
  <c r="G74" i="30"/>
  <c r="G93" i="30"/>
  <c r="G64" i="30"/>
  <c r="G55" i="30"/>
  <c r="G46" i="30"/>
  <c r="G37" i="30"/>
  <c r="G28" i="30"/>
  <c r="G19" i="30"/>
  <c r="G10" i="30"/>
  <c r="G378" i="30"/>
  <c r="G371" i="30"/>
  <c r="G356" i="30"/>
  <c r="G346" i="30"/>
  <c r="G317" i="30"/>
  <c r="G310" i="30"/>
  <c r="G186" i="30"/>
  <c r="G176" i="30"/>
  <c r="G266" i="30"/>
  <c r="G259" i="30"/>
  <c r="G231" i="30"/>
  <c r="G218" i="30"/>
  <c r="G222" i="30"/>
  <c r="G125" i="30"/>
  <c r="G96" i="30"/>
  <c r="G89" i="30"/>
  <c r="G3" i="30"/>
  <c r="G58" i="30"/>
  <c r="G13" i="30"/>
  <c r="G334" i="30"/>
  <c r="G245" i="30"/>
  <c r="G213" i="30"/>
  <c r="G167" i="30"/>
  <c r="G151" i="30"/>
  <c r="G113" i="30"/>
  <c r="G388" i="30"/>
  <c r="G333" i="30"/>
  <c r="G312" i="30"/>
  <c r="G290" i="30"/>
  <c r="G268" i="30"/>
  <c r="G226" i="30"/>
  <c r="G193" i="30"/>
  <c r="G119" i="30"/>
  <c r="G103" i="30"/>
  <c r="G132" i="30"/>
  <c r="G88" i="30"/>
  <c r="G84" i="30"/>
  <c r="G65" i="30"/>
  <c r="G21" i="30"/>
  <c r="G372" i="30"/>
  <c r="G347" i="30"/>
  <c r="G311" i="30"/>
  <c r="G166" i="30"/>
  <c r="G253" i="30"/>
  <c r="G212" i="30"/>
  <c r="G150" i="30"/>
  <c r="G111" i="30"/>
  <c r="G379" i="30"/>
  <c r="G387" i="30"/>
  <c r="G332" i="30"/>
  <c r="G187" i="30"/>
  <c r="G281" i="30"/>
  <c r="G252" i="30"/>
  <c r="G208" i="30"/>
  <c r="G353" i="30"/>
  <c r="G345" i="30"/>
  <c r="G331" i="30"/>
  <c r="G295" i="30"/>
  <c r="G280" i="30"/>
  <c r="G249" i="30"/>
  <c r="G207" i="30"/>
  <c r="G210" i="30"/>
  <c r="G195" i="30"/>
  <c r="G147" i="30"/>
  <c r="G101" i="30"/>
  <c r="G72" i="30"/>
  <c r="G35" i="30"/>
  <c r="G287" i="30"/>
  <c r="G284" i="30"/>
  <c r="G116" i="30"/>
  <c r="G305" i="30"/>
  <c r="G357" i="30"/>
  <c r="G179" i="30"/>
  <c r="G236" i="30"/>
  <c r="G29" i="30"/>
  <c r="G164" i="30"/>
  <c r="G355" i="30"/>
  <c r="G289" i="30"/>
  <c r="G211" i="30"/>
  <c r="G386" i="30"/>
  <c r="G309" i="30"/>
  <c r="G273" i="30"/>
  <c r="G201" i="30"/>
  <c r="G109" i="30"/>
  <c r="G17" i="30"/>
  <c r="G352" i="30"/>
  <c r="G265" i="30"/>
  <c r="G154" i="30"/>
  <c r="G369" i="30"/>
  <c r="G337" i="30"/>
  <c r="G315" i="30"/>
  <c r="G301" i="30"/>
  <c r="G228" i="30"/>
  <c r="G257" i="30"/>
  <c r="G199" i="30"/>
  <c r="G146" i="30"/>
  <c r="G108" i="30"/>
  <c r="G99" i="30"/>
  <c r="G137" i="30"/>
  <c r="G128" i="30"/>
  <c r="G80" i="30"/>
  <c r="G69" i="30"/>
  <c r="G86" i="30"/>
  <c r="G61" i="30"/>
  <c r="G43" i="30"/>
  <c r="G34" i="30"/>
  <c r="G25" i="30"/>
  <c r="G16" i="30"/>
  <c r="G7" i="30"/>
  <c r="G120" i="30"/>
  <c r="G105" i="30"/>
  <c r="G134" i="30"/>
  <c r="G77" i="30"/>
  <c r="G67" i="30"/>
  <c r="G22" i="30"/>
  <c r="G389" i="30"/>
  <c r="G341" i="30"/>
  <c r="G172" i="30"/>
  <c r="G254" i="30"/>
  <c r="G203" i="30"/>
  <c r="G234" i="30"/>
  <c r="G143" i="30"/>
  <c r="G373" i="30"/>
  <c r="G365" i="30"/>
  <c r="G319" i="30"/>
  <c r="G297" i="30"/>
  <c r="G171" i="30"/>
  <c r="G261" i="30"/>
  <c r="G220" i="30"/>
  <c r="G202" i="30"/>
  <c r="G158" i="30"/>
  <c r="G95" i="30"/>
  <c r="G75" i="30"/>
  <c r="G57" i="30"/>
  <c r="G11" i="30"/>
  <c r="G360" i="30"/>
  <c r="G340" i="30"/>
  <c r="G178" i="30"/>
  <c r="G219" i="30"/>
  <c r="G141" i="30"/>
  <c r="G354" i="30"/>
  <c r="G339" i="30"/>
  <c r="G325" i="30"/>
  <c r="G296" i="30"/>
  <c r="G165" i="30"/>
  <c r="G267" i="30"/>
  <c r="G243" i="30"/>
  <c r="G250" i="30"/>
  <c r="G370" i="30"/>
  <c r="G363" i="30"/>
  <c r="G338" i="30"/>
  <c r="G324" i="30"/>
  <c r="G302" i="30"/>
  <c r="G175" i="30"/>
  <c r="G233" i="30"/>
  <c r="G242" i="30"/>
  <c r="G217" i="30"/>
  <c r="G191" i="30"/>
  <c r="G117" i="30"/>
  <c r="G138" i="30"/>
  <c r="G81" i="30"/>
  <c r="G91" i="30"/>
  <c r="G63" i="30"/>
  <c r="G53" i="30"/>
  <c r="G45" i="30"/>
  <c r="G9" i="30"/>
  <c r="G377" i="30"/>
  <c r="G362" i="30"/>
  <c r="G323" i="30"/>
  <c r="G185" i="30"/>
  <c r="G272" i="30"/>
  <c r="G229" i="30"/>
  <c r="G190" i="30"/>
  <c r="G163" i="30"/>
  <c r="G392" i="30"/>
  <c r="G351" i="30"/>
  <c r="G344" i="30"/>
  <c r="G330" i="30"/>
  <c r="G308" i="30"/>
  <c r="G294" i="30"/>
  <c r="G184" i="30"/>
  <c r="G174" i="30"/>
  <c r="G279" i="30"/>
  <c r="G264" i="30"/>
  <c r="G248" i="30"/>
  <c r="G241" i="30"/>
  <c r="G224" i="30"/>
  <c r="G216" i="30"/>
  <c r="G209" i="30"/>
  <c r="G238" i="30"/>
  <c r="G52" i="30"/>
  <c r="G384" i="30"/>
  <c r="G361" i="30"/>
  <c r="G329" i="30"/>
  <c r="G322" i="30"/>
  <c r="G293" i="30"/>
  <c r="G286" i="30"/>
  <c r="G278" i="30"/>
  <c r="G271" i="30"/>
  <c r="G240" i="30"/>
  <c r="G283" i="30"/>
  <c r="G197" i="30"/>
  <c r="G180" i="30"/>
  <c r="G162" i="30"/>
  <c r="G152" i="30"/>
  <c r="G123" i="30"/>
  <c r="G115" i="30"/>
  <c r="G40" i="30"/>
  <c r="G168" i="30"/>
  <c r="G380" i="30"/>
  <c r="G326" i="30"/>
  <c r="G188" i="30"/>
  <c r="G244" i="30"/>
  <c r="G39" i="30"/>
  <c r="G304" i="30"/>
  <c r="G364" i="30"/>
  <c r="G303" i="30"/>
  <c r="G274" i="30"/>
  <c r="G192" i="30"/>
  <c r="G288" i="30"/>
  <c r="G258" i="30"/>
  <c r="G155" i="30"/>
  <c r="G130" i="30"/>
  <c r="G27" i="30"/>
  <c r="G316" i="30"/>
  <c r="G124" i="30"/>
  <c r="G376" i="30"/>
  <c r="G385" i="30"/>
  <c r="G375" i="30"/>
  <c r="G368" i="30"/>
  <c r="G391" i="30"/>
  <c r="G359" i="30"/>
  <c r="G350" i="30"/>
  <c r="G343" i="30"/>
  <c r="G336" i="30"/>
  <c r="G321" i="30"/>
  <c r="G314" i="30"/>
  <c r="G307" i="30"/>
  <c r="G300" i="30"/>
  <c r="G285" i="30"/>
  <c r="G183" i="30"/>
  <c r="G170" i="30"/>
  <c r="G173" i="30"/>
  <c r="G270" i="30"/>
  <c r="G263" i="30"/>
  <c r="G256" i="30"/>
  <c r="G247" i="30"/>
  <c r="G282" i="30"/>
  <c r="G223" i="30"/>
  <c r="G215" i="30"/>
  <c r="G206" i="30"/>
  <c r="G237" i="30"/>
  <c r="G161" i="30"/>
  <c r="G145" i="30"/>
  <c r="G122" i="30"/>
  <c r="G107" i="30"/>
  <c r="G97" i="30"/>
  <c r="G136" i="30"/>
  <c r="G90" i="30"/>
  <c r="G79" i="30"/>
  <c r="G4" i="30"/>
  <c r="G73" i="30"/>
  <c r="G59" i="30"/>
  <c r="G51" i="30"/>
  <c r="G41" i="30"/>
  <c r="G33" i="30"/>
  <c r="G23" i="30"/>
  <c r="G15" i="30"/>
  <c r="G5" i="30"/>
  <c r="G8" i="30"/>
  <c r="G106" i="30"/>
  <c r="G100" i="30"/>
  <c r="G94" i="30"/>
  <c r="G135" i="30"/>
  <c r="G129" i="30"/>
  <c r="G87" i="30"/>
  <c r="G78" i="30"/>
  <c r="G71" i="30"/>
  <c r="G82" i="30"/>
  <c r="G70" i="30"/>
  <c r="G62" i="30"/>
  <c r="G56" i="30"/>
  <c r="G50" i="30"/>
  <c r="G44" i="30"/>
  <c r="G38" i="30"/>
  <c r="G32" i="30"/>
  <c r="G26" i="30"/>
  <c r="G20" i="30"/>
  <c r="G14" i="30"/>
  <c r="G181" i="30"/>
  <c r="G196" i="30"/>
  <c r="G230" i="30"/>
  <c r="G160" i="30"/>
  <c r="G153" i="30"/>
  <c r="G148" i="30"/>
  <c r="G142" i="30"/>
  <c r="G126" i="30"/>
  <c r="G121" i="30"/>
  <c r="G110" i="30"/>
  <c r="G104" i="30"/>
  <c r="G98" i="30"/>
  <c r="G139" i="30"/>
  <c r="G133" i="30"/>
  <c r="G127" i="30"/>
  <c r="G83" i="30"/>
  <c r="G76" i="30"/>
  <c r="G68" i="30"/>
  <c r="G92" i="30"/>
  <c r="G66" i="30"/>
  <c r="G60" i="30"/>
  <c r="G54" i="30"/>
  <c r="G48" i="30"/>
  <c r="G42" i="30"/>
  <c r="G36" i="30"/>
  <c r="G30" i="30"/>
  <c r="G24" i="30"/>
  <c r="G18" i="30"/>
  <c r="G12" i="30"/>
  <c r="G6" i="30"/>
  <c r="N22" i="34" l="1"/>
  <c r="N74" i="34"/>
  <c r="N69" i="34"/>
  <c r="N105" i="34"/>
  <c r="N72" i="34"/>
  <c r="N13" i="34"/>
  <c r="N75" i="34"/>
  <c r="N39" i="34"/>
  <c r="N47" i="34"/>
  <c r="N76" i="34"/>
  <c r="N24" i="34"/>
  <c r="N73" i="34"/>
  <c r="N37" i="34"/>
  <c r="N8" i="34"/>
  <c r="N70" i="34"/>
  <c r="N51" i="34"/>
  <c r="N68" i="34"/>
  <c r="N77" i="34"/>
  <c r="N55" i="34"/>
  <c r="N78" i="34"/>
  <c r="N34" i="34"/>
  <c r="N49" i="34"/>
  <c r="N86" i="34"/>
  <c r="N32" i="34"/>
  <c r="N56" i="34"/>
  <c r="N90" i="34"/>
  <c r="N89" i="34"/>
  <c r="N50" i="34"/>
  <c r="N60" i="34"/>
  <c r="N59" i="34"/>
  <c r="N20" i="34"/>
  <c r="N44" i="34"/>
  <c r="N99" i="34"/>
  <c r="N42" i="34"/>
  <c r="N5" i="34"/>
  <c r="N101" i="34"/>
  <c r="N102" i="34"/>
  <c r="N100" i="34"/>
  <c r="N67" i="34"/>
  <c r="N33" i="34"/>
  <c r="N28" i="34"/>
  <c r="N79" i="34"/>
  <c r="N64" i="34"/>
  <c r="N57" i="34"/>
  <c r="N29" i="34"/>
  <c r="N15" i="34"/>
  <c r="N87" i="34"/>
  <c r="N4" i="34"/>
  <c r="N53" i="34"/>
  <c r="N38" i="34"/>
  <c r="N61" i="34"/>
  <c r="N2" i="34"/>
  <c r="N40" i="34"/>
  <c r="N58" i="34"/>
  <c r="N95" i="34"/>
  <c r="N107" i="34"/>
  <c r="N25" i="34"/>
  <c r="N66" i="34"/>
  <c r="N6" i="34"/>
  <c r="N104" i="34"/>
  <c r="N41" i="34"/>
  <c r="N80" i="34"/>
  <c r="N109" i="34"/>
  <c r="N43" i="34"/>
  <c r="N10" i="34"/>
  <c r="N91" i="34"/>
  <c r="N63" i="34"/>
  <c r="N54" i="34"/>
  <c r="N94" i="34"/>
  <c r="N52" i="34"/>
  <c r="N45" i="34"/>
  <c r="N98" i="34"/>
  <c r="N19" i="34"/>
  <c r="N3" i="34"/>
  <c r="N17" i="34"/>
  <c r="N30" i="34"/>
  <c r="N88" i="34"/>
  <c r="N12" i="34"/>
  <c r="N108" i="34"/>
  <c r="N14" i="34"/>
  <c r="N21" i="34"/>
  <c r="N35" i="34"/>
  <c r="N106" i="34"/>
  <c r="N16" i="34"/>
  <c r="N18" i="34"/>
  <c r="N48" i="34"/>
  <c r="N103" i="34"/>
  <c r="N62" i="34"/>
  <c r="N96" i="34"/>
  <c r="N31" i="34"/>
  <c r="N27" i="34"/>
  <c r="N81" i="34"/>
  <c r="N71" i="34"/>
  <c r="N46" i="34"/>
  <c r="N7" i="34"/>
  <c r="N97" i="34"/>
  <c r="N82" i="34"/>
  <c r="N83" i="34"/>
  <c r="N23" i="34"/>
  <c r="N65" i="34"/>
  <c r="N36" i="34"/>
  <c r="N84" i="34"/>
  <c r="N92" i="34"/>
  <c r="N26" i="34"/>
  <c r="N93" i="34"/>
  <c r="N11" i="34"/>
  <c r="N85" i="34"/>
  <c r="N9" i="34"/>
  <c r="L463" i="3" l="1"/>
  <c r="L664" i="3"/>
  <c r="L624" i="3"/>
  <c r="L568" i="3"/>
  <c r="L464" i="3"/>
  <c r="L465" i="3"/>
  <c r="L466" i="3"/>
  <c r="L467" i="3"/>
  <c r="L468" i="3"/>
  <c r="L469" i="3"/>
  <c r="L609" i="3"/>
  <c r="L470" i="3"/>
  <c r="L471" i="3"/>
  <c r="L472" i="3"/>
  <c r="L462" i="3"/>
  <c r="L634" i="3"/>
  <c r="L619" i="3"/>
  <c r="L520" i="3"/>
  <c r="L473" i="3"/>
  <c r="L626" i="3"/>
  <c r="L627" i="3"/>
  <c r="L628" i="3"/>
  <c r="L625" i="3"/>
  <c r="L14" i="3"/>
  <c r="L27" i="3"/>
  <c r="L28" i="3"/>
  <c r="L54" i="3"/>
  <c r="L55" i="3"/>
  <c r="L56" i="3"/>
  <c r="L57" i="3"/>
  <c r="L58" i="3"/>
  <c r="L59" i="3"/>
  <c r="L61" i="3"/>
  <c r="L62" i="3"/>
  <c r="L65" i="3"/>
  <c r="L67" i="3"/>
  <c r="L68" i="3"/>
  <c r="L72" i="3"/>
  <c r="L77" i="3"/>
  <c r="L79" i="3"/>
  <c r="L81" i="3"/>
  <c r="L82" i="3"/>
  <c r="L83" i="3"/>
  <c r="L85" i="3"/>
  <c r="L86" i="3"/>
  <c r="L87" i="3"/>
  <c r="L89" i="3"/>
  <c r="L90" i="3"/>
  <c r="L91" i="3"/>
  <c r="L92" i="3"/>
  <c r="L93" i="3"/>
  <c r="L94" i="3"/>
  <c r="L95" i="3"/>
  <c r="L96" i="3"/>
  <c r="L97" i="3"/>
  <c r="L98" i="3"/>
  <c r="L101" i="3"/>
  <c r="L103" i="3"/>
  <c r="L104" i="3"/>
  <c r="L105" i="3"/>
  <c r="L106" i="3"/>
  <c r="L107" i="3"/>
  <c r="L112" i="3"/>
  <c r="L114" i="3"/>
  <c r="L120" i="3"/>
  <c r="L127" i="3"/>
  <c r="L128" i="3"/>
  <c r="L195" i="3"/>
  <c r="L200" i="3"/>
  <c r="L201" i="3"/>
  <c r="L267" i="3"/>
  <c r="L276" i="3"/>
  <c r="L277" i="3"/>
  <c r="L278" i="3"/>
  <c r="L279" i="3"/>
  <c r="L308" i="3"/>
  <c r="L313" i="3"/>
  <c r="L314" i="3"/>
  <c r="L315" i="3"/>
  <c r="L316" i="3"/>
  <c r="L317" i="3"/>
  <c r="L318" i="3"/>
  <c r="L319" i="3"/>
  <c r="L320" i="3"/>
  <c r="L331" i="3"/>
  <c r="L332" i="3"/>
  <c r="L333" i="3"/>
  <c r="L353" i="3"/>
  <c r="L354" i="3"/>
  <c r="L355" i="3"/>
  <c r="L356" i="3"/>
  <c r="L357" i="3"/>
  <c r="L358" i="3"/>
  <c r="L359" i="3"/>
  <c r="L360" i="3"/>
  <c r="L362" i="3"/>
  <c r="L365" i="3"/>
  <c r="L366" i="3"/>
  <c r="L367" i="3"/>
  <c r="L368" i="3"/>
  <c r="L369" i="3"/>
  <c r="L373" i="3"/>
  <c r="L389" i="3"/>
  <c r="L437" i="3"/>
  <c r="L438" i="3"/>
  <c r="L510" i="3"/>
  <c r="L511" i="3"/>
  <c r="L574" i="3"/>
  <c r="L577" i="3"/>
  <c r="L584" i="3"/>
  <c r="L696" i="3"/>
  <c r="L698" i="3"/>
  <c r="L699" i="3"/>
  <c r="L700" i="3"/>
  <c r="L701" i="3"/>
  <c r="L702" i="3"/>
  <c r="L703" i="3"/>
  <c r="L704" i="3"/>
  <c r="L705" i="3"/>
  <c r="L706" i="3"/>
  <c r="L707" i="3"/>
  <c r="L708" i="3"/>
  <c r="L709" i="3"/>
  <c r="L710" i="3"/>
  <c r="L711" i="3"/>
  <c r="L712" i="3"/>
  <c r="L713" i="3"/>
  <c r="L714" i="3"/>
  <c r="L734" i="3"/>
  <c r="L735" i="3"/>
  <c r="L736" i="3"/>
  <c r="L737" i="3"/>
  <c r="L738" i="3"/>
  <c r="L739" i="3"/>
  <c r="L740" i="3"/>
  <c r="L741" i="3"/>
  <c r="L745" i="3"/>
  <c r="L765" i="3"/>
  <c r="L110" i="3"/>
  <c r="L692" i="3"/>
  <c r="L691" i="3"/>
  <c r="L595" i="3"/>
  <c r="L724" i="3"/>
  <c r="L289" i="3"/>
  <c r="L380" i="3"/>
  <c r="L379" i="3"/>
  <c r="L281" i="3"/>
  <c r="L282" i="3"/>
  <c r="L381" i="3"/>
  <c r="L768" i="3"/>
  <c r="L124" i="3"/>
  <c r="L771" i="3"/>
  <c r="L767" i="3"/>
  <c r="L770" i="3"/>
  <c r="L769" i="3"/>
  <c r="L300" i="3"/>
  <c r="L305" i="3"/>
  <c r="L280" i="3"/>
  <c r="L382" i="3"/>
  <c r="L191" i="3"/>
  <c r="L199" i="3"/>
  <c r="L194" i="3"/>
  <c r="L722" i="3"/>
  <c r="L410" i="3"/>
  <c r="L725" i="3"/>
  <c r="L429" i="3"/>
  <c r="L126" i="3"/>
  <c r="L428" i="3"/>
  <c r="L766" i="3"/>
  <c r="L420" i="3"/>
  <c r="L405" i="3"/>
  <c r="L408" i="3"/>
  <c r="L718" i="3"/>
  <c r="L716" i="3"/>
  <c r="L720" i="3"/>
  <c r="L283" i="3"/>
  <c r="L411" i="3"/>
  <c r="L721" i="3"/>
  <c r="L125" i="3"/>
  <c r="L733" i="3"/>
  <c r="L403" i="3"/>
  <c r="L407" i="3"/>
  <c r="L434" i="3"/>
  <c r="L75" i="3"/>
  <c r="L723" i="3"/>
  <c r="L414" i="3"/>
  <c r="L406" i="3"/>
  <c r="L715" i="3"/>
  <c r="L425" i="3"/>
  <c r="L70" i="3"/>
  <c r="L71" i="3"/>
  <c r="L102" i="3"/>
  <c r="L337" i="3"/>
  <c r="L339" i="3"/>
  <c r="L340" i="3"/>
  <c r="L341" i="3"/>
  <c r="L342" i="3"/>
  <c r="L343" i="3"/>
  <c r="L344" i="3"/>
  <c r="L345" i="3"/>
  <c r="L346" i="3"/>
  <c r="L347" i="3"/>
  <c r="L349" i="3"/>
  <c r="L350" i="3"/>
  <c r="L352" i="3"/>
  <c r="L384" i="3"/>
  <c r="L385" i="3"/>
  <c r="L386" i="3"/>
  <c r="L398" i="3"/>
  <c r="L400" i="3"/>
  <c r="L401" i="3"/>
  <c r="L402" i="3"/>
  <c r="L404" i="3"/>
  <c r="L409" i="3"/>
  <c r="L412" i="3"/>
  <c r="L413" i="3"/>
  <c r="L415" i="3"/>
  <c r="L416" i="3"/>
  <c r="L417" i="3"/>
  <c r="L418" i="3"/>
  <c r="L439" i="3"/>
  <c r="L419" i="3"/>
  <c r="L421" i="3"/>
  <c r="L422" i="3"/>
  <c r="L423" i="3"/>
  <c r="L424" i="3"/>
  <c r="L426" i="3"/>
  <c r="L427" i="3"/>
  <c r="L430" i="3"/>
  <c r="L431" i="3"/>
  <c r="L432" i="3"/>
  <c r="L717" i="3"/>
  <c r="L719" i="3"/>
  <c r="L743" i="3"/>
  <c r="L69" i="3"/>
  <c r="L182" i="3"/>
  <c r="L99" i="3"/>
  <c r="L30" i="3"/>
  <c r="L31" i="3"/>
  <c r="L33" i="3"/>
  <c r="L34" i="3"/>
  <c r="L36" i="3"/>
  <c r="L37" i="3"/>
  <c r="L38" i="3"/>
  <c r="L50" i="3"/>
  <c r="L51" i="3"/>
  <c r="L52" i="3"/>
  <c r="L66" i="3"/>
  <c r="L73" i="3"/>
  <c r="L74" i="3"/>
  <c r="L76" i="3"/>
  <c r="L80" i="3"/>
  <c r="L88" i="3"/>
  <c r="L100" i="3"/>
  <c r="L108" i="3"/>
  <c r="L109" i="3"/>
  <c r="L111" i="3"/>
  <c r="L130" i="3"/>
  <c r="L190" i="3"/>
  <c r="L288" i="3"/>
  <c r="L306" i="3"/>
  <c r="L338" i="3"/>
  <c r="L351" i="3"/>
  <c r="L363" i="3"/>
  <c r="L364" i="3"/>
  <c r="L371" i="3"/>
  <c r="L372" i="3"/>
  <c r="L383" i="3"/>
  <c r="L399" i="3"/>
  <c r="L654" i="3"/>
  <c r="L655" i="3"/>
  <c r="L175" i="3"/>
  <c r="L180" i="3"/>
  <c r="L177" i="3"/>
  <c r="L174" i="3"/>
  <c r="L173" i="3"/>
  <c r="L178" i="3"/>
  <c r="L176" i="3"/>
  <c r="L179" i="3"/>
  <c r="L60" i="3"/>
  <c r="L78" i="3"/>
  <c r="L238" i="3"/>
  <c r="L679" i="3"/>
  <c r="L285" i="3"/>
  <c r="L7" i="3"/>
  <c r="L211" i="3"/>
  <c r="L203" i="3"/>
  <c r="L222" i="3"/>
  <c r="L216" i="3"/>
  <c r="L214" i="3"/>
  <c r="L226" i="3"/>
  <c r="L205" i="3"/>
  <c r="L225" i="3"/>
  <c r="L227" i="3"/>
  <c r="L217" i="3"/>
  <c r="L223" i="3"/>
  <c r="L224" i="3"/>
  <c r="L208" i="3"/>
  <c r="L229" i="3"/>
  <c r="L218" i="3"/>
  <c r="L29" i="3"/>
  <c r="L241" i="3"/>
  <c r="L248" i="3"/>
  <c r="L228" i="3"/>
  <c r="L239" i="3"/>
  <c r="L153" i="3"/>
  <c r="L64" i="3"/>
  <c r="L236" i="3"/>
  <c r="L254" i="3"/>
  <c r="L257" i="3"/>
  <c r="L246" i="3"/>
  <c r="L255" i="3"/>
  <c r="L250" i="3"/>
  <c r="L258" i="3"/>
  <c r="L260" i="3"/>
  <c r="L149" i="3"/>
  <c r="L378" i="3"/>
  <c r="L284" i="3"/>
  <c r="L147" i="3"/>
  <c r="L243" i="3"/>
  <c r="L143" i="3"/>
  <c r="L262" i="3"/>
  <c r="L202" i="3"/>
  <c r="L242" i="3"/>
  <c r="L231" i="3"/>
  <c r="L121" i="3"/>
  <c r="L256" i="3"/>
  <c r="L13" i="3"/>
  <c r="L148" i="3"/>
  <c r="L293" i="3"/>
  <c r="L116" i="3"/>
  <c r="L135" i="3"/>
  <c r="L287" i="3"/>
  <c r="L24" i="3"/>
  <c r="L47" i="3"/>
  <c r="L310" i="3"/>
  <c r="L186" i="3"/>
  <c r="L22" i="3"/>
  <c r="L12" i="3"/>
  <c r="L377" i="3"/>
  <c r="L392" i="3"/>
  <c r="L295" i="3"/>
  <c r="L244" i="3"/>
  <c r="L117" i="3"/>
  <c r="L221" i="3"/>
  <c r="L196" i="3"/>
  <c r="L152" i="3"/>
  <c r="L11" i="3"/>
  <c r="L170" i="3"/>
  <c r="L376" i="3"/>
  <c r="L142" i="3"/>
  <c r="L390" i="3"/>
  <c r="L198" i="3"/>
  <c r="L158" i="3"/>
  <c r="L41" i="3"/>
  <c r="L292" i="3"/>
  <c r="L183" i="3"/>
  <c r="L45" i="3"/>
  <c r="L391" i="3"/>
  <c r="L46" i="3"/>
  <c r="L375" i="3"/>
  <c r="L119" i="3"/>
  <c r="L321" i="3"/>
  <c r="L303" i="3"/>
  <c r="L160" i="3"/>
  <c r="L302" i="3"/>
  <c r="L136" i="3"/>
  <c r="L144" i="3"/>
  <c r="L49" i="3"/>
  <c r="L291" i="3"/>
  <c r="L374" i="3"/>
  <c r="L63" i="3"/>
  <c r="L213" i="3"/>
  <c r="L370" i="3"/>
  <c r="L10" i="3"/>
  <c r="L155" i="3"/>
  <c r="L212" i="3"/>
  <c r="L40" i="3"/>
  <c r="L233" i="3"/>
  <c r="L171" i="3"/>
  <c r="L168" i="3"/>
  <c r="L161" i="3"/>
  <c r="L232" i="3"/>
  <c r="L309" i="3"/>
  <c r="L137" i="3"/>
  <c r="L39" i="3"/>
  <c r="L150" i="3"/>
  <c r="L131" i="3"/>
  <c r="L154" i="3"/>
  <c r="L9" i="3"/>
  <c r="L189" i="3"/>
  <c r="L156" i="3"/>
  <c r="L184" i="3"/>
  <c r="L334" i="3"/>
  <c r="L697" i="3"/>
  <c r="L235" i="3"/>
  <c r="L296" i="3"/>
  <c r="L6" i="3"/>
  <c r="L16" i="3"/>
  <c r="L188" i="3"/>
  <c r="L132" i="3"/>
  <c r="L298" i="3"/>
  <c r="L18" i="3"/>
  <c r="L23" i="3"/>
  <c r="L240" i="3"/>
  <c r="L20" i="3"/>
  <c r="L312" i="3"/>
  <c r="L387" i="3"/>
  <c r="L259" i="3"/>
  <c r="L209" i="3"/>
  <c r="L210" i="3"/>
  <c r="L215" i="3"/>
  <c r="L237" i="3"/>
  <c r="L145" i="3"/>
  <c r="L219" i="3"/>
  <c r="L123" i="3"/>
  <c r="L19" i="3"/>
  <c r="L15" i="3"/>
  <c r="L17" i="3"/>
  <c r="L299" i="3"/>
  <c r="L8" i="3"/>
  <c r="L330" i="3"/>
  <c r="L139" i="3"/>
  <c r="L159" i="3"/>
  <c r="L146" i="3"/>
  <c r="L21" i="3"/>
  <c r="L43" i="3"/>
  <c r="L44" i="3"/>
  <c r="L113" i="3"/>
  <c r="L118" i="3"/>
  <c r="L133" i="3"/>
  <c r="L134" i="3"/>
  <c r="L138" i="3"/>
  <c r="L140" i="3"/>
  <c r="L141" i="3"/>
  <c r="L151" i="3"/>
  <c r="L157" i="3"/>
  <c r="L172" i="3"/>
  <c r="L185" i="3"/>
  <c r="L197" i="3"/>
  <c r="L204" i="3"/>
  <c r="L206" i="3"/>
  <c r="L207" i="3"/>
  <c r="L220" i="3"/>
  <c r="L230" i="3"/>
  <c r="L234" i="3"/>
  <c r="L245" i="3"/>
  <c r="L247" i="3"/>
  <c r="L249" i="3"/>
  <c r="L251" i="3"/>
  <c r="L252" i="3"/>
  <c r="L253" i="3"/>
  <c r="L263" i="3"/>
  <c r="L286" i="3"/>
  <c r="L290" i="3"/>
  <c r="L294" i="3"/>
  <c r="L297" i="3"/>
  <c r="L307" i="3"/>
  <c r="L388" i="3"/>
  <c r="L181" i="3"/>
  <c r="L667" i="3"/>
  <c r="L540" i="3"/>
  <c r="L541" i="3"/>
  <c r="L666" i="3"/>
  <c r="L542" i="3"/>
  <c r="L665" i="3"/>
  <c r="L597" i="3"/>
  <c r="L589" i="3"/>
  <c r="L543" i="3"/>
  <c r="L544" i="3"/>
  <c r="L606" i="3"/>
  <c r="L545" i="3"/>
  <c r="L546" i="3"/>
  <c r="L547" i="3"/>
  <c r="L548" i="3"/>
  <c r="L591" i="3"/>
  <c r="L549" i="3"/>
  <c r="L550" i="3"/>
  <c r="L551" i="3"/>
  <c r="L552" i="3"/>
  <c r="L553" i="3"/>
  <c r="L554" i="3"/>
  <c r="L596" i="3"/>
  <c r="L555" i="3"/>
  <c r="L668" i="3"/>
  <c r="L659" i="3"/>
  <c r="L556" i="3"/>
  <c r="L658" i="3"/>
  <c r="L557" i="3"/>
  <c r="L669" i="3"/>
  <c r="L558" i="3"/>
  <c r="L660" i="3"/>
  <c r="L662" i="3"/>
  <c r="L559" i="3"/>
  <c r="L560" i="3"/>
  <c r="L561" i="3"/>
  <c r="L605" i="3"/>
  <c r="L657" i="3"/>
  <c r="L661" i="3"/>
  <c r="L663" i="3"/>
  <c r="L586" i="3"/>
  <c r="L562" i="3"/>
  <c r="L563" i="3"/>
  <c r="L592" i="3"/>
  <c r="L593" i="3"/>
  <c r="L623" i="3"/>
  <c r="L361" i="3"/>
  <c r="L564" i="3"/>
  <c r="L566" i="3"/>
  <c r="L565" i="3"/>
  <c r="L678" i="3"/>
  <c r="L581" i="3"/>
  <c r="L580" i="3"/>
  <c r="L671" i="3"/>
  <c r="L515" i="3"/>
  <c r="L610" i="3"/>
  <c r="L613" i="3"/>
  <c r="L684" i="3"/>
  <c r="L683" i="3"/>
  <c r="L676" i="3"/>
  <c r="L672" i="3"/>
  <c r="L585" i="3"/>
  <c r="L685" i="3"/>
  <c r="L618" i="3"/>
  <c r="L615" i="3"/>
  <c r="L673" i="3"/>
  <c r="L616" i="3"/>
  <c r="L614" i="3"/>
  <c r="L612" i="3"/>
  <c r="L590" i="3"/>
  <c r="L677" i="3"/>
  <c r="L675" i="3"/>
  <c r="L674" i="3"/>
  <c r="L617" i="3"/>
  <c r="L670" i="3"/>
  <c r="L516" i="3"/>
  <c r="L611" i="3"/>
  <c r="L42" i="3"/>
  <c r="L53" i="3"/>
  <c r="L512" i="3"/>
  <c r="L567" i="3"/>
  <c r="L761" i="3"/>
  <c r="L744" i="3"/>
  <c r="L517" i="3"/>
  <c r="L760" i="3"/>
  <c r="L726" i="3"/>
  <c r="L576" i="3"/>
  <c r="L193" i="3"/>
  <c r="L513" i="3"/>
  <c r="L764" i="3"/>
  <c r="L694" i="3"/>
  <c r="L695" i="3"/>
  <c r="L742" i="3"/>
  <c r="L514" i="3"/>
  <c r="L762" i="3"/>
  <c r="L763" i="3"/>
  <c r="L693" i="3"/>
  <c r="L490" i="3"/>
  <c r="L491" i="3"/>
  <c r="L727" i="3"/>
  <c r="L687" i="3"/>
  <c r="L635" i="3"/>
  <c r="L575" i="3"/>
  <c r="L492" i="3"/>
  <c r="L728" i="3"/>
  <c r="L729" i="3"/>
  <c r="L493" i="3"/>
  <c r="L573" i="3"/>
  <c r="L730" i="3"/>
  <c r="L731" i="3"/>
  <c r="L569" i="3"/>
  <c r="L732" i="3"/>
  <c r="L572" i="3"/>
  <c r="L755" i="3"/>
  <c r="L571" i="3"/>
  <c r="L599" i="3"/>
  <c r="L600" i="3"/>
  <c r="L601" i="3"/>
  <c r="L602" i="3"/>
  <c r="L603" i="3"/>
  <c r="L604" i="3"/>
  <c r="L620" i="3"/>
  <c r="L621" i="3"/>
  <c r="L746" i="3"/>
  <c r="L747" i="3"/>
  <c r="L748" i="3"/>
  <c r="L749" i="3"/>
  <c r="L750" i="3"/>
  <c r="L751" i="3"/>
  <c r="L752" i="3"/>
  <c r="L753" i="3"/>
  <c r="L754" i="3"/>
  <c r="L756" i="3"/>
  <c r="L757" i="3"/>
  <c r="L758" i="3"/>
  <c r="L759" i="3"/>
  <c r="L521" i="3"/>
  <c r="L440" i="3"/>
  <c r="L680" i="3"/>
  <c r="L522" i="3"/>
  <c r="L441" i="3"/>
  <c r="L442" i="3"/>
  <c r="L523" i="3"/>
  <c r="L524" i="3"/>
  <c r="L525" i="3"/>
  <c r="L526" i="3"/>
  <c r="L527" i="3"/>
  <c r="L528" i="3"/>
  <c r="L529" i="3"/>
  <c r="L530" i="3"/>
  <c r="L531" i="3"/>
  <c r="L532" i="3"/>
  <c r="L533" i="3"/>
  <c r="L534" i="3"/>
  <c r="L535" i="3"/>
  <c r="L536" i="3"/>
  <c r="L537" i="3"/>
  <c r="L538" i="3"/>
  <c r="L494" i="3"/>
  <c r="L495" i="3"/>
  <c r="L496" i="3"/>
  <c r="L497" i="3"/>
  <c r="L498" i="3"/>
  <c r="L499" i="3"/>
  <c r="L500" i="3"/>
  <c r="L501" i="3"/>
  <c r="L502" i="3"/>
  <c r="L503" i="3"/>
  <c r="L504" i="3"/>
  <c r="L505" i="3"/>
  <c r="L506" i="3"/>
  <c r="L507" i="3"/>
  <c r="L508" i="3"/>
  <c r="L509" i="3"/>
  <c r="L518" i="3"/>
  <c r="L519" i="3"/>
  <c r="L570" i="3"/>
  <c r="L449" i="3"/>
  <c r="L686" i="3"/>
  <c r="L656" i="3"/>
  <c r="L450" i="3"/>
  <c r="L451" i="3"/>
  <c r="L452" i="3"/>
  <c r="L646" i="3"/>
  <c r="L453" i="3"/>
  <c r="L454" i="3"/>
  <c r="L587" i="3"/>
  <c r="L644" i="3"/>
  <c r="L455" i="3"/>
  <c r="L456" i="3"/>
  <c r="L579" i="3"/>
  <c r="L578" i="3"/>
  <c r="L652" i="3"/>
  <c r="L457" i="3"/>
  <c r="L638" i="3"/>
  <c r="L458" i="3"/>
  <c r="L459" i="3"/>
  <c r="L622" i="3"/>
  <c r="L460" i="3"/>
  <c r="L640" i="3"/>
  <c r="L689" i="3"/>
  <c r="L461" i="3"/>
  <c r="L688" i="3"/>
  <c r="L443" i="3"/>
  <c r="L444" i="3"/>
  <c r="L445" i="3"/>
  <c r="L446" i="3"/>
  <c r="L447" i="3"/>
  <c r="L448" i="3"/>
  <c r="L594" i="3"/>
  <c r="L631" i="3"/>
  <c r="L632" i="3"/>
  <c r="L633" i="3"/>
  <c r="L636" i="3"/>
  <c r="L642" i="3"/>
  <c r="L648" i="3"/>
  <c r="L650" i="3"/>
  <c r="L681" i="3"/>
  <c r="L607" i="3"/>
  <c r="L474" i="3"/>
  <c r="L475" i="3"/>
  <c r="L476" i="3"/>
  <c r="L477" i="3"/>
  <c r="L478" i="3"/>
  <c r="L479" i="3"/>
  <c r="L647" i="3"/>
  <c r="L480" i="3"/>
  <c r="L481" i="3"/>
  <c r="L482" i="3"/>
  <c r="L649" i="3"/>
  <c r="L483" i="3"/>
  <c r="L653" i="3"/>
  <c r="L484" i="3"/>
  <c r="L485" i="3"/>
  <c r="L639" i="3"/>
  <c r="L486" i="3"/>
  <c r="L582" i="3"/>
  <c r="L637" i="3"/>
  <c r="L583" i="3"/>
  <c r="L487" i="3"/>
  <c r="L488" i="3"/>
  <c r="L690" i="3"/>
  <c r="L641" i="3"/>
  <c r="L588" i="3"/>
  <c r="L489" i="3"/>
  <c r="L598" i="3"/>
  <c r="L629" i="3"/>
  <c r="L630" i="3"/>
  <c r="L643" i="3"/>
  <c r="L645" i="3"/>
  <c r="L651" i="3"/>
  <c r="L682" i="3"/>
  <c r="L163" i="3"/>
  <c r="L25" i="3"/>
  <c r="L304" i="3"/>
  <c r="L192" i="3"/>
  <c r="L266" i="3"/>
  <c r="L274" i="3"/>
  <c r="L162" i="3"/>
  <c r="L269" i="3"/>
  <c r="L26" i="3"/>
  <c r="L165" i="3"/>
  <c r="L164" i="3"/>
  <c r="L166" i="3"/>
  <c r="L268" i="3"/>
  <c r="L271" i="3"/>
  <c r="L322" i="3"/>
  <c r="L324" i="3"/>
  <c r="L169" i="3"/>
  <c r="L187" i="3"/>
  <c r="L261" i="3"/>
  <c r="L264" i="3"/>
  <c r="L265" i="3"/>
  <c r="L275" i="3"/>
  <c r="L301" i="3"/>
  <c r="L311" i="3"/>
  <c r="L323" i="3"/>
  <c r="L325" i="3"/>
  <c r="L326" i="3"/>
  <c r="L327" i="3"/>
  <c r="L328" i="3"/>
  <c r="L329" i="3"/>
  <c r="L435" i="3"/>
  <c r="L539" i="3"/>
  <c r="L608" i="3"/>
  <c r="L48" i="3"/>
  <c r="L32" i="3"/>
  <c r="L35" i="3"/>
  <c r="L84" i="3"/>
  <c r="L115" i="3"/>
  <c r="L122" i="3"/>
  <c r="L129" i="3"/>
  <c r="L167" i="3"/>
  <c r="L270" i="3"/>
  <c r="L272" i="3"/>
  <c r="L273" i="3"/>
  <c r="L335" i="3"/>
  <c r="L336" i="3"/>
  <c r="L348" i="3"/>
  <c r="L393" i="3"/>
  <c r="L394" i="3"/>
  <c r="L395" i="3"/>
  <c r="L396" i="3"/>
  <c r="L397" i="3"/>
  <c r="L433" i="3"/>
  <c r="L436" i="3"/>
  <c r="K767" i="27"/>
  <c r="G6" i="3"/>
  <c r="G9" i="3"/>
  <c r="G10" i="3"/>
  <c r="G11" i="3"/>
  <c r="G12" i="3"/>
  <c r="G16" i="3"/>
  <c r="G17" i="3"/>
  <c r="G18" i="3"/>
  <c r="G19" i="3"/>
  <c r="G20" i="3"/>
  <c r="G22" i="3"/>
  <c r="G23" i="3"/>
  <c r="G24" i="3"/>
  <c r="G25" i="3"/>
  <c r="G26" i="3"/>
  <c r="G708" i="3"/>
  <c r="G709" i="3"/>
  <c r="G30" i="3"/>
  <c r="G31" i="3"/>
  <c r="G33" i="3"/>
  <c r="G34" i="3"/>
  <c r="G36" i="3"/>
  <c r="G37" i="3"/>
  <c r="G38" i="3"/>
  <c r="G39" i="3"/>
  <c r="G40" i="3"/>
  <c r="G41" i="3"/>
  <c r="G45" i="3"/>
  <c r="G46" i="3"/>
  <c r="G47" i="3"/>
  <c r="G49" i="3"/>
  <c r="G50" i="3"/>
  <c r="G51" i="3"/>
  <c r="G52" i="3"/>
  <c r="G710" i="3"/>
  <c r="G698" i="3"/>
  <c r="G369" i="3"/>
  <c r="G332" i="3"/>
  <c r="G705" i="3"/>
  <c r="G65" i="3"/>
  <c r="G77" i="3"/>
  <c r="G61" i="3"/>
  <c r="G62" i="3"/>
  <c r="G72" i="3"/>
  <c r="G63" i="3"/>
  <c r="G93" i="3"/>
  <c r="G66" i="3"/>
  <c r="G368" i="3"/>
  <c r="G365" i="3"/>
  <c r="G316" i="3"/>
  <c r="G70" i="3"/>
  <c r="G71" i="3"/>
  <c r="G67" i="3"/>
  <c r="G73" i="3"/>
  <c r="G74" i="3"/>
  <c r="G75" i="3"/>
  <c r="G76" i="3"/>
  <c r="G106" i="3"/>
  <c r="G105" i="3"/>
  <c r="G114" i="3"/>
  <c r="G80" i="3"/>
  <c r="G702" i="3"/>
  <c r="G86" i="3"/>
  <c r="G276" i="3"/>
  <c r="G437" i="3"/>
  <c r="G82" i="3"/>
  <c r="G356" i="3"/>
  <c r="G88" i="3"/>
  <c r="G127" i="3"/>
  <c r="G355" i="3"/>
  <c r="G81" i="3"/>
  <c r="G358" i="3"/>
  <c r="G319" i="3"/>
  <c r="G195" i="3"/>
  <c r="G96" i="3"/>
  <c r="G279" i="3"/>
  <c r="G120" i="3"/>
  <c r="G706" i="3"/>
  <c r="G99" i="3"/>
  <c r="G100" i="3"/>
  <c r="G331" i="3"/>
  <c r="G102" i="3"/>
  <c r="G315" i="3"/>
  <c r="G577" i="3"/>
  <c r="G699" i="3"/>
  <c r="G711" i="3"/>
  <c r="G112" i="3"/>
  <c r="G108" i="3"/>
  <c r="G109" i="3"/>
  <c r="G110" i="3"/>
  <c r="G111" i="3"/>
  <c r="G438" i="3"/>
  <c r="G54" i="3"/>
  <c r="G117" i="3"/>
  <c r="G119" i="3"/>
  <c r="G78" i="3"/>
  <c r="G124" i="3"/>
  <c r="G125" i="3"/>
  <c r="G126" i="3"/>
  <c r="G27" i="3"/>
  <c r="G511" i="3"/>
  <c r="G130" i="3"/>
  <c r="G131" i="3"/>
  <c r="G132" i="3"/>
  <c r="G135" i="3"/>
  <c r="G136" i="3"/>
  <c r="G137" i="3"/>
  <c r="G144" i="3"/>
  <c r="G146" i="3"/>
  <c r="G150" i="3"/>
  <c r="G152" i="3"/>
  <c r="G154" i="3"/>
  <c r="G155" i="3"/>
  <c r="G156" i="3"/>
  <c r="G157" i="3"/>
  <c r="G158" i="3"/>
  <c r="G159" i="3"/>
  <c r="G160" i="3"/>
  <c r="G161" i="3"/>
  <c r="G162" i="3"/>
  <c r="G163" i="3"/>
  <c r="G164" i="3"/>
  <c r="G165" i="3"/>
  <c r="G166" i="3"/>
  <c r="G168" i="3"/>
  <c r="G170" i="3"/>
  <c r="G171" i="3"/>
  <c r="G173" i="3"/>
  <c r="G174" i="3"/>
  <c r="G175" i="3"/>
  <c r="G176" i="3"/>
  <c r="G177" i="3"/>
  <c r="G178" i="3"/>
  <c r="G179" i="3"/>
  <c r="G180" i="3"/>
  <c r="G182" i="3"/>
  <c r="G183" i="3"/>
  <c r="G184" i="3"/>
  <c r="G186" i="3"/>
  <c r="G188" i="3"/>
  <c r="G189" i="3"/>
  <c r="G190" i="3"/>
  <c r="G191" i="3"/>
  <c r="G192" i="3"/>
  <c r="G194" i="3"/>
  <c r="G69" i="3"/>
  <c r="G196" i="3"/>
  <c r="G198" i="3"/>
  <c r="G199" i="3"/>
  <c r="G366" i="3"/>
  <c r="G318" i="3"/>
  <c r="G203" i="3"/>
  <c r="G206" i="3"/>
  <c r="G208" i="3"/>
  <c r="G209" i="3"/>
  <c r="G213" i="3"/>
  <c r="G223" i="3"/>
  <c r="G224" i="3"/>
  <c r="G231" i="3"/>
  <c r="G233" i="3"/>
  <c r="G235" i="3"/>
  <c r="G240" i="3"/>
  <c r="G251" i="3"/>
  <c r="G153" i="3"/>
  <c r="G256" i="3"/>
  <c r="G262" i="3"/>
  <c r="G90" i="3"/>
  <c r="G269" i="3"/>
  <c r="G274" i="3"/>
  <c r="G68" i="3"/>
  <c r="G360" i="3"/>
  <c r="G278" i="3"/>
  <c r="G357" i="3"/>
  <c r="G280" i="3"/>
  <c r="G281" i="3"/>
  <c r="G282" i="3"/>
  <c r="G283" i="3"/>
  <c r="G285" i="3"/>
  <c r="G288" i="3"/>
  <c r="G289" i="3"/>
  <c r="G291" i="3"/>
  <c r="G292" i="3"/>
  <c r="G294" i="3"/>
  <c r="G295" i="3"/>
  <c r="G296" i="3"/>
  <c r="G298" i="3"/>
  <c r="G299" i="3"/>
  <c r="G300" i="3"/>
  <c r="G302" i="3"/>
  <c r="G303" i="3"/>
  <c r="G304" i="3"/>
  <c r="G305" i="3"/>
  <c r="G306" i="3"/>
  <c r="G317" i="3"/>
  <c r="G309" i="3"/>
  <c r="G310" i="3"/>
  <c r="G312" i="3"/>
  <c r="G201" i="3"/>
  <c r="G103" i="3"/>
  <c r="G712" i="3"/>
  <c r="G713" i="3"/>
  <c r="G714" i="3"/>
  <c r="G313" i="3"/>
  <c r="G734" i="3"/>
  <c r="G735" i="3"/>
  <c r="G321" i="3"/>
  <c r="G324" i="3"/>
  <c r="G330" i="3"/>
  <c r="G510" i="3"/>
  <c r="G707" i="3"/>
  <c r="G373" i="3"/>
  <c r="G334" i="3"/>
  <c r="G337" i="3"/>
  <c r="G338" i="3"/>
  <c r="G339" i="3"/>
  <c r="G340" i="3"/>
  <c r="G341" i="3"/>
  <c r="G342" i="3"/>
  <c r="G343" i="3"/>
  <c r="G344" i="3"/>
  <c r="G345" i="3"/>
  <c r="G346" i="3"/>
  <c r="G347" i="3"/>
  <c r="G349" i="3"/>
  <c r="G350" i="3"/>
  <c r="G351" i="3"/>
  <c r="G352" i="3"/>
  <c r="G277" i="3"/>
  <c r="G367" i="3"/>
  <c r="G89" i="3"/>
  <c r="G91" i="3"/>
  <c r="G59" i="3"/>
  <c r="G696" i="3"/>
  <c r="G128" i="3"/>
  <c r="G55" i="3"/>
  <c r="G94" i="3"/>
  <c r="G200" i="3"/>
  <c r="G736" i="3"/>
  <c r="G363" i="3"/>
  <c r="G364" i="3"/>
  <c r="G737" i="3"/>
  <c r="G738" i="3"/>
  <c r="G739" i="3"/>
  <c r="G740" i="3"/>
  <c r="G741" i="3"/>
  <c r="G370" i="3"/>
  <c r="G371" i="3"/>
  <c r="G372" i="3"/>
  <c r="G28" i="3"/>
  <c r="G374" i="3"/>
  <c r="G375" i="3"/>
  <c r="G376" i="3"/>
  <c r="G377" i="3"/>
  <c r="G379" i="3"/>
  <c r="G380" i="3"/>
  <c r="G381" i="3"/>
  <c r="G382" i="3"/>
  <c r="G383" i="3"/>
  <c r="G384" i="3"/>
  <c r="G385" i="3"/>
  <c r="G386" i="3"/>
  <c r="G387" i="3"/>
  <c r="G745" i="3"/>
  <c r="G390" i="3"/>
  <c r="G391" i="3"/>
  <c r="G392" i="3"/>
  <c r="G398" i="3"/>
  <c r="G399" i="3"/>
  <c r="G400" i="3"/>
  <c r="G401" i="3"/>
  <c r="G402" i="3"/>
  <c r="G403" i="3"/>
  <c r="G404" i="3"/>
  <c r="G405" i="3"/>
  <c r="G406" i="3"/>
  <c r="G407" i="3"/>
  <c r="G408" i="3"/>
  <c r="G409" i="3"/>
  <c r="G410" i="3"/>
  <c r="G411" i="3"/>
  <c r="G412" i="3"/>
  <c r="G413" i="3"/>
  <c r="G414" i="3"/>
  <c r="G415" i="3"/>
  <c r="G416" i="3"/>
  <c r="G417" i="3"/>
  <c r="G418" i="3"/>
  <c r="G439" i="3"/>
  <c r="G419" i="3"/>
  <c r="G420" i="3"/>
  <c r="G722" i="3"/>
  <c r="G421" i="3"/>
  <c r="G422" i="3"/>
  <c r="G423" i="3"/>
  <c r="G424" i="3"/>
  <c r="G425" i="3"/>
  <c r="G426" i="3"/>
  <c r="G427" i="3"/>
  <c r="G428" i="3"/>
  <c r="G429" i="3"/>
  <c r="G430" i="3"/>
  <c r="G431" i="3"/>
  <c r="G432" i="3"/>
  <c r="G434" i="3"/>
  <c r="G435" i="3"/>
  <c r="G389" i="3"/>
  <c r="G308"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97" i="3"/>
  <c r="G36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74" i="3"/>
  <c r="G595" i="3"/>
  <c r="G691" i="3"/>
  <c r="G692" i="3"/>
  <c r="G693" i="3"/>
  <c r="G694" i="3"/>
  <c r="G290" i="3"/>
  <c r="G151" i="3"/>
  <c r="G695" i="3"/>
  <c r="G704" i="3"/>
  <c r="G697" i="3"/>
  <c r="G353" i="3"/>
  <c r="G57" i="3"/>
  <c r="G113" i="3"/>
  <c r="G219" i="3"/>
  <c r="G85" i="3"/>
  <c r="G92" i="3"/>
  <c r="G354" i="3"/>
  <c r="G266" i="3"/>
  <c r="G79" i="3"/>
  <c r="G98" i="3"/>
  <c r="G564" i="3"/>
  <c r="G565" i="3"/>
  <c r="G566" i="3"/>
  <c r="G567" i="3"/>
  <c r="G568" i="3"/>
  <c r="G569" i="3"/>
  <c r="G212" i="3"/>
  <c r="G570" i="3"/>
  <c r="G571" i="3"/>
  <c r="G572" i="3"/>
  <c r="G573" i="3"/>
  <c r="G333" i="3"/>
  <c r="G575" i="3"/>
  <c r="G576" i="3"/>
  <c r="G53" i="3"/>
  <c r="G578" i="3"/>
  <c r="G579" i="3"/>
  <c r="G580" i="3"/>
  <c r="G581" i="3"/>
  <c r="G582" i="3"/>
  <c r="G583" i="3"/>
  <c r="G286" i="3"/>
  <c r="G42" i="3"/>
  <c r="G207" i="3"/>
  <c r="G121" i="3"/>
  <c r="G197" i="3"/>
  <c r="G226" i="3"/>
  <c r="G241" i="3"/>
  <c r="G284" i="3"/>
  <c r="G297" i="3"/>
  <c r="G14" i="3"/>
  <c r="G388" i="3"/>
  <c r="G13" i="3"/>
  <c r="G21" i="3"/>
  <c r="G43" i="3"/>
  <c r="G133" i="3"/>
  <c r="G142" i="3"/>
  <c r="G145" i="3"/>
  <c r="G147" i="3"/>
  <c r="G185" i="3"/>
  <c r="G210" i="3"/>
  <c r="G202" i="3"/>
  <c r="G204" i="3"/>
  <c r="G205" i="3"/>
  <c r="G218" i="3"/>
  <c r="G211" i="3"/>
  <c r="G215" i="3"/>
  <c r="G216" i="3"/>
  <c r="G220" i="3"/>
  <c r="G225" i="3"/>
  <c r="G227" i="3"/>
  <c r="G234" i="3"/>
  <c r="G230" i="3"/>
  <c r="G232" i="3"/>
  <c r="G244" i="3"/>
  <c r="G245" i="3"/>
  <c r="G246" i="3"/>
  <c r="G249" i="3"/>
  <c r="G250" i="3"/>
  <c r="G260" i="3"/>
  <c r="G252" i="3"/>
  <c r="G257" i="3"/>
  <c r="G258" i="3"/>
  <c r="G263" i="3"/>
  <c r="G701" i="3"/>
  <c r="G393" i="3"/>
  <c r="G394" i="3"/>
  <c r="G395" i="3"/>
  <c r="G396" i="3"/>
  <c r="G397" i="3"/>
  <c r="G433" i="3"/>
  <c r="G214" i="3"/>
  <c r="G217" i="3"/>
  <c r="G228" i="3"/>
  <c r="G221" i="3"/>
  <c r="G222" i="3"/>
  <c r="G229" i="3"/>
  <c r="G243" i="3"/>
  <c r="G248" i="3"/>
  <c r="G253" i="3"/>
  <c r="G259" i="3"/>
  <c r="G314" i="3"/>
  <c r="G585" i="3"/>
  <c r="G586" i="3"/>
  <c r="G56" i="3"/>
  <c r="G95" i="3"/>
  <c r="G362" i="3"/>
  <c r="G83" i="3"/>
  <c r="G703" i="3"/>
  <c r="G87" i="3"/>
  <c r="G715" i="3"/>
  <c r="G436" i="3"/>
  <c r="G29" i="3"/>
  <c r="G32" i="3"/>
  <c r="G35" i="3"/>
  <c r="G48" i="3"/>
  <c r="G716" i="3"/>
  <c r="G717" i="3"/>
  <c r="G718" i="3"/>
  <c r="G64" i="3"/>
  <c r="G719" i="3"/>
  <c r="G84" i="3"/>
  <c r="G720" i="3"/>
  <c r="G721" i="3"/>
  <c r="G723" i="3"/>
  <c r="G115" i="3"/>
  <c r="G116" i="3"/>
  <c r="G118" i="3"/>
  <c r="G122" i="3"/>
  <c r="G129" i="3"/>
  <c r="G134" i="3"/>
  <c r="G138" i="3"/>
  <c r="G139" i="3"/>
  <c r="G140" i="3"/>
  <c r="G141" i="3"/>
  <c r="G148" i="3"/>
  <c r="G149" i="3"/>
  <c r="G167" i="3"/>
  <c r="G169" i="3"/>
  <c r="G172" i="3"/>
  <c r="G181" i="3"/>
  <c r="G724" i="3"/>
  <c r="G187" i="3"/>
  <c r="G725" i="3"/>
  <c r="G236" i="3"/>
  <c r="G237" i="3"/>
  <c r="G238" i="3"/>
  <c r="G239" i="3"/>
  <c r="G242" i="3"/>
  <c r="G247" i="3"/>
  <c r="G254" i="3"/>
  <c r="G255" i="3"/>
  <c r="G261" i="3"/>
  <c r="G264" i="3"/>
  <c r="G265" i="3"/>
  <c r="G268" i="3"/>
  <c r="G270" i="3"/>
  <c r="G271" i="3"/>
  <c r="G272" i="3"/>
  <c r="G273" i="3"/>
  <c r="G275" i="3"/>
  <c r="G293" i="3"/>
  <c r="G301" i="3"/>
  <c r="G307" i="3"/>
  <c r="G311" i="3"/>
  <c r="G726" i="3"/>
  <c r="G727" i="3"/>
  <c r="G728" i="3"/>
  <c r="G729" i="3"/>
  <c r="G730" i="3"/>
  <c r="G322" i="3"/>
  <c r="G323" i="3"/>
  <c r="G325" i="3"/>
  <c r="G326" i="3"/>
  <c r="G327" i="3"/>
  <c r="G328" i="3"/>
  <c r="G329" i="3"/>
  <c r="G335" i="3"/>
  <c r="G336" i="3"/>
  <c r="G731" i="3"/>
  <c r="G348" i="3"/>
  <c r="G732" i="3"/>
  <c r="G378" i="3"/>
  <c r="G733" i="3"/>
  <c r="G107" i="3"/>
  <c r="G320" i="3"/>
  <c r="G58" i="3"/>
  <c r="G587" i="3"/>
  <c r="G588" i="3"/>
  <c r="G589" i="3"/>
  <c r="G590" i="3"/>
  <c r="G591" i="3"/>
  <c r="G742" i="3"/>
  <c r="G592" i="3"/>
  <c r="G593" i="3"/>
  <c r="G594" i="3"/>
  <c r="G596" i="3"/>
  <c r="G597" i="3"/>
  <c r="G598" i="3"/>
  <c r="G744" i="3"/>
  <c r="G104" i="3"/>
  <c r="G599" i="3"/>
  <c r="G600" i="3"/>
  <c r="G601" i="3"/>
  <c r="G602" i="3"/>
  <c r="G603" i="3"/>
  <c r="G604" i="3"/>
  <c r="G605" i="3"/>
  <c r="G606" i="3"/>
  <c r="G607" i="3"/>
  <c r="G608" i="3"/>
  <c r="G609" i="3"/>
  <c r="G359" i="3"/>
  <c r="G610" i="3"/>
  <c r="G611" i="3"/>
  <c r="G612" i="3"/>
  <c r="G613" i="3"/>
  <c r="G614" i="3"/>
  <c r="G615" i="3"/>
  <c r="G616" i="3"/>
  <c r="G617" i="3"/>
  <c r="G618" i="3"/>
  <c r="G619" i="3"/>
  <c r="G746" i="3"/>
  <c r="G747" i="3"/>
  <c r="G748" i="3"/>
  <c r="G749" i="3"/>
  <c r="G750" i="3"/>
  <c r="G751" i="3"/>
  <c r="G752" i="3"/>
  <c r="G753" i="3"/>
  <c r="G754" i="3"/>
  <c r="G755" i="3"/>
  <c r="G756" i="3"/>
  <c r="G757" i="3"/>
  <c r="G758" i="3"/>
  <c r="G759" i="3"/>
  <c r="G620" i="3"/>
  <c r="G621" i="3"/>
  <c r="G760" i="3"/>
  <c r="G761" i="3"/>
  <c r="G762" i="3"/>
  <c r="G763" i="3"/>
  <c r="G764" i="3"/>
  <c r="G622" i="3"/>
  <c r="G623" i="3"/>
  <c r="G624" i="3"/>
  <c r="G625" i="3"/>
  <c r="G626" i="3"/>
  <c r="G627" i="3"/>
  <c r="G628" i="3"/>
  <c r="G629" i="3"/>
  <c r="G630" i="3"/>
  <c r="G631" i="3"/>
  <c r="G632" i="3"/>
  <c r="G633" i="3"/>
  <c r="G584" i="3"/>
  <c r="G700" i="3"/>
  <c r="G634" i="3"/>
  <c r="G635" i="3"/>
  <c r="G636" i="3"/>
  <c r="G637" i="3"/>
  <c r="G638" i="3"/>
  <c r="G639" i="3"/>
  <c r="G640" i="3"/>
  <c r="G641" i="3"/>
  <c r="G642" i="3"/>
  <c r="G643" i="3"/>
  <c r="G644" i="3"/>
  <c r="G645" i="3"/>
  <c r="G646" i="3"/>
  <c r="G647" i="3"/>
  <c r="G648" i="3"/>
  <c r="G649" i="3"/>
  <c r="G650" i="3"/>
  <c r="G651" i="3"/>
  <c r="G652" i="3"/>
  <c r="G653" i="3"/>
  <c r="G123" i="3"/>
  <c r="G193" i="3"/>
  <c r="G14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0" i="3"/>
  <c r="G8" i="3"/>
  <c r="G7" i="3"/>
  <c r="G679" i="3"/>
  <c r="G15" i="3"/>
  <c r="G287" i="3"/>
  <c r="G680" i="3"/>
  <c r="G681" i="3"/>
  <c r="G44" i="3"/>
  <c r="G101" i="3"/>
  <c r="G682" i="3"/>
  <c r="G743" i="3"/>
  <c r="G765" i="3"/>
  <c r="G267" i="3"/>
  <c r="G766" i="3"/>
  <c r="G683" i="3"/>
  <c r="G684" i="3"/>
  <c r="G685" i="3"/>
  <c r="G686" i="3"/>
  <c r="G687" i="3"/>
  <c r="G688" i="3"/>
  <c r="G689" i="3"/>
  <c r="G767" i="3"/>
  <c r="G768" i="3"/>
  <c r="G690" i="3"/>
  <c r="G769" i="3"/>
  <c r="G770" i="3"/>
  <c r="G771" i="3"/>
  <c r="O181" i="3" a="1"/>
  <c r="O181" i="3" s="1"/>
  <c r="O704" i="3" a="1"/>
  <c r="O704" i="3" s="1"/>
  <c r="O708" i="3" a="1"/>
  <c r="O708" i="3" s="1"/>
  <c r="O709" i="3" a="1"/>
  <c r="O709" i="3" s="1"/>
  <c r="O30" i="3" a="1"/>
  <c r="O30" i="3" s="1"/>
  <c r="O625" i="3" a="1"/>
  <c r="O625" i="3" s="1"/>
  <c r="O31" i="3" a="1"/>
  <c r="O31" i="3" s="1"/>
  <c r="O33" i="3" a="1"/>
  <c r="O33" i="3" s="1"/>
  <c r="O34" i="3" a="1"/>
  <c r="O34" i="3" s="1"/>
  <c r="O608" i="3" a="1"/>
  <c r="O608" i="3" s="1"/>
  <c r="O36" i="3" a="1"/>
  <c r="O36" i="3" s="1"/>
  <c r="O37" i="3" a="1"/>
  <c r="O37" i="3" s="1"/>
  <c r="O761" i="3" a="1"/>
  <c r="O761" i="3" s="1"/>
  <c r="O353" i="3" a="1"/>
  <c r="O353" i="3" s="1"/>
  <c r="O699" i="3" a="1"/>
  <c r="O699" i="3" s="1"/>
  <c r="O710" i="3" a="1"/>
  <c r="O710" i="3" s="1"/>
  <c r="O698" i="3" a="1"/>
  <c r="O698" i="3" s="1"/>
  <c r="O57" i="3" a="1"/>
  <c r="O57" i="3" s="1"/>
  <c r="O369" i="3" a="1"/>
  <c r="O369" i="3" s="1"/>
  <c r="O510" i="3" a="1"/>
  <c r="O510" i="3" s="1"/>
  <c r="O589" i="3" a="1"/>
  <c r="O589" i="3" s="1"/>
  <c r="O606" i="3" a="1"/>
  <c r="O606" i="3" s="1"/>
  <c r="O607" i="3" a="1"/>
  <c r="O607" i="3" s="1"/>
  <c r="O389" i="3" a="1"/>
  <c r="O389" i="3" s="1"/>
  <c r="O605" i="3" a="1"/>
  <c r="O605" i="3" s="1"/>
  <c r="O332" i="3" a="1"/>
  <c r="O332" i="3" s="1"/>
  <c r="O705" i="3" a="1"/>
  <c r="O705" i="3" s="1"/>
  <c r="O65" i="3" a="1"/>
  <c r="O65" i="3" s="1"/>
  <c r="O77" i="3" a="1"/>
  <c r="O77" i="3" s="1"/>
  <c r="O61" i="3" a="1"/>
  <c r="O61" i="3" s="1"/>
  <c r="O635" i="3" a="1"/>
  <c r="O635" i="3" s="1"/>
  <c r="O62" i="3" a="1"/>
  <c r="O62" i="3" s="1"/>
  <c r="O72" i="3" a="1"/>
  <c r="O72" i="3" s="1"/>
  <c r="O368" i="3" a="1"/>
  <c r="O368" i="3" s="1"/>
  <c r="O365" i="3" a="1"/>
  <c r="O365" i="3" s="1"/>
  <c r="O316" i="3" a="1"/>
  <c r="O316" i="3" s="1"/>
  <c r="O210" i="3" a="1"/>
  <c r="O210" i="3" s="1"/>
  <c r="O263" i="3" a="1"/>
  <c r="O263" i="3" s="1"/>
  <c r="O690" i="3" a="1"/>
  <c r="O690" i="3" s="1"/>
  <c r="O440" i="3" a="1"/>
  <c r="O440" i="3" s="1"/>
  <c r="O441" i="3" a="1"/>
  <c r="O441" i="3" s="1"/>
  <c r="O442" i="3" a="1"/>
  <c r="O442" i="3" s="1"/>
  <c r="O537" i="3" a="1"/>
  <c r="O537" i="3" s="1"/>
  <c r="O538" i="3" a="1"/>
  <c r="O538" i="3" s="1"/>
  <c r="O143" i="3" a="1"/>
  <c r="O143" i="3" s="1"/>
  <c r="O67" i="3" a="1"/>
  <c r="O67" i="3" s="1"/>
  <c r="O73" i="3" a="1"/>
  <c r="O73" i="3" s="1"/>
  <c r="O74" i="3" a="1"/>
  <c r="O74" i="3" s="1"/>
  <c r="O259" i="3" a="1"/>
  <c r="O259" i="3" s="1"/>
  <c r="O435" i="3" a="1"/>
  <c r="O435" i="3" s="1"/>
  <c r="O764" i="3" a="1"/>
  <c r="O764" i="3" s="1"/>
  <c r="O192" i="3" a="1"/>
  <c r="O192" i="3" s="1"/>
  <c r="O75" i="3" a="1"/>
  <c r="O75" i="3" s="1"/>
  <c r="O324" i="3" a="1"/>
  <c r="O324" i="3" s="1"/>
  <c r="O269" i="3" a="1"/>
  <c r="O269" i="3" s="1"/>
  <c r="O266" i="3" a="1"/>
  <c r="O266" i="3" s="1"/>
  <c r="O270" i="3" a="1"/>
  <c r="O270" i="3" s="1"/>
  <c r="O268" i="3" a="1"/>
  <c r="O268" i="3" s="1"/>
  <c r="O272" i="3" a="1"/>
  <c r="O272" i="3" s="1"/>
  <c r="O273" i="3" a="1"/>
  <c r="O273" i="3" s="1"/>
  <c r="O274" i="3" a="1"/>
  <c r="O274" i="3" s="1"/>
  <c r="O76" i="3" a="1"/>
  <c r="O76" i="3" s="1"/>
  <c r="O193" i="3" a="1"/>
  <c r="O193" i="3" s="1"/>
  <c r="O106" i="3" a="1"/>
  <c r="O106" i="3" s="1"/>
  <c r="O105" i="3" a="1"/>
  <c r="O105" i="3" s="1"/>
  <c r="O114" i="3" a="1"/>
  <c r="O114" i="3" s="1"/>
  <c r="O80" i="3" a="1"/>
  <c r="O80" i="3" s="1"/>
  <c r="O113" i="3" a="1"/>
  <c r="O113" i="3" s="1"/>
  <c r="O564" i="3" a="1"/>
  <c r="O564" i="3" s="1"/>
  <c r="O565" i="3" a="1"/>
  <c r="O565" i="3" s="1"/>
  <c r="O566" i="3" a="1"/>
  <c r="O566" i="3" s="1"/>
  <c r="O693" i="3" a="1"/>
  <c r="O693" i="3" s="1"/>
  <c r="O580" i="3" a="1"/>
  <c r="O580" i="3" s="1"/>
  <c r="O581" i="3" a="1"/>
  <c r="O581" i="3" s="1"/>
  <c r="O516" i="3" a="1"/>
  <c r="O516" i="3" s="1"/>
  <c r="O169" i="3" a="1"/>
  <c r="O169" i="3" s="1"/>
  <c r="O702" i="3" a="1"/>
  <c r="O702" i="3" s="1"/>
  <c r="O377" i="3" a="1"/>
  <c r="O377" i="3" s="1"/>
  <c r="O322" i="3" a="1"/>
  <c r="O322" i="3" s="1"/>
  <c r="O284" i="3" a="1"/>
  <c r="O284" i="3" s="1"/>
  <c r="O86" i="3" a="1"/>
  <c r="O86" i="3" s="1"/>
  <c r="O726" i="3" a="1"/>
  <c r="O726" i="3" s="1"/>
  <c r="O276" i="3" a="1"/>
  <c r="O276" i="3" s="1"/>
  <c r="O762" i="3" a="1"/>
  <c r="O762" i="3" s="1"/>
  <c r="O763" i="3" a="1"/>
  <c r="O763" i="3" s="1"/>
  <c r="O685" i="3" a="1"/>
  <c r="O685" i="3" s="1"/>
  <c r="O684" i="3" a="1"/>
  <c r="O684" i="3" s="1"/>
  <c r="O687" i="3" a="1"/>
  <c r="O687" i="3" s="1"/>
  <c r="O688" i="3" a="1"/>
  <c r="O688" i="3" s="1"/>
  <c r="O689" i="3" a="1"/>
  <c r="O689" i="3" s="1"/>
  <c r="O683" i="3" a="1"/>
  <c r="O683" i="3" s="1"/>
  <c r="O686" i="3" a="1"/>
  <c r="O686" i="3" s="1"/>
  <c r="O85" i="3" a="1"/>
  <c r="O85" i="3" s="1"/>
  <c r="O92" i="3" a="1"/>
  <c r="O92" i="3" s="1"/>
  <c r="O278" i="3" a="1"/>
  <c r="O278" i="3" s="1"/>
  <c r="O727" i="3" a="1"/>
  <c r="O727" i="3" s="1"/>
  <c r="O728" i="3" a="1"/>
  <c r="O728" i="3" s="1"/>
  <c r="O729" i="3" a="1"/>
  <c r="O729" i="3" s="1"/>
  <c r="O730" i="3" a="1"/>
  <c r="O730" i="3" s="1"/>
  <c r="O731" i="3" a="1"/>
  <c r="O731" i="3" s="1"/>
  <c r="O732" i="3" a="1"/>
  <c r="O732" i="3" s="1"/>
  <c r="O354" i="3" a="1"/>
  <c r="O354" i="3" s="1"/>
  <c r="O79" i="3" a="1"/>
  <c r="O79" i="3" s="1"/>
  <c r="O437" i="3" a="1"/>
  <c r="O437" i="3" s="1"/>
  <c r="O82" i="3" a="1"/>
  <c r="O82" i="3" s="1"/>
  <c r="O356" i="3" a="1"/>
  <c r="O356" i="3" s="1"/>
  <c r="O127" i="3" a="1"/>
  <c r="O127" i="3" s="1"/>
  <c r="O496" i="3" a="1"/>
  <c r="O496" i="3" s="1"/>
  <c r="O497" i="3" a="1"/>
  <c r="O497" i="3" s="1"/>
  <c r="O506" i="3" a="1"/>
  <c r="O506" i="3" s="1"/>
  <c r="O26" i="3" a="1"/>
  <c r="O26" i="3" s="1"/>
  <c r="O355" i="3" a="1"/>
  <c r="O355" i="3" s="1"/>
  <c r="O81" i="3" a="1"/>
  <c r="O81" i="3" s="1"/>
  <c r="O358" i="3" a="1"/>
  <c r="O358" i="3" s="1"/>
  <c r="O319" i="3" a="1"/>
  <c r="O319" i="3" s="1"/>
  <c r="O195" i="3" a="1"/>
  <c r="O195" i="3" s="1"/>
  <c r="O96" i="3" a="1"/>
  <c r="O96" i="3" s="1"/>
  <c r="O279" i="3" a="1"/>
  <c r="O279" i="3" s="1"/>
  <c r="O120" i="3" a="1"/>
  <c r="O120" i="3" s="1"/>
  <c r="O706" i="3" a="1"/>
  <c r="O706" i="3" s="1"/>
  <c r="O331" i="3" a="1"/>
  <c r="O331" i="3" s="1"/>
  <c r="O98" i="3" a="1"/>
  <c r="O98" i="3" s="1"/>
  <c r="O315" i="3" a="1"/>
  <c r="O315" i="3" s="1"/>
  <c r="O333" i="3" a="1"/>
  <c r="O333" i="3" s="1"/>
  <c r="O14" i="3" a="1"/>
  <c r="O14" i="3" s="1"/>
  <c r="O577" i="3" a="1"/>
  <c r="O577" i="3" s="1"/>
  <c r="O711" i="3" a="1"/>
  <c r="O711" i="3" s="1"/>
  <c r="O753" i="3" a="1"/>
  <c r="O753" i="3" s="1"/>
  <c r="O112" i="3" a="1"/>
  <c r="O112" i="3" s="1"/>
  <c r="O754" i="3" a="1"/>
  <c r="O754" i="3" s="1"/>
  <c r="O130" i="3" a="1"/>
  <c r="O130" i="3" s="1"/>
  <c r="O110" i="3" a="1"/>
  <c r="O110" i="3" s="1"/>
  <c r="O755" i="3" a="1"/>
  <c r="O755" i="3" s="1"/>
  <c r="O760" i="3" a="1"/>
  <c r="O760" i="3" s="1"/>
  <c r="O756" i="3" a="1"/>
  <c r="O756" i="3" s="1"/>
  <c r="O757" i="3" a="1"/>
  <c r="O757" i="3" s="1"/>
  <c r="O308" i="3" a="1"/>
  <c r="O308" i="3" s="1"/>
  <c r="O701" i="3" a="1"/>
  <c r="O701" i="3" s="1"/>
  <c r="O201" i="3" a="1"/>
  <c r="O201" i="3" s="1"/>
  <c r="O438" i="3" a="1"/>
  <c r="O438" i="3" s="1"/>
  <c r="O54" i="3" a="1"/>
  <c r="O54" i="3" s="1"/>
  <c r="O373" i="3" a="1"/>
  <c r="O373" i="3" s="1"/>
  <c r="O758" i="3" a="1"/>
  <c r="O758" i="3" s="1"/>
  <c r="O314" i="3" a="1"/>
  <c r="O314" i="3" s="1"/>
  <c r="O759" i="3" a="1"/>
  <c r="O759" i="3" s="1"/>
  <c r="O592" i="3" a="1"/>
  <c r="O592" i="3" s="1"/>
  <c r="O593" i="3" a="1"/>
  <c r="O593" i="3" s="1"/>
  <c r="O594" i="3" a="1"/>
  <c r="O594" i="3" s="1"/>
  <c r="O598" i="3" a="1"/>
  <c r="O598" i="3" s="1"/>
  <c r="O682" i="3" a="1"/>
  <c r="O682" i="3" s="1"/>
  <c r="O68" i="3" a="1"/>
  <c r="O68" i="3" s="1"/>
  <c r="O744" i="3" a="1"/>
  <c r="O744" i="3" s="1"/>
  <c r="O27" i="3" a="1"/>
  <c r="O27" i="3" s="1"/>
  <c r="O511" i="3" a="1"/>
  <c r="O511" i="3" s="1"/>
  <c r="O103" i="3" a="1"/>
  <c r="O103" i="3" s="1"/>
  <c r="O56" i="3" a="1"/>
  <c r="O56" i="3" s="1"/>
  <c r="O750" i="3" a="1"/>
  <c r="O750" i="3" s="1"/>
  <c r="O751" i="3" a="1"/>
  <c r="O751" i="3" s="1"/>
  <c r="O95" i="3" a="1"/>
  <c r="O95" i="3" s="1"/>
  <c r="O362" i="3" a="1"/>
  <c r="O362" i="3" s="1"/>
  <c r="O752" i="3" a="1"/>
  <c r="O752" i="3" s="1"/>
  <c r="O191" i="3" a="1"/>
  <c r="O191" i="3" s="1"/>
  <c r="O746" i="3" a="1"/>
  <c r="O746" i="3" s="1"/>
  <c r="O194" i="3" a="1"/>
  <c r="O194" i="3" s="1"/>
  <c r="O747" i="3" a="1"/>
  <c r="O747" i="3" s="1"/>
  <c r="O199" i="3" a="1"/>
  <c r="O199" i="3" s="1"/>
  <c r="O748" i="3" a="1"/>
  <c r="O748" i="3" s="1"/>
  <c r="O366" i="3" a="1"/>
  <c r="O366" i="3" s="1"/>
  <c r="O318" i="3" a="1"/>
  <c r="O318" i="3" s="1"/>
  <c r="O277" i="3" a="1"/>
  <c r="O277" i="3" s="1"/>
  <c r="O90" i="3" a="1"/>
  <c r="O90" i="3" s="1"/>
  <c r="O357" i="3" a="1"/>
  <c r="O357" i="3" s="1"/>
  <c r="O749" i="3" a="1"/>
  <c r="O749" i="3" s="1"/>
  <c r="O280" i="3" a="1"/>
  <c r="O280" i="3" s="1"/>
  <c r="O281" i="3" a="1"/>
  <c r="O281" i="3" s="1"/>
  <c r="O282" i="3" a="1"/>
  <c r="O282" i="3" s="1"/>
  <c r="O367" i="3" a="1"/>
  <c r="O367" i="3" s="1"/>
  <c r="O83" i="3" a="1"/>
  <c r="O83" i="3" s="1"/>
  <c r="O289" i="3" a="1"/>
  <c r="O289" i="3" s="1"/>
  <c r="O300" i="3" a="1"/>
  <c r="O300" i="3" s="1"/>
  <c r="O305" i="3" a="1"/>
  <c r="O305" i="3" s="1"/>
  <c r="O306" i="3" a="1"/>
  <c r="O306" i="3" s="1"/>
  <c r="O317" i="3" a="1"/>
  <c r="O317" i="3" s="1"/>
  <c r="O703" i="3" a="1"/>
  <c r="O703" i="3" s="1"/>
  <c r="O337" i="3" a="1"/>
  <c r="O337" i="3" s="1"/>
  <c r="O338" i="3" a="1"/>
  <c r="O338" i="3" s="1"/>
  <c r="O339" i="3" a="1"/>
  <c r="O339" i="3" s="1"/>
  <c r="O340" i="3" a="1"/>
  <c r="O340" i="3" s="1"/>
  <c r="O341" i="3" a="1"/>
  <c r="O341" i="3" s="1"/>
  <c r="O342" i="3" a="1"/>
  <c r="O342" i="3" s="1"/>
  <c r="O344" i="3" a="1"/>
  <c r="O344" i="3" s="1"/>
  <c r="O345" i="3" a="1"/>
  <c r="O345" i="3" s="1"/>
  <c r="O346" i="3" a="1"/>
  <c r="O346" i="3" s="1"/>
  <c r="O347" i="3" a="1"/>
  <c r="O347" i="3" s="1"/>
  <c r="O736" i="3" a="1"/>
  <c r="O736" i="3" s="1"/>
  <c r="O363" i="3" a="1"/>
  <c r="O363" i="3" s="1"/>
  <c r="O364" i="3" a="1"/>
  <c r="O364" i="3" s="1"/>
  <c r="O737" i="3" a="1"/>
  <c r="O737" i="3" s="1"/>
  <c r="O610" i="3" a="1"/>
  <c r="O610" i="3" s="1"/>
  <c r="O636" i="3" a="1"/>
  <c r="O636" i="3" s="1"/>
  <c r="O637" i="3" a="1"/>
  <c r="O637" i="3" s="1"/>
  <c r="O738" i="3" a="1"/>
  <c r="O738" i="3" s="1"/>
  <c r="O611" i="3" a="1"/>
  <c r="O611" i="3" s="1"/>
  <c r="O638" i="3" a="1"/>
  <c r="O638" i="3" s="1"/>
  <c r="O639" i="3" a="1"/>
  <c r="O639" i="3" s="1"/>
  <c r="O739" i="3" a="1"/>
  <c r="O739" i="3" s="1"/>
  <c r="O612" i="3" a="1"/>
  <c r="O612" i="3" s="1"/>
  <c r="O640" i="3" a="1"/>
  <c r="O640" i="3" s="1"/>
  <c r="O641" i="3" a="1"/>
  <c r="O641" i="3" s="1"/>
  <c r="O740" i="3" a="1"/>
  <c r="O740" i="3" s="1"/>
  <c r="O613" i="3" a="1"/>
  <c r="O613" i="3" s="1"/>
  <c r="O642" i="3" a="1"/>
  <c r="O642" i="3" s="1"/>
  <c r="O643" i="3" a="1"/>
  <c r="O643" i="3" s="1"/>
  <c r="O741" i="3" a="1"/>
  <c r="O741" i="3" s="1"/>
  <c r="O614" i="3" a="1"/>
  <c r="O614" i="3" s="1"/>
  <c r="O644" i="3" a="1"/>
  <c r="O644" i="3" s="1"/>
  <c r="O645" i="3" a="1"/>
  <c r="O645" i="3" s="1"/>
  <c r="O615" i="3" a="1"/>
  <c r="O615" i="3" s="1"/>
  <c r="O646" i="3" a="1"/>
  <c r="O646" i="3" s="1"/>
  <c r="O647" i="3" a="1"/>
  <c r="O647" i="3" s="1"/>
  <c r="O28" i="3" a="1"/>
  <c r="O28" i="3" s="1"/>
  <c r="O616" i="3" a="1"/>
  <c r="O616" i="3" s="1"/>
  <c r="O648" i="3" a="1"/>
  <c r="O648" i="3" s="1"/>
  <c r="O649" i="3" a="1"/>
  <c r="O649" i="3" s="1"/>
  <c r="O379" i="3" a="1"/>
  <c r="O379" i="3" s="1"/>
  <c r="O617" i="3" a="1"/>
  <c r="O617" i="3" s="1"/>
  <c r="O650" i="3" a="1"/>
  <c r="O650" i="3" s="1"/>
  <c r="O651" i="3" a="1"/>
  <c r="O651" i="3" s="1"/>
  <c r="O380" i="3" a="1"/>
  <c r="O380" i="3" s="1"/>
  <c r="O618" i="3" a="1"/>
  <c r="O618" i="3" s="1"/>
  <c r="O652" i="3" a="1"/>
  <c r="O652" i="3" s="1"/>
  <c r="O653" i="3" a="1"/>
  <c r="O653" i="3" s="1"/>
  <c r="O381" i="3" a="1"/>
  <c r="O381" i="3" s="1"/>
  <c r="O382" i="3" a="1"/>
  <c r="O382" i="3" s="1"/>
  <c r="O87" i="3" a="1"/>
  <c r="O87" i="3" s="1"/>
  <c r="O313" i="3" a="1"/>
  <c r="O313" i="3" s="1"/>
  <c r="O398" i="3" a="1"/>
  <c r="O398" i="3" s="1"/>
  <c r="O715" i="3" a="1"/>
  <c r="O715" i="3" s="1"/>
  <c r="O716" i="3" a="1"/>
  <c r="O716" i="3" s="1"/>
  <c r="O717" i="3" a="1"/>
  <c r="O717" i="3" s="1"/>
  <c r="O125" i="3" a="1"/>
  <c r="O125" i="3" s="1"/>
  <c r="O402" i="3" a="1"/>
  <c r="O402" i="3" s="1"/>
  <c r="O718" i="3" a="1"/>
  <c r="O718" i="3" s="1"/>
  <c r="O719" i="3" a="1"/>
  <c r="O719" i="3" s="1"/>
  <c r="O429" i="3" a="1"/>
  <c r="O429" i="3" s="1"/>
  <c r="O403" i="3" a="1"/>
  <c r="O403" i="3" s="1"/>
  <c r="O6" i="3" a="1"/>
  <c r="O6" i="3" s="1"/>
  <c r="O7" i="3" a="1"/>
  <c r="O7" i="3" s="1"/>
  <c r="O8" i="3" a="1"/>
  <c r="O8" i="3" s="1"/>
  <c r="O9" i="3" a="1"/>
  <c r="O9" i="3" s="1"/>
  <c r="O10" i="3" a="1"/>
  <c r="O10" i="3" s="1"/>
  <c r="O11" i="3" a="1"/>
  <c r="O11" i="3" s="1"/>
  <c r="O12" i="3" a="1"/>
  <c r="O12" i="3" s="1"/>
  <c r="O13" i="3" a="1"/>
  <c r="O13" i="3" s="1"/>
  <c r="O60" i="3" a="1"/>
  <c r="O60" i="3" s="1"/>
  <c r="O15" i="3" a="1"/>
  <c r="O15" i="3" s="1"/>
  <c r="O16" i="3" a="1"/>
  <c r="O16" i="3" s="1"/>
  <c r="O17" i="3" a="1"/>
  <c r="O17" i="3" s="1"/>
  <c r="O18" i="3" a="1"/>
  <c r="O18" i="3" s="1"/>
  <c r="O19" i="3" a="1"/>
  <c r="O19" i="3" s="1"/>
  <c r="O20" i="3" a="1"/>
  <c r="O20" i="3" s="1"/>
  <c r="O21" i="3" a="1"/>
  <c r="O21" i="3" s="1"/>
  <c r="O22" i="3" a="1"/>
  <c r="O22" i="3" s="1"/>
  <c r="O23" i="3" a="1"/>
  <c r="O23" i="3" s="1"/>
  <c r="O283" i="3" a="1"/>
  <c r="O283" i="3" s="1"/>
  <c r="O24" i="3" a="1"/>
  <c r="O24" i="3" s="1"/>
  <c r="O25" i="3" a="1"/>
  <c r="O25" i="3" s="1"/>
  <c r="O406" i="3" a="1"/>
  <c r="O406" i="3" s="1"/>
  <c r="O407" i="3" a="1"/>
  <c r="O407" i="3" s="1"/>
  <c r="O29" i="3" a="1"/>
  <c r="O29" i="3" s="1"/>
  <c r="O32" i="3" a="1"/>
  <c r="O32" i="3" s="1"/>
  <c r="O35" i="3" a="1"/>
  <c r="O35" i="3" s="1"/>
  <c r="O39" i="3" a="1"/>
  <c r="O39" i="3" s="1"/>
  <c r="O40" i="3" a="1"/>
  <c r="O40" i="3" s="1"/>
  <c r="O408" i="3" a="1"/>
  <c r="O408" i="3" s="1"/>
  <c r="O41" i="3" a="1"/>
  <c r="O41" i="3" s="1"/>
  <c r="O43" i="3" a="1"/>
  <c r="O43" i="3" s="1"/>
  <c r="O44" i="3" a="1"/>
  <c r="O44" i="3" s="1"/>
  <c r="O45" i="3" a="1"/>
  <c r="O45" i="3" s="1"/>
  <c r="O46" i="3" a="1"/>
  <c r="O46" i="3" s="1"/>
  <c r="O47" i="3" a="1"/>
  <c r="O47" i="3" s="1"/>
  <c r="O48" i="3" a="1"/>
  <c r="O48" i="3" s="1"/>
  <c r="O49" i="3" a="1"/>
  <c r="O49" i="3" s="1"/>
  <c r="O409" i="3" a="1"/>
  <c r="O409" i="3" s="1"/>
  <c r="O410" i="3" a="1"/>
  <c r="O410" i="3" s="1"/>
  <c r="O411" i="3" a="1"/>
  <c r="O411" i="3" s="1"/>
  <c r="O412" i="3" a="1"/>
  <c r="O412" i="3" s="1"/>
  <c r="O413" i="3" a="1"/>
  <c r="O413" i="3" s="1"/>
  <c r="O414" i="3" a="1"/>
  <c r="O414" i="3" s="1"/>
  <c r="O63" i="3" a="1"/>
  <c r="O63" i="3" s="1"/>
  <c r="O64" i="3" a="1"/>
  <c r="O64" i="3" s="1"/>
  <c r="O720" i="3" a="1"/>
  <c r="O720" i="3" s="1"/>
  <c r="O415" i="3" a="1"/>
  <c r="O415" i="3" s="1"/>
  <c r="O126" i="3" a="1"/>
  <c r="O126" i="3" s="1"/>
  <c r="O416" i="3" a="1"/>
  <c r="O416" i="3" s="1"/>
  <c r="O417" i="3" a="1"/>
  <c r="O417" i="3" s="1"/>
  <c r="O418" i="3" a="1"/>
  <c r="O418" i="3" s="1"/>
  <c r="O439" i="3" a="1"/>
  <c r="O439" i="3" s="1"/>
  <c r="O419" i="3" a="1"/>
  <c r="O419" i="3" s="1"/>
  <c r="O84" i="3" a="1"/>
  <c r="O84" i="3" s="1"/>
  <c r="O721" i="3" a="1"/>
  <c r="O721" i="3" s="1"/>
  <c r="O420" i="3" a="1"/>
  <c r="O420" i="3" s="1"/>
  <c r="O722" i="3" a="1"/>
  <c r="O722" i="3" s="1"/>
  <c r="O723" i="3" a="1"/>
  <c r="O723" i="3" s="1"/>
  <c r="O421" i="3" a="1"/>
  <c r="O421" i="3" s="1"/>
  <c r="O422" i="3" a="1"/>
  <c r="O422" i="3" s="1"/>
  <c r="O423" i="3" a="1"/>
  <c r="O423" i="3" s="1"/>
  <c r="O424" i="3" a="1"/>
  <c r="O424" i="3" s="1"/>
  <c r="O427" i="3" a="1"/>
  <c r="O427" i="3" s="1"/>
  <c r="O724" i="3" a="1"/>
  <c r="O724" i="3" s="1"/>
  <c r="O428" i="3" a="1"/>
  <c r="O428" i="3" s="1"/>
  <c r="O115" i="3" a="1"/>
  <c r="O115" i="3" s="1"/>
  <c r="O116" i="3" a="1"/>
  <c r="O116" i="3" s="1"/>
  <c r="O117" i="3" a="1"/>
  <c r="O117" i="3" s="1"/>
  <c r="O118" i="3" a="1"/>
  <c r="O118" i="3" s="1"/>
  <c r="O430" i="3" a="1"/>
  <c r="O430" i="3" s="1"/>
  <c r="O119" i="3" a="1"/>
  <c r="O119" i="3" s="1"/>
  <c r="O78" i="3" a="1"/>
  <c r="O78" i="3" s="1"/>
  <c r="O121" i="3" a="1"/>
  <c r="O121" i="3" s="1"/>
  <c r="O122" i="3" a="1"/>
  <c r="O122" i="3" s="1"/>
  <c r="O123" i="3" a="1"/>
  <c r="O123" i="3" s="1"/>
  <c r="O431" i="3" a="1"/>
  <c r="O431" i="3" s="1"/>
  <c r="O725" i="3" a="1"/>
  <c r="O725" i="3" s="1"/>
  <c r="O97" i="3" a="1"/>
  <c r="O97" i="3" s="1"/>
  <c r="O129" i="3" a="1"/>
  <c r="O129" i="3" s="1"/>
  <c r="O131" i="3" a="1"/>
  <c r="O131" i="3" s="1"/>
  <c r="O132" i="3" a="1"/>
  <c r="O132" i="3" s="1"/>
  <c r="O133" i="3" a="1"/>
  <c r="O133" i="3" s="1"/>
  <c r="O134" i="3" a="1"/>
  <c r="O134" i="3" s="1"/>
  <c r="O135" i="3" a="1"/>
  <c r="O135" i="3" s="1"/>
  <c r="O136" i="3" a="1"/>
  <c r="O136" i="3" s="1"/>
  <c r="O137" i="3" a="1"/>
  <c r="O137" i="3" s="1"/>
  <c r="O138" i="3" a="1"/>
  <c r="O138" i="3" s="1"/>
  <c r="O139" i="3" a="1"/>
  <c r="O139" i="3" s="1"/>
  <c r="O140" i="3" a="1"/>
  <c r="O140" i="3" s="1"/>
  <c r="O141" i="3" a="1"/>
  <c r="O141" i="3" s="1"/>
  <c r="O142" i="3" a="1"/>
  <c r="O142" i="3" s="1"/>
  <c r="O144" i="3" a="1"/>
  <c r="O144" i="3" s="1"/>
  <c r="O145" i="3" a="1"/>
  <c r="O145" i="3" s="1"/>
  <c r="O146" i="3" a="1"/>
  <c r="O146" i="3" s="1"/>
  <c r="O147" i="3" a="1"/>
  <c r="O147" i="3" s="1"/>
  <c r="O148" i="3" a="1"/>
  <c r="O148" i="3" s="1"/>
  <c r="O149" i="3" a="1"/>
  <c r="O149" i="3" s="1"/>
  <c r="O150" i="3" a="1"/>
  <c r="O150" i="3" s="1"/>
  <c r="O151" i="3" a="1"/>
  <c r="O151" i="3" s="1"/>
  <c r="O152" i="3" a="1"/>
  <c r="O152" i="3" s="1"/>
  <c r="O154" i="3" a="1"/>
  <c r="O154" i="3" s="1"/>
  <c r="O155" i="3" a="1"/>
  <c r="O155" i="3" s="1"/>
  <c r="O156" i="3" a="1"/>
  <c r="O156" i="3" s="1"/>
  <c r="O157" i="3" a="1"/>
  <c r="O157" i="3" s="1"/>
  <c r="O158" i="3" a="1"/>
  <c r="O158" i="3" s="1"/>
  <c r="O159" i="3" a="1"/>
  <c r="O159" i="3" s="1"/>
  <c r="O160" i="3" a="1"/>
  <c r="O160" i="3" s="1"/>
  <c r="O161" i="3" a="1"/>
  <c r="O161" i="3" s="1"/>
  <c r="O162" i="3" a="1"/>
  <c r="O162" i="3" s="1"/>
  <c r="O733" i="3" a="1"/>
  <c r="O733" i="3" s="1"/>
  <c r="O163" i="3" a="1"/>
  <c r="O163" i="3" s="1"/>
  <c r="O107" i="3" a="1"/>
  <c r="O107" i="3" s="1"/>
  <c r="O164" i="3" a="1"/>
  <c r="O164" i="3" s="1"/>
  <c r="O165" i="3" a="1"/>
  <c r="O165" i="3" s="1"/>
  <c r="O166" i="3" a="1"/>
  <c r="O166" i="3" s="1"/>
  <c r="O167" i="3" a="1"/>
  <c r="O167" i="3" s="1"/>
  <c r="O320" i="3" a="1"/>
  <c r="O320" i="3" s="1"/>
  <c r="O168" i="3" a="1"/>
  <c r="O168" i="3" s="1"/>
  <c r="O58" i="3" a="1"/>
  <c r="O58" i="3" s="1"/>
  <c r="O170" i="3" a="1"/>
  <c r="O170" i="3" s="1"/>
  <c r="O171" i="3" a="1"/>
  <c r="O171" i="3" s="1"/>
  <c r="O172" i="3" a="1"/>
  <c r="O172" i="3" s="1"/>
  <c r="O173" i="3" a="1"/>
  <c r="O173" i="3" s="1"/>
  <c r="O174" i="3" a="1"/>
  <c r="O174" i="3" s="1"/>
  <c r="O175" i="3" a="1"/>
  <c r="O175" i="3" s="1"/>
  <c r="O176" i="3" a="1"/>
  <c r="O176" i="3" s="1"/>
  <c r="O177" i="3" a="1"/>
  <c r="O177" i="3" s="1"/>
  <c r="O178" i="3" a="1"/>
  <c r="O178" i="3" s="1"/>
  <c r="O179" i="3" a="1"/>
  <c r="O179" i="3" s="1"/>
  <c r="O180" i="3" a="1"/>
  <c r="O180" i="3" s="1"/>
  <c r="O183" i="3" a="1"/>
  <c r="O183" i="3" s="1"/>
  <c r="O184" i="3" a="1"/>
  <c r="O184" i="3" s="1"/>
  <c r="O185" i="3" a="1"/>
  <c r="O185" i="3" s="1"/>
  <c r="O186" i="3" a="1"/>
  <c r="O186" i="3" s="1"/>
  <c r="O187" i="3" a="1"/>
  <c r="O187" i="3" s="1"/>
  <c r="O188" i="3" a="1"/>
  <c r="O188" i="3" s="1"/>
  <c r="O189" i="3" a="1"/>
  <c r="O189" i="3" s="1"/>
  <c r="O196" i="3" a="1"/>
  <c r="O196" i="3" s="1"/>
  <c r="O197" i="3" a="1"/>
  <c r="O197" i="3" s="1"/>
  <c r="O198" i="3" a="1"/>
  <c r="O198" i="3" s="1"/>
  <c r="O202" i="3" a="1"/>
  <c r="O202" i="3" s="1"/>
  <c r="O203" i="3" a="1"/>
  <c r="O203" i="3" s="1"/>
  <c r="O204" i="3" a="1"/>
  <c r="O204" i="3" s="1"/>
  <c r="O205" i="3" a="1"/>
  <c r="O205" i="3" s="1"/>
  <c r="O206" i="3" a="1"/>
  <c r="O206" i="3" s="1"/>
  <c r="O207" i="3" a="1"/>
  <c r="O207" i="3" s="1"/>
  <c r="O208" i="3" a="1"/>
  <c r="O208" i="3" s="1"/>
  <c r="O209" i="3" a="1"/>
  <c r="O209" i="3" s="1"/>
  <c r="O211" i="3" a="1"/>
  <c r="O211" i="3" s="1"/>
  <c r="O212" i="3" a="1"/>
  <c r="O212" i="3" s="1"/>
  <c r="O213" i="3" a="1"/>
  <c r="O213" i="3" s="1"/>
  <c r="O214" i="3" a="1"/>
  <c r="O214" i="3" s="1"/>
  <c r="O215" i="3" a="1"/>
  <c r="O215" i="3" s="1"/>
  <c r="O216" i="3" a="1"/>
  <c r="O216" i="3" s="1"/>
  <c r="O217" i="3" a="1"/>
  <c r="O217" i="3" s="1"/>
  <c r="O218" i="3" a="1"/>
  <c r="O218" i="3" s="1"/>
  <c r="O219" i="3" a="1"/>
  <c r="O219" i="3" s="1"/>
  <c r="O220" i="3" a="1"/>
  <c r="O220" i="3" s="1"/>
  <c r="O221" i="3" a="1"/>
  <c r="O221" i="3" s="1"/>
  <c r="O222" i="3" a="1"/>
  <c r="O222" i="3" s="1"/>
  <c r="O223" i="3" a="1"/>
  <c r="O223" i="3" s="1"/>
  <c r="O224" i="3" a="1"/>
  <c r="O224" i="3" s="1"/>
  <c r="O225" i="3" a="1"/>
  <c r="O225" i="3" s="1"/>
  <c r="O226" i="3" a="1"/>
  <c r="O226" i="3" s="1"/>
  <c r="O227" i="3" a="1"/>
  <c r="O227" i="3" s="1"/>
  <c r="O228" i="3" a="1"/>
  <c r="O228" i="3" s="1"/>
  <c r="O229" i="3" a="1"/>
  <c r="O229" i="3" s="1"/>
  <c r="O230" i="3" a="1"/>
  <c r="O230" i="3" s="1"/>
  <c r="O231" i="3" a="1"/>
  <c r="O231" i="3" s="1"/>
  <c r="O232" i="3" a="1"/>
  <c r="O232" i="3" s="1"/>
  <c r="O233" i="3" a="1"/>
  <c r="O233" i="3" s="1"/>
  <c r="O234" i="3" a="1"/>
  <c r="O234" i="3" s="1"/>
  <c r="O235" i="3" a="1"/>
  <c r="O235" i="3" s="1"/>
  <c r="O236" i="3" a="1"/>
  <c r="O236" i="3" s="1"/>
  <c r="O237" i="3" a="1"/>
  <c r="O237" i="3" s="1"/>
  <c r="O238" i="3" a="1"/>
  <c r="O238" i="3" s="1"/>
  <c r="O239" i="3" a="1"/>
  <c r="O239" i="3" s="1"/>
  <c r="O240" i="3" a="1"/>
  <c r="O240" i="3" s="1"/>
  <c r="O241" i="3" a="1"/>
  <c r="O241" i="3" s="1"/>
  <c r="O242" i="3" a="1"/>
  <c r="O242" i="3" s="1"/>
  <c r="O243" i="3" a="1"/>
  <c r="O243" i="3" s="1"/>
  <c r="O244" i="3" a="1"/>
  <c r="O244" i="3" s="1"/>
  <c r="O245" i="3" a="1"/>
  <c r="O245" i="3" s="1"/>
  <c r="O246" i="3" a="1"/>
  <c r="O246" i="3" s="1"/>
  <c r="O247" i="3" a="1"/>
  <c r="O247" i="3" s="1"/>
  <c r="O248" i="3" a="1"/>
  <c r="O248" i="3" s="1"/>
  <c r="O249" i="3" a="1"/>
  <c r="O249" i="3" s="1"/>
  <c r="O250" i="3" a="1"/>
  <c r="O250" i="3" s="1"/>
  <c r="O251" i="3" a="1"/>
  <c r="O251" i="3" s="1"/>
  <c r="O252" i="3" a="1"/>
  <c r="O252" i="3" s="1"/>
  <c r="O253" i="3" a="1"/>
  <c r="O253" i="3" s="1"/>
  <c r="O153" i="3" a="1"/>
  <c r="O153" i="3" s="1"/>
  <c r="O254" i="3" a="1"/>
  <c r="O254" i="3" s="1"/>
  <c r="O255" i="3" a="1"/>
  <c r="O255" i="3" s="1"/>
  <c r="O256" i="3" a="1"/>
  <c r="O256" i="3" s="1"/>
  <c r="O257" i="3" a="1"/>
  <c r="O257" i="3" s="1"/>
  <c r="O258" i="3" a="1"/>
  <c r="O258" i="3" s="1"/>
  <c r="O260" i="3" a="1"/>
  <c r="O260" i="3" s="1"/>
  <c r="O261" i="3" a="1"/>
  <c r="O261" i="3" s="1"/>
  <c r="O262" i="3" a="1"/>
  <c r="O262" i="3" s="1"/>
  <c r="O264" i="3" a="1"/>
  <c r="O264" i="3" s="1"/>
  <c r="O265" i="3" a="1"/>
  <c r="O265" i="3" s="1"/>
  <c r="O271" i="3" a="1"/>
  <c r="O271" i="3" s="1"/>
  <c r="O275" i="3" a="1"/>
  <c r="O275" i="3" s="1"/>
  <c r="O104" i="3" a="1"/>
  <c r="O104" i="3" s="1"/>
  <c r="O359" i="3" a="1"/>
  <c r="O359" i="3" s="1"/>
  <c r="O360" i="3" a="1"/>
  <c r="O360" i="3" s="1"/>
  <c r="O584" i="3" a="1"/>
  <c r="O584" i="3" s="1"/>
  <c r="O285" i="3" a="1"/>
  <c r="O285" i="3" s="1"/>
  <c r="O286" i="3" a="1"/>
  <c r="O286" i="3" s="1"/>
  <c r="O287" i="3" a="1"/>
  <c r="O287" i="3" s="1"/>
  <c r="O700" i="3" a="1"/>
  <c r="O700" i="3" s="1"/>
  <c r="O66" i="3" a="1"/>
  <c r="O66" i="3" s="1"/>
  <c r="O290" i="3" a="1"/>
  <c r="O290" i="3" s="1"/>
  <c r="O291" i="3" a="1"/>
  <c r="O291" i="3" s="1"/>
  <c r="O292" i="3" a="1"/>
  <c r="O292" i="3" s="1"/>
  <c r="O293" i="3" a="1"/>
  <c r="O293" i="3" s="1"/>
  <c r="O294" i="3" a="1"/>
  <c r="O294" i="3" s="1"/>
  <c r="O295" i="3" a="1"/>
  <c r="O295" i="3" s="1"/>
  <c r="O296" i="3" a="1"/>
  <c r="O296" i="3" s="1"/>
  <c r="O297" i="3" a="1"/>
  <c r="O297" i="3" s="1"/>
  <c r="O298" i="3" a="1"/>
  <c r="O298" i="3" s="1"/>
  <c r="O299" i="3" a="1"/>
  <c r="O299" i="3" s="1"/>
  <c r="O301" i="3" a="1"/>
  <c r="O301" i="3" s="1"/>
  <c r="O302" i="3" a="1"/>
  <c r="O302" i="3" s="1"/>
  <c r="O303" i="3" a="1"/>
  <c r="O303" i="3" s="1"/>
  <c r="O304" i="3" a="1"/>
  <c r="O304" i="3" s="1"/>
  <c r="O383" i="3" a="1"/>
  <c r="O383" i="3" s="1"/>
  <c r="O288" i="3" a="1"/>
  <c r="O288" i="3" s="1"/>
  <c r="O307" i="3" a="1"/>
  <c r="O307" i="3" s="1"/>
  <c r="O309" i="3" a="1"/>
  <c r="O309" i="3" s="1"/>
  <c r="O310" i="3" a="1"/>
  <c r="O310" i="3" s="1"/>
  <c r="O311" i="3" a="1"/>
  <c r="O311" i="3" s="1"/>
  <c r="O312" i="3" a="1"/>
  <c r="O312" i="3" s="1"/>
  <c r="O349" i="3" a="1"/>
  <c r="O349" i="3" s="1"/>
  <c r="O352" i="3" a="1"/>
  <c r="O352" i="3" s="1"/>
  <c r="O350" i="3" a="1"/>
  <c r="O350" i="3" s="1"/>
  <c r="O321" i="3" a="1"/>
  <c r="O321" i="3" s="1"/>
  <c r="O323" i="3" a="1"/>
  <c r="O323" i="3" s="1"/>
  <c r="O325" i="3" a="1"/>
  <c r="O325" i="3" s="1"/>
  <c r="O326" i="3" a="1"/>
  <c r="O326" i="3" s="1"/>
  <c r="O327" i="3" a="1"/>
  <c r="O327" i="3" s="1"/>
  <c r="O328" i="3" a="1"/>
  <c r="O328" i="3" s="1"/>
  <c r="O329" i="3" a="1"/>
  <c r="O329" i="3" s="1"/>
  <c r="O330" i="3" a="1"/>
  <c r="O330" i="3" s="1"/>
  <c r="O334" i="3" a="1"/>
  <c r="O334" i="3" s="1"/>
  <c r="O335" i="3" a="1"/>
  <c r="O335" i="3" s="1"/>
  <c r="O336" i="3" a="1"/>
  <c r="O336" i="3" s="1"/>
  <c r="O348" i="3" a="1"/>
  <c r="O348" i="3" s="1"/>
  <c r="O38" i="3" a="1"/>
  <c r="O38" i="3" s="1"/>
  <c r="O190" i="3" a="1"/>
  <c r="O190" i="3" s="1"/>
  <c r="O343" i="3" a="1"/>
  <c r="O343" i="3" s="1"/>
  <c r="O405" i="3" a="1"/>
  <c r="O405" i="3" s="1"/>
  <c r="O111" i="3" a="1"/>
  <c r="O111" i="3" s="1"/>
  <c r="O101" i="3" a="1"/>
  <c r="O101" i="3" s="1"/>
  <c r="O100" i="3" a="1"/>
  <c r="O100" i="3" s="1"/>
  <c r="O108" i="3" a="1"/>
  <c r="O108" i="3" s="1"/>
  <c r="O109" i="3" a="1"/>
  <c r="O109" i="3" s="1"/>
  <c r="O574" i="3" a="1"/>
  <c r="O574" i="3" s="1"/>
  <c r="O371" i="3" a="1"/>
  <c r="O371" i="3" s="1"/>
  <c r="O370" i="3" a="1"/>
  <c r="O370" i="3" s="1"/>
  <c r="O372" i="3" a="1"/>
  <c r="O372" i="3" s="1"/>
  <c r="O707" i="3" a="1"/>
  <c r="O707" i="3" s="1"/>
  <c r="O374" i="3" a="1"/>
  <c r="O374" i="3" s="1"/>
  <c r="O375" i="3" a="1"/>
  <c r="O375" i="3" s="1"/>
  <c r="O376" i="3" a="1"/>
  <c r="O376" i="3" s="1"/>
  <c r="O378" i="3" a="1"/>
  <c r="O378" i="3" s="1"/>
  <c r="O399" i="3" a="1"/>
  <c r="O399" i="3" s="1"/>
  <c r="O400" i="3" a="1"/>
  <c r="O400" i="3" s="1"/>
  <c r="O401" i="3" a="1"/>
  <c r="O401" i="3" s="1"/>
  <c r="O387" i="3" a="1"/>
  <c r="O387" i="3" s="1"/>
  <c r="O388" i="3" a="1"/>
  <c r="O388" i="3" s="1"/>
  <c r="O390" i="3" a="1"/>
  <c r="O390" i="3" s="1"/>
  <c r="O391" i="3" a="1"/>
  <c r="O391" i="3" s="1"/>
  <c r="O392" i="3" a="1"/>
  <c r="O392" i="3" s="1"/>
  <c r="O393" i="3" a="1"/>
  <c r="O393" i="3" s="1"/>
  <c r="O394" i="3" a="1"/>
  <c r="O394" i="3" s="1"/>
  <c r="O395" i="3" a="1"/>
  <c r="O395" i="3" s="1"/>
  <c r="O396" i="3" a="1"/>
  <c r="O396" i="3" s="1"/>
  <c r="O397" i="3" a="1"/>
  <c r="O397" i="3" s="1"/>
  <c r="O404" i="3" a="1"/>
  <c r="O404" i="3" s="1"/>
  <c r="O434" i="3" a="1"/>
  <c r="O434" i="3" s="1"/>
  <c r="O425" i="3" a="1"/>
  <c r="O425" i="3" s="1"/>
  <c r="O426" i="3" a="1"/>
  <c r="O426" i="3" s="1"/>
  <c r="O432" i="3" a="1"/>
  <c r="O432" i="3" s="1"/>
  <c r="O50" i="3" a="1"/>
  <c r="O50" i="3" s="1"/>
  <c r="O51" i="3" a="1"/>
  <c r="O51" i="3" s="1"/>
  <c r="O52" i="3" a="1"/>
  <c r="O52" i="3" s="1"/>
  <c r="O93" i="3" a="1"/>
  <c r="O93" i="3" s="1"/>
  <c r="O88" i="3" a="1"/>
  <c r="O88" i="3" s="1"/>
  <c r="O99" i="3" a="1"/>
  <c r="O99" i="3" s="1"/>
  <c r="O766" i="3" a="1"/>
  <c r="O766" i="3" s="1"/>
  <c r="O89" i="3" a="1"/>
  <c r="O89" i="3" s="1"/>
  <c r="O91" i="3" a="1"/>
  <c r="O91" i="3" s="1"/>
  <c r="O433" i="3" a="1"/>
  <c r="O433" i="3" s="1"/>
  <c r="O59" i="3" a="1"/>
  <c r="O59" i="3" s="1"/>
  <c r="O436" i="3" a="1"/>
  <c r="O436" i="3" s="1"/>
  <c r="O182" i="3" a="1"/>
  <c r="O182" i="3" s="1"/>
  <c r="O69" i="3" a="1"/>
  <c r="O69" i="3" s="1"/>
  <c r="O712" i="3" a="1"/>
  <c r="O712" i="3" s="1"/>
  <c r="O713" i="3" a="1"/>
  <c r="O713" i="3" s="1"/>
  <c r="O714" i="3" a="1"/>
  <c r="O714" i="3" s="1"/>
  <c r="O734" i="3" a="1"/>
  <c r="O734" i="3" s="1"/>
  <c r="O735" i="3" a="1"/>
  <c r="O735" i="3" s="1"/>
  <c r="O443" i="3" a="1"/>
  <c r="O443" i="3" s="1"/>
  <c r="O444" i="3" a="1"/>
  <c r="O444" i="3" s="1"/>
  <c r="O445" i="3" a="1"/>
  <c r="O445" i="3" s="1"/>
  <c r="O446" i="3" a="1"/>
  <c r="O446" i="3" s="1"/>
  <c r="O447" i="3" a="1"/>
  <c r="O447" i="3" s="1"/>
  <c r="O448" i="3" a="1"/>
  <c r="O448" i="3" s="1"/>
  <c r="O449" i="3" a="1"/>
  <c r="O449" i="3" s="1"/>
  <c r="O450" i="3" a="1"/>
  <c r="O450" i="3" s="1"/>
  <c r="O451" i="3" a="1"/>
  <c r="O451" i="3" s="1"/>
  <c r="O452" i="3" a="1"/>
  <c r="O452" i="3" s="1"/>
  <c r="O453" i="3" a="1"/>
  <c r="O453" i="3" s="1"/>
  <c r="O454" i="3" a="1"/>
  <c r="O454" i="3" s="1"/>
  <c r="O455" i="3" a="1"/>
  <c r="O455" i="3" s="1"/>
  <c r="O456" i="3" a="1"/>
  <c r="O456" i="3" s="1"/>
  <c r="O457" i="3" a="1"/>
  <c r="O457" i="3" s="1"/>
  <c r="O458" i="3" a="1"/>
  <c r="O458" i="3" s="1"/>
  <c r="O459" i="3" a="1"/>
  <c r="O459" i="3" s="1"/>
  <c r="O460" i="3" a="1"/>
  <c r="O460" i="3" s="1"/>
  <c r="O461" i="3" a="1"/>
  <c r="O461" i="3" s="1"/>
  <c r="O462" i="3" a="1"/>
  <c r="O462" i="3" s="1"/>
  <c r="O463" i="3" a="1"/>
  <c r="O463" i="3" s="1"/>
  <c r="O464" i="3" a="1"/>
  <c r="O464" i="3" s="1"/>
  <c r="O465" i="3" a="1"/>
  <c r="O465" i="3" s="1"/>
  <c r="O466" i="3" a="1"/>
  <c r="O466" i="3" s="1"/>
  <c r="O467" i="3" a="1"/>
  <c r="O467" i="3" s="1"/>
  <c r="O468" i="3" a="1"/>
  <c r="O468" i="3" s="1"/>
  <c r="O469" i="3" a="1"/>
  <c r="O469" i="3" s="1"/>
  <c r="O470" i="3" a="1"/>
  <c r="O470" i="3" s="1"/>
  <c r="O471" i="3" a="1"/>
  <c r="O471" i="3" s="1"/>
  <c r="O472" i="3" a="1"/>
  <c r="O472" i="3" s="1"/>
  <c r="O473" i="3" a="1"/>
  <c r="O473" i="3" s="1"/>
  <c r="O474" i="3" a="1"/>
  <c r="O474" i="3" s="1"/>
  <c r="O475" i="3" a="1"/>
  <c r="O475" i="3" s="1"/>
  <c r="O476" i="3" a="1"/>
  <c r="O476" i="3" s="1"/>
  <c r="O477" i="3" a="1"/>
  <c r="O477" i="3" s="1"/>
  <c r="O478" i="3" a="1"/>
  <c r="O478" i="3" s="1"/>
  <c r="O479" i="3" a="1"/>
  <c r="O479" i="3" s="1"/>
  <c r="O480" i="3" a="1"/>
  <c r="O480" i="3" s="1"/>
  <c r="O481" i="3" a="1"/>
  <c r="O481" i="3" s="1"/>
  <c r="O482" i="3" a="1"/>
  <c r="O482" i="3" s="1"/>
  <c r="O483" i="3" a="1"/>
  <c r="O483" i="3" s="1"/>
  <c r="O484" i="3" a="1"/>
  <c r="O484" i="3" s="1"/>
  <c r="O485" i="3" a="1"/>
  <c r="O485" i="3" s="1"/>
  <c r="O486" i="3" a="1"/>
  <c r="O486" i="3" s="1"/>
  <c r="O487" i="3" a="1"/>
  <c r="O487" i="3" s="1"/>
  <c r="O488" i="3" a="1"/>
  <c r="O488" i="3" s="1"/>
  <c r="O489" i="3" a="1"/>
  <c r="O489" i="3" s="1"/>
  <c r="O490" i="3" a="1"/>
  <c r="O490" i="3" s="1"/>
  <c r="O491" i="3" a="1"/>
  <c r="O491" i="3" s="1"/>
  <c r="O492" i="3" a="1"/>
  <c r="O492" i="3" s="1"/>
  <c r="O493" i="3" a="1"/>
  <c r="O493" i="3" s="1"/>
  <c r="O494" i="3" a="1"/>
  <c r="O494" i="3" s="1"/>
  <c r="O495" i="3" a="1"/>
  <c r="O495" i="3" s="1"/>
  <c r="O498" i="3" a="1"/>
  <c r="O498" i="3" s="1"/>
  <c r="O499" i="3" a="1"/>
  <c r="O499" i="3" s="1"/>
  <c r="O500" i="3" a="1"/>
  <c r="O500" i="3" s="1"/>
  <c r="O501" i="3" a="1"/>
  <c r="O501" i="3" s="1"/>
  <c r="O502" i="3" a="1"/>
  <c r="O502" i="3" s="1"/>
  <c r="O503" i="3" a="1"/>
  <c r="O503" i="3" s="1"/>
  <c r="O504" i="3" a="1"/>
  <c r="O504" i="3" s="1"/>
  <c r="O505" i="3" a="1"/>
  <c r="O505" i="3" s="1"/>
  <c r="O507" i="3" a="1"/>
  <c r="O507" i="3" s="1"/>
  <c r="O508" i="3" a="1"/>
  <c r="O508" i="3" s="1"/>
  <c r="O509" i="3" a="1"/>
  <c r="O509" i="3" s="1"/>
  <c r="O361" i="3" a="1"/>
  <c r="O361" i="3" s="1"/>
  <c r="O512" i="3" a="1"/>
  <c r="O512" i="3" s="1"/>
  <c r="O513" i="3" a="1"/>
  <c r="O513" i="3" s="1"/>
  <c r="O514" i="3" a="1"/>
  <c r="O514" i="3" s="1"/>
  <c r="O515" i="3" a="1"/>
  <c r="O515" i="3" s="1"/>
  <c r="O517" i="3" a="1"/>
  <c r="O517" i="3" s="1"/>
  <c r="O518" i="3" a="1"/>
  <c r="O518" i="3" s="1"/>
  <c r="O519" i="3" a="1"/>
  <c r="O519" i="3" s="1"/>
  <c r="O520" i="3" a="1"/>
  <c r="O520" i="3" s="1"/>
  <c r="O521" i="3" a="1"/>
  <c r="O521" i="3" s="1"/>
  <c r="O522" i="3" a="1"/>
  <c r="O522" i="3" s="1"/>
  <c r="O523" i="3" a="1"/>
  <c r="O523" i="3" s="1"/>
  <c r="O524" i="3" a="1"/>
  <c r="O524" i="3" s="1"/>
  <c r="O525" i="3" a="1"/>
  <c r="O525" i="3" s="1"/>
  <c r="O526" i="3" a="1"/>
  <c r="O526" i="3" s="1"/>
  <c r="O527" i="3" a="1"/>
  <c r="O527" i="3" s="1"/>
  <c r="O528" i="3" a="1"/>
  <c r="O528" i="3" s="1"/>
  <c r="O529" i="3" a="1"/>
  <c r="O529" i="3" s="1"/>
  <c r="O530" i="3" a="1"/>
  <c r="O530" i="3" s="1"/>
  <c r="O531" i="3" a="1"/>
  <c r="O531" i="3" s="1"/>
  <c r="O532" i="3" a="1"/>
  <c r="O532" i="3" s="1"/>
  <c r="O533" i="3" a="1"/>
  <c r="O533" i="3" s="1"/>
  <c r="O534" i="3" a="1"/>
  <c r="O534" i="3" s="1"/>
  <c r="O535" i="3" a="1"/>
  <c r="O535" i="3" s="1"/>
  <c r="O536" i="3" a="1"/>
  <c r="O536" i="3" s="1"/>
  <c r="O539" i="3" a="1"/>
  <c r="O539" i="3" s="1"/>
  <c r="O540" i="3" a="1"/>
  <c r="O540" i="3" s="1"/>
  <c r="O541" i="3" a="1"/>
  <c r="O541" i="3" s="1"/>
  <c r="O542" i="3" a="1"/>
  <c r="O542" i="3" s="1"/>
  <c r="O543" i="3" a="1"/>
  <c r="O543" i="3" s="1"/>
  <c r="O544" i="3" a="1"/>
  <c r="O544" i="3" s="1"/>
  <c r="O545" i="3" a="1"/>
  <c r="O545" i="3" s="1"/>
  <c r="O546" i="3" a="1"/>
  <c r="O546" i="3" s="1"/>
  <c r="O547" i="3" a="1"/>
  <c r="O547" i="3" s="1"/>
  <c r="O548" i="3" a="1"/>
  <c r="O548" i="3" s="1"/>
  <c r="O549" i="3" a="1"/>
  <c r="O549" i="3" s="1"/>
  <c r="O550" i="3" a="1"/>
  <c r="O550" i="3" s="1"/>
  <c r="O551" i="3" a="1"/>
  <c r="O551" i="3" s="1"/>
  <c r="O552" i="3" a="1"/>
  <c r="O552" i="3" s="1"/>
  <c r="O553" i="3" a="1"/>
  <c r="O553" i="3" s="1"/>
  <c r="O554" i="3" a="1"/>
  <c r="O554" i="3" s="1"/>
  <c r="O555" i="3" a="1"/>
  <c r="O555" i="3" s="1"/>
  <c r="O556" i="3" a="1"/>
  <c r="O556" i="3" s="1"/>
  <c r="O557" i="3" a="1"/>
  <c r="O557" i="3" s="1"/>
  <c r="O558" i="3" a="1"/>
  <c r="O558" i="3" s="1"/>
  <c r="O559" i="3" a="1"/>
  <c r="O559" i="3" s="1"/>
  <c r="O560" i="3" a="1"/>
  <c r="O560" i="3" s="1"/>
  <c r="O561" i="3" a="1"/>
  <c r="O561" i="3" s="1"/>
  <c r="O562" i="3" a="1"/>
  <c r="O562" i="3" s="1"/>
  <c r="O563" i="3" a="1"/>
  <c r="O563" i="3" s="1"/>
  <c r="O567" i="3" a="1"/>
  <c r="O567" i="3" s="1"/>
  <c r="O568" i="3" a="1"/>
  <c r="O568" i="3" s="1"/>
  <c r="O569" i="3" a="1"/>
  <c r="O569" i="3" s="1"/>
  <c r="O570" i="3" a="1"/>
  <c r="O570" i="3" s="1"/>
  <c r="O571" i="3" a="1"/>
  <c r="O571" i="3" s="1"/>
  <c r="O572" i="3" a="1"/>
  <c r="O572" i="3" s="1"/>
  <c r="O573" i="3" a="1"/>
  <c r="O573" i="3" s="1"/>
  <c r="O575" i="3" a="1"/>
  <c r="O575" i="3" s="1"/>
  <c r="O576" i="3" a="1"/>
  <c r="O576" i="3" s="1"/>
  <c r="O53" i="3" a="1"/>
  <c r="O53" i="3" s="1"/>
  <c r="O578" i="3" a="1"/>
  <c r="O578" i="3" s="1"/>
  <c r="O579" i="3" a="1"/>
  <c r="O579" i="3" s="1"/>
  <c r="O582" i="3" a="1"/>
  <c r="O582" i="3" s="1"/>
  <c r="O583" i="3" a="1"/>
  <c r="O583" i="3" s="1"/>
  <c r="O42" i="3" a="1"/>
  <c r="O42" i="3" s="1"/>
  <c r="O585" i="3" a="1"/>
  <c r="O585" i="3" s="1"/>
  <c r="O586" i="3" a="1"/>
  <c r="O586" i="3" s="1"/>
  <c r="O587" i="3" a="1"/>
  <c r="O587" i="3" s="1"/>
  <c r="O588" i="3" a="1"/>
  <c r="O588" i="3" s="1"/>
  <c r="O590" i="3" a="1"/>
  <c r="O590" i="3" s="1"/>
  <c r="O591" i="3" a="1"/>
  <c r="O591" i="3" s="1"/>
  <c r="O124" i="3" a="1"/>
  <c r="O124" i="3" s="1"/>
  <c r="O596" i="3" a="1"/>
  <c r="O596" i="3" s="1"/>
  <c r="O597" i="3" a="1"/>
  <c r="O597" i="3" s="1"/>
  <c r="O599" i="3" a="1"/>
  <c r="O599" i="3" s="1"/>
  <c r="O600" i="3" a="1"/>
  <c r="O600" i="3" s="1"/>
  <c r="O601" i="3" a="1"/>
  <c r="O601" i="3" s="1"/>
  <c r="O602" i="3" a="1"/>
  <c r="O602" i="3" s="1"/>
  <c r="O603" i="3" a="1"/>
  <c r="O603" i="3" s="1"/>
  <c r="O604" i="3" a="1"/>
  <c r="O604" i="3" s="1"/>
  <c r="O609" i="3" a="1"/>
  <c r="O609" i="3" s="1"/>
  <c r="O619" i="3" a="1"/>
  <c r="O619" i="3" s="1"/>
  <c r="O620" i="3" a="1"/>
  <c r="O620" i="3" s="1"/>
  <c r="O621" i="3" a="1"/>
  <c r="O621" i="3" s="1"/>
  <c r="O622" i="3" a="1"/>
  <c r="O622" i="3" s="1"/>
  <c r="O623" i="3" a="1"/>
  <c r="O623" i="3" s="1"/>
  <c r="O624" i="3" a="1"/>
  <c r="O624" i="3" s="1"/>
  <c r="O626" i="3" a="1"/>
  <c r="O626" i="3" s="1"/>
  <c r="O627" i="3" a="1"/>
  <c r="O627" i="3" s="1"/>
  <c r="O628" i="3" a="1"/>
  <c r="O628" i="3" s="1"/>
  <c r="O629" i="3" a="1"/>
  <c r="O629" i="3" s="1"/>
  <c r="O630" i="3" a="1"/>
  <c r="O630" i="3" s="1"/>
  <c r="O631" i="3" a="1"/>
  <c r="O631" i="3" s="1"/>
  <c r="O632" i="3" a="1"/>
  <c r="O632" i="3" s="1"/>
  <c r="O633" i="3" a="1"/>
  <c r="O633" i="3" s="1"/>
  <c r="O634" i="3" a="1"/>
  <c r="O634" i="3" s="1"/>
  <c r="O654" i="3" a="1"/>
  <c r="O654" i="3" s="1"/>
  <c r="O655" i="3" a="1"/>
  <c r="O655" i="3" s="1"/>
  <c r="O656" i="3" a="1"/>
  <c r="O656" i="3" s="1"/>
  <c r="O657" i="3" a="1"/>
  <c r="O657" i="3" s="1"/>
  <c r="O658" i="3" a="1"/>
  <c r="O658" i="3" s="1"/>
  <c r="O659" i="3" a="1"/>
  <c r="O659" i="3" s="1"/>
  <c r="O660" i="3" a="1"/>
  <c r="O660" i="3" s="1"/>
  <c r="O661" i="3" a="1"/>
  <c r="O661" i="3" s="1"/>
  <c r="O662" i="3" a="1"/>
  <c r="O662" i="3" s="1"/>
  <c r="O663" i="3" a="1"/>
  <c r="O663" i="3" s="1"/>
  <c r="O664" i="3" a="1"/>
  <c r="O664" i="3" s="1"/>
  <c r="O665" i="3" a="1"/>
  <c r="O665" i="3" s="1"/>
  <c r="O666" i="3" a="1"/>
  <c r="O666" i="3" s="1"/>
  <c r="O667" i="3" a="1"/>
  <c r="O667" i="3" s="1"/>
  <c r="O668" i="3" a="1"/>
  <c r="O668" i="3" s="1"/>
  <c r="O669" i="3" a="1"/>
  <c r="O669" i="3" s="1"/>
  <c r="O670" i="3" a="1"/>
  <c r="O670" i="3" s="1"/>
  <c r="O671" i="3" a="1"/>
  <c r="O671" i="3" s="1"/>
  <c r="O672" i="3" a="1"/>
  <c r="O672" i="3" s="1"/>
  <c r="O673" i="3" a="1"/>
  <c r="O673" i="3" s="1"/>
  <c r="O674" i="3" a="1"/>
  <c r="O674" i="3" s="1"/>
  <c r="O675" i="3" a="1"/>
  <c r="O675" i="3" s="1"/>
  <c r="O676" i="3" a="1"/>
  <c r="O676" i="3" s="1"/>
  <c r="O677" i="3" a="1"/>
  <c r="O677" i="3" s="1"/>
  <c r="O678" i="3" a="1"/>
  <c r="O678" i="3" s="1"/>
  <c r="O679" i="3" a="1"/>
  <c r="O679" i="3" s="1"/>
  <c r="O680" i="3" a="1"/>
  <c r="O680" i="3" s="1"/>
  <c r="O681" i="3" a="1"/>
  <c r="O681" i="3" s="1"/>
  <c r="O351" i="3" a="1"/>
  <c r="O351" i="3" s="1"/>
  <c r="O384" i="3" a="1"/>
  <c r="O384" i="3" s="1"/>
  <c r="O694" i="3" a="1"/>
  <c r="O694" i="3" s="1"/>
  <c r="O695" i="3" a="1"/>
  <c r="O695" i="3" s="1"/>
  <c r="O697" i="3" a="1"/>
  <c r="O697" i="3" s="1"/>
  <c r="O385" i="3" a="1"/>
  <c r="O385" i="3" s="1"/>
  <c r="O386" i="3" a="1"/>
  <c r="O386" i="3" s="1"/>
  <c r="O745" i="3" a="1"/>
  <c r="O745" i="3" s="1"/>
  <c r="O595" i="3" a="1"/>
  <c r="O595" i="3" s="1"/>
  <c r="O743" i="3" a="1"/>
  <c r="O743" i="3" s="1"/>
  <c r="O765" i="3" a="1"/>
  <c r="O765" i="3" s="1"/>
  <c r="O102" i="3" a="1"/>
  <c r="O102" i="3" s="1"/>
  <c r="O691" i="3" a="1"/>
  <c r="O691" i="3" s="1"/>
  <c r="O692" i="3" a="1"/>
  <c r="O692" i="3" s="1"/>
  <c r="O696" i="3" a="1"/>
  <c r="O696" i="3" s="1"/>
  <c r="O267" i="3" a="1"/>
  <c r="O267" i="3" s="1"/>
  <c r="O128" i="3" a="1"/>
  <c r="O128" i="3" s="1"/>
  <c r="O55" i="3" a="1"/>
  <c r="O55" i="3" s="1"/>
  <c r="O94" i="3" a="1"/>
  <c r="O94" i="3" s="1"/>
  <c r="O200" i="3" a="1"/>
  <c r="O200" i="3" s="1"/>
  <c r="O70" i="3" a="1"/>
  <c r="O70" i="3" s="1"/>
  <c r="O71" i="3" a="1"/>
  <c r="O71" i="3" s="1"/>
  <c r="O742" i="3" a="1"/>
  <c r="O742" i="3" s="1"/>
  <c r="O767" i="3" a="1"/>
  <c r="O767" i="3" s="1"/>
  <c r="O768" i="3" a="1"/>
  <c r="O768" i="3" s="1"/>
  <c r="O769" i="3" a="1"/>
  <c r="O769" i="3" s="1"/>
  <c r="O770" i="3" a="1"/>
  <c r="O770" i="3" s="1"/>
  <c r="O771" i="3" a="1"/>
  <c r="O771" i="3" s="1"/>
  <c r="I770" i="27"/>
  <c r="L770" i="27"/>
  <c r="M770" i="27"/>
  <c r="I769" i="27"/>
  <c r="K769" i="27"/>
  <c r="L769" i="27"/>
  <c r="M769" i="27"/>
  <c r="I768" i="27"/>
  <c r="K768" i="27"/>
  <c r="L768" i="27"/>
  <c r="M768" i="27"/>
  <c r="N771" i="3"/>
  <c r="P771" i="3"/>
  <c r="I767" i="27"/>
  <c r="L767" i="27"/>
  <c r="M767" i="27"/>
  <c r="N770" i="3"/>
  <c r="P770" i="3"/>
  <c r="I766" i="27"/>
  <c r="K766" i="27"/>
  <c r="L766" i="27"/>
  <c r="M766" i="27"/>
  <c r="N769" i="3"/>
  <c r="P769" i="3"/>
  <c r="I765" i="27"/>
  <c r="L765" i="27"/>
  <c r="M765" i="27"/>
  <c r="N690" i="3"/>
  <c r="P690" i="3"/>
  <c r="K765" i="27" l="1"/>
  <c r="K770" i="27"/>
  <c r="I764" i="27"/>
  <c r="K764" i="27"/>
  <c r="L764" i="27"/>
  <c r="M764" i="27"/>
  <c r="N768" i="3"/>
  <c r="P768" i="3"/>
  <c r="I763" i="27"/>
  <c r="K763" i="27"/>
  <c r="L763" i="27"/>
  <c r="M763" i="27"/>
  <c r="N767" i="3"/>
  <c r="P767" i="3"/>
  <c r="G1" i="30" l="1"/>
  <c r="I762" i="27"/>
  <c r="K762" i="27"/>
  <c r="L762" i="27"/>
  <c r="M762" i="27"/>
  <c r="I761" i="27"/>
  <c r="K761" i="27"/>
  <c r="L761" i="27"/>
  <c r="M761" i="27"/>
  <c r="I760" i="27"/>
  <c r="K760" i="27"/>
  <c r="L760" i="27"/>
  <c r="M760" i="27"/>
  <c r="I759" i="27"/>
  <c r="K759" i="27"/>
  <c r="L759" i="27"/>
  <c r="M759" i="27"/>
  <c r="I758" i="27"/>
  <c r="K758" i="27"/>
  <c r="L758" i="27"/>
  <c r="M758" i="27"/>
  <c r="I757" i="27"/>
  <c r="K757" i="27"/>
  <c r="L757" i="27"/>
  <c r="M757" i="27"/>
  <c r="I756" i="27"/>
  <c r="K756" i="27"/>
  <c r="L756" i="27"/>
  <c r="M756" i="27"/>
  <c r="N689" i="3"/>
  <c r="P689" i="3"/>
  <c r="I755" i="27"/>
  <c r="K755" i="27"/>
  <c r="L755" i="27"/>
  <c r="M755" i="27"/>
  <c r="N688" i="3"/>
  <c r="P688" i="3"/>
  <c r="I754" i="27"/>
  <c r="K754" i="27"/>
  <c r="L754" i="27"/>
  <c r="M754" i="27"/>
  <c r="N687" i="3"/>
  <c r="P687" i="3"/>
  <c r="I753" i="27"/>
  <c r="K753" i="27"/>
  <c r="L753" i="27"/>
  <c r="M753" i="27"/>
  <c r="N686" i="3"/>
  <c r="P686" i="3"/>
  <c r="I752" i="27"/>
  <c r="K752" i="27"/>
  <c r="L752" i="27"/>
  <c r="M752" i="27"/>
  <c r="N428" i="3"/>
  <c r="P428" i="3"/>
  <c r="I751" i="27"/>
  <c r="K751" i="27"/>
  <c r="L751" i="27"/>
  <c r="M751" i="27"/>
  <c r="N685" i="3"/>
  <c r="P685" i="3"/>
  <c r="I750" i="27"/>
  <c r="K750" i="27"/>
  <c r="L750" i="27"/>
  <c r="M750" i="27"/>
  <c r="N684" i="3"/>
  <c r="P684" i="3"/>
  <c r="I749" i="27"/>
  <c r="K749" i="27"/>
  <c r="L749" i="27"/>
  <c r="M749" i="27"/>
  <c r="N683" i="3"/>
  <c r="P683" i="3"/>
  <c r="I748" i="27"/>
  <c r="K748" i="27"/>
  <c r="L748" i="27"/>
  <c r="M748" i="27"/>
  <c r="N71" i="3"/>
  <c r="P71" i="3"/>
  <c r="I747" i="27"/>
  <c r="K747" i="27"/>
  <c r="L747" i="27"/>
  <c r="M747" i="27"/>
  <c r="N70" i="3"/>
  <c r="P70" i="3"/>
  <c r="I746" i="27"/>
  <c r="K746" i="27"/>
  <c r="L746" i="27"/>
  <c r="M746" i="27"/>
  <c r="N766" i="3"/>
  <c r="P766" i="3"/>
  <c r="I745" i="27"/>
  <c r="K745" i="27"/>
  <c r="L745" i="27"/>
  <c r="M745" i="27"/>
  <c r="N232" i="3"/>
  <c r="P232" i="3"/>
  <c r="I744" i="27"/>
  <c r="K744" i="27"/>
  <c r="L744" i="27"/>
  <c r="M744" i="27"/>
  <c r="I743" i="27"/>
  <c r="K743" i="27"/>
  <c r="L743" i="27"/>
  <c r="M743" i="27"/>
  <c r="N322" i="3"/>
  <c r="P322" i="3"/>
  <c r="A41" i="13"/>
  <c r="L41" i="13"/>
  <c r="M41" i="13"/>
  <c r="Q41" i="13"/>
  <c r="R41" i="13"/>
  <c r="A31" i="13"/>
  <c r="L31" i="13"/>
  <c r="M31" i="13"/>
  <c r="Q31" i="13"/>
  <c r="R31" i="13"/>
  <c r="A68" i="13"/>
  <c r="L68" i="13"/>
  <c r="M68" i="13"/>
  <c r="Q68" i="13"/>
  <c r="R68" i="13"/>
  <c r="A19" i="13"/>
  <c r="L19" i="13"/>
  <c r="M19" i="13"/>
  <c r="Q19" i="13"/>
  <c r="R19" i="13"/>
  <c r="A93" i="13"/>
  <c r="L93" i="13"/>
  <c r="M93" i="13"/>
  <c r="Q93" i="13"/>
  <c r="R93" i="13"/>
  <c r="I742" i="27"/>
  <c r="K742" i="27"/>
  <c r="L742" i="27"/>
  <c r="M742" i="27"/>
  <c r="N200" i="3"/>
  <c r="P200" i="3"/>
  <c r="I741" i="27"/>
  <c r="K741" i="27"/>
  <c r="L741" i="27"/>
  <c r="M741" i="27"/>
  <c r="N707" i="3"/>
  <c r="P707" i="3"/>
  <c r="I740" i="27" l="1"/>
  <c r="K740" i="27"/>
  <c r="L740" i="27"/>
  <c r="M740" i="27"/>
  <c r="N682" i="3"/>
  <c r="P682" i="3"/>
  <c r="I739" i="27"/>
  <c r="K739" i="27"/>
  <c r="L739" i="27"/>
  <c r="M739" i="27"/>
  <c r="I738" i="27"/>
  <c r="K738" i="27"/>
  <c r="L738" i="27"/>
  <c r="M738" i="27"/>
  <c r="I737" i="27"/>
  <c r="K737" i="27"/>
  <c r="L737" i="27"/>
  <c r="M737" i="27"/>
  <c r="I736" i="27"/>
  <c r="K736" i="27"/>
  <c r="L736" i="27"/>
  <c r="M736" i="27"/>
  <c r="I735" i="27"/>
  <c r="K735" i="27"/>
  <c r="L735" i="27"/>
  <c r="M735" i="27"/>
  <c r="I734" i="27"/>
  <c r="K734" i="27"/>
  <c r="L734" i="27"/>
  <c r="M734" i="27"/>
  <c r="I733" i="27"/>
  <c r="K733" i="27"/>
  <c r="L733" i="27"/>
  <c r="M733" i="27"/>
  <c r="I732" i="27"/>
  <c r="K732" i="27"/>
  <c r="L732" i="27"/>
  <c r="M732" i="27"/>
  <c r="I731" i="27"/>
  <c r="K731" i="27"/>
  <c r="L731" i="27"/>
  <c r="M731" i="27"/>
  <c r="I730" i="27"/>
  <c r="K730" i="27"/>
  <c r="L730" i="27"/>
  <c r="M730" i="27"/>
  <c r="I729" i="27"/>
  <c r="K729" i="27"/>
  <c r="L729" i="27"/>
  <c r="M729" i="27"/>
  <c r="I728" i="27"/>
  <c r="K728" i="27"/>
  <c r="L728" i="27"/>
  <c r="M728" i="27"/>
  <c r="I727" i="27"/>
  <c r="K727" i="27"/>
  <c r="L727" i="27"/>
  <c r="M727" i="27"/>
  <c r="A65" i="13"/>
  <c r="L65" i="13"/>
  <c r="M65" i="13"/>
  <c r="Q65" i="13"/>
  <c r="R65" i="13"/>
  <c r="A100" i="13"/>
  <c r="L100" i="13"/>
  <c r="M100" i="13"/>
  <c r="Q100" i="13"/>
  <c r="R100" i="13"/>
  <c r="A9" i="13"/>
  <c r="L9" i="13"/>
  <c r="M9" i="13"/>
  <c r="Q9" i="13"/>
  <c r="R9" i="13"/>
  <c r="A51" i="13"/>
  <c r="L51" i="13"/>
  <c r="M51" i="13"/>
  <c r="Q51" i="13"/>
  <c r="R51" i="13"/>
  <c r="A42" i="13"/>
  <c r="L42" i="13"/>
  <c r="M42" i="13"/>
  <c r="Q42" i="13"/>
  <c r="R42" i="13"/>
  <c r="A34" i="13"/>
  <c r="L34" i="13"/>
  <c r="M34" i="13"/>
  <c r="Q34" i="13"/>
  <c r="R34" i="13"/>
  <c r="I726" i="27"/>
  <c r="K726" i="27"/>
  <c r="L726" i="27"/>
  <c r="M726" i="27"/>
  <c r="I725" i="27"/>
  <c r="K725" i="27"/>
  <c r="L725" i="27"/>
  <c r="M725" i="27"/>
  <c r="I724" i="27"/>
  <c r="K724" i="27"/>
  <c r="L724" i="27"/>
  <c r="M724" i="27"/>
  <c r="I723" i="27"/>
  <c r="K723" i="27"/>
  <c r="L723" i="27"/>
  <c r="M723" i="27"/>
  <c r="I722" i="27"/>
  <c r="K722" i="27"/>
  <c r="L722" i="27"/>
  <c r="M722" i="27"/>
  <c r="I721" i="27"/>
  <c r="K721" i="27"/>
  <c r="L721" i="27"/>
  <c r="M721" i="27"/>
  <c r="I720" i="27"/>
  <c r="K720" i="27"/>
  <c r="L720" i="27"/>
  <c r="M720" i="27"/>
  <c r="I719" i="27"/>
  <c r="K719" i="27"/>
  <c r="L719" i="27"/>
  <c r="M719" i="27"/>
  <c r="I718" i="27"/>
  <c r="K718" i="27"/>
  <c r="L718" i="27"/>
  <c r="M718" i="27"/>
  <c r="I717" i="27"/>
  <c r="K717" i="27"/>
  <c r="L717" i="27"/>
  <c r="M717" i="27"/>
  <c r="I716" i="27"/>
  <c r="K716" i="27"/>
  <c r="L716" i="27"/>
  <c r="M716" i="27"/>
  <c r="N55" i="3"/>
  <c r="P55" i="3"/>
  <c r="N6" i="3" l="1"/>
  <c r="N7" i="3"/>
  <c r="N693" i="3"/>
  <c r="N8" i="3"/>
  <c r="N9" i="3"/>
  <c r="N10" i="3"/>
  <c r="N11" i="3"/>
  <c r="N12" i="3"/>
  <c r="N13" i="3"/>
  <c r="N15" i="3"/>
  <c r="N16" i="3"/>
  <c r="N17" i="3"/>
  <c r="N18" i="3"/>
  <c r="N19" i="3"/>
  <c r="N704" i="3"/>
  <c r="N20" i="3"/>
  <c r="N25" i="3"/>
  <c r="N26" i="3"/>
  <c r="N708" i="3"/>
  <c r="N709" i="3"/>
  <c r="N30" i="3"/>
  <c r="N31" i="3"/>
  <c r="N33" i="3"/>
  <c r="N34" i="3"/>
  <c r="N36" i="3"/>
  <c r="N37" i="3"/>
  <c r="N21" i="3"/>
  <c r="N22" i="3"/>
  <c r="N23" i="3"/>
  <c r="N24" i="3"/>
  <c r="N29" i="3"/>
  <c r="N39" i="3"/>
  <c r="N40" i="3"/>
  <c r="N41" i="3"/>
  <c r="N353" i="3"/>
  <c r="N277" i="3"/>
  <c r="N710" i="3"/>
  <c r="N698" i="3"/>
  <c r="N57" i="3"/>
  <c r="N267" i="3"/>
  <c r="N369" i="3"/>
  <c r="N510" i="3"/>
  <c r="N389" i="3"/>
  <c r="N332" i="3"/>
  <c r="N705" i="3"/>
  <c r="N65" i="3"/>
  <c r="N77" i="3"/>
  <c r="N61" i="3"/>
  <c r="N62" i="3"/>
  <c r="N72" i="3"/>
  <c r="N43" i="3"/>
  <c r="N368" i="3"/>
  <c r="N365" i="3"/>
  <c r="N316" i="3"/>
  <c r="N67" i="3"/>
  <c r="N73" i="3"/>
  <c r="N74" i="3"/>
  <c r="N75" i="3"/>
  <c r="N94" i="3"/>
  <c r="N76" i="3"/>
  <c r="N106" i="3"/>
  <c r="N105" i="3"/>
  <c r="N114" i="3"/>
  <c r="N80" i="3"/>
  <c r="N702" i="3"/>
  <c r="N86" i="3"/>
  <c r="N276" i="3"/>
  <c r="N128" i="3"/>
  <c r="N85" i="3"/>
  <c r="N92" i="3"/>
  <c r="N278" i="3"/>
  <c r="N354" i="3"/>
  <c r="N79" i="3"/>
  <c r="N437" i="3"/>
  <c r="N82" i="3"/>
  <c r="N356" i="3"/>
  <c r="N127" i="3"/>
  <c r="N355" i="3"/>
  <c r="N81" i="3"/>
  <c r="N358" i="3"/>
  <c r="N319" i="3"/>
  <c r="N195" i="3"/>
  <c r="N96" i="3"/>
  <c r="N279" i="3"/>
  <c r="N120" i="3"/>
  <c r="N706" i="3"/>
  <c r="N331" i="3"/>
  <c r="N98" i="3"/>
  <c r="N315" i="3"/>
  <c r="N45" i="3"/>
  <c r="N333" i="3"/>
  <c r="N14" i="3"/>
  <c r="N577" i="3"/>
  <c r="N59" i="3"/>
  <c r="N699" i="3"/>
  <c r="N696" i="3"/>
  <c r="N112" i="3"/>
  <c r="N367" i="3"/>
  <c r="N110" i="3"/>
  <c r="N308" i="3"/>
  <c r="N701" i="3"/>
  <c r="N103" i="3"/>
  <c r="N438" i="3"/>
  <c r="N54" i="3"/>
  <c r="N373" i="3"/>
  <c r="N46" i="3"/>
  <c r="N314" i="3"/>
  <c r="N91" i="3"/>
  <c r="N47" i="3"/>
  <c r="N78" i="3"/>
  <c r="N27" i="3"/>
  <c r="N511" i="3"/>
  <c r="N49" i="3"/>
  <c r="N130" i="3"/>
  <c r="N63" i="3"/>
  <c r="N64" i="3"/>
  <c r="N113" i="3"/>
  <c r="N116" i="3"/>
  <c r="N117" i="3"/>
  <c r="N118" i="3"/>
  <c r="N119" i="3"/>
  <c r="N121" i="3"/>
  <c r="N123" i="3"/>
  <c r="N131" i="3"/>
  <c r="N132" i="3"/>
  <c r="N133" i="3"/>
  <c r="N134" i="3"/>
  <c r="N135" i="3"/>
  <c r="N136" i="3"/>
  <c r="N137" i="3"/>
  <c r="N138" i="3"/>
  <c r="N139" i="3"/>
  <c r="N162" i="3"/>
  <c r="N56" i="3"/>
  <c r="N163" i="3"/>
  <c r="N164" i="3"/>
  <c r="N165" i="3"/>
  <c r="N166" i="3"/>
  <c r="N95" i="3"/>
  <c r="N140" i="3"/>
  <c r="N201" i="3"/>
  <c r="N362" i="3"/>
  <c r="N141" i="3"/>
  <c r="N142" i="3"/>
  <c r="N173" i="3"/>
  <c r="N174" i="3"/>
  <c r="N175" i="3"/>
  <c r="N176" i="3"/>
  <c r="N177" i="3"/>
  <c r="N178" i="3"/>
  <c r="N179" i="3"/>
  <c r="N180" i="3"/>
  <c r="N143" i="3"/>
  <c r="N144" i="3"/>
  <c r="N145" i="3"/>
  <c r="N146" i="3"/>
  <c r="N191" i="3"/>
  <c r="N192" i="3"/>
  <c r="N194" i="3"/>
  <c r="N147" i="3"/>
  <c r="N148" i="3"/>
  <c r="N199" i="3"/>
  <c r="N366" i="3"/>
  <c r="N318" i="3"/>
  <c r="N149" i="3"/>
  <c r="N150" i="3"/>
  <c r="N151" i="3"/>
  <c r="N152" i="3"/>
  <c r="N154" i="3"/>
  <c r="N155" i="3"/>
  <c r="N156" i="3"/>
  <c r="N157" i="3"/>
  <c r="N158" i="3"/>
  <c r="N159" i="3"/>
  <c r="N160" i="3"/>
  <c r="N161" i="3"/>
  <c r="N168" i="3"/>
  <c r="N170" i="3"/>
  <c r="N171" i="3"/>
  <c r="N89" i="3"/>
  <c r="N90" i="3"/>
  <c r="N324" i="3"/>
  <c r="N269" i="3"/>
  <c r="N274" i="3"/>
  <c r="N357" i="3"/>
  <c r="N280" i="3"/>
  <c r="N281" i="3"/>
  <c r="N282" i="3"/>
  <c r="N172" i="3"/>
  <c r="N68" i="3"/>
  <c r="N183" i="3"/>
  <c r="N83" i="3"/>
  <c r="N289" i="3"/>
  <c r="N184" i="3"/>
  <c r="N185" i="3"/>
  <c r="N186" i="3"/>
  <c r="N188" i="3"/>
  <c r="N189" i="3"/>
  <c r="N196" i="3"/>
  <c r="N197" i="3"/>
  <c r="N198" i="3"/>
  <c r="N202" i="3"/>
  <c r="N300" i="3"/>
  <c r="N203" i="3"/>
  <c r="N204" i="3"/>
  <c r="N304" i="3"/>
  <c r="N305" i="3"/>
  <c r="N306" i="3"/>
  <c r="N317" i="3"/>
  <c r="N205" i="3"/>
  <c r="N206" i="3"/>
  <c r="N207" i="3"/>
  <c r="N208" i="3"/>
  <c r="N209" i="3"/>
  <c r="N703" i="3"/>
  <c r="N337" i="3"/>
  <c r="N338" i="3"/>
  <c r="N339" i="3"/>
  <c r="N340" i="3"/>
  <c r="N341" i="3"/>
  <c r="N342" i="3"/>
  <c r="N344" i="3"/>
  <c r="N345" i="3"/>
  <c r="N346" i="3"/>
  <c r="N347" i="3"/>
  <c r="N736" i="3"/>
  <c r="N363" i="3"/>
  <c r="N364" i="3"/>
  <c r="N737" i="3"/>
  <c r="N738" i="3"/>
  <c r="N739" i="3"/>
  <c r="N740" i="3"/>
  <c r="N741" i="3"/>
  <c r="N28" i="3"/>
  <c r="N210" i="3"/>
  <c r="N211" i="3"/>
  <c r="N212" i="3"/>
  <c r="N379" i="3"/>
  <c r="N380" i="3"/>
  <c r="N381" i="3"/>
  <c r="N382" i="3"/>
  <c r="N87" i="3"/>
  <c r="N213" i="3"/>
  <c r="N313" i="3"/>
  <c r="N214" i="3"/>
  <c r="N215" i="3"/>
  <c r="N216" i="3"/>
  <c r="N398" i="3"/>
  <c r="N715" i="3"/>
  <c r="N716" i="3"/>
  <c r="N717" i="3"/>
  <c r="N125" i="3"/>
  <c r="N402" i="3"/>
  <c r="N718" i="3"/>
  <c r="N719" i="3"/>
  <c r="N429" i="3"/>
  <c r="N403" i="3"/>
  <c r="N283" i="3"/>
  <c r="N406" i="3"/>
  <c r="N407" i="3"/>
  <c r="N408" i="3"/>
  <c r="N409" i="3"/>
  <c r="N410" i="3"/>
  <c r="N411" i="3"/>
  <c r="N412" i="3"/>
  <c r="N413" i="3"/>
  <c r="N414" i="3"/>
  <c r="N720" i="3"/>
  <c r="N415" i="3"/>
  <c r="N126" i="3"/>
  <c r="N416" i="3"/>
  <c r="N417" i="3"/>
  <c r="N418" i="3"/>
  <c r="N439" i="3"/>
  <c r="N419" i="3"/>
  <c r="N721" i="3"/>
  <c r="N420" i="3"/>
  <c r="N722" i="3"/>
  <c r="N723" i="3"/>
  <c r="N421" i="3"/>
  <c r="N422" i="3"/>
  <c r="N423" i="3"/>
  <c r="N424" i="3"/>
  <c r="N427" i="3"/>
  <c r="N724" i="3"/>
  <c r="N430" i="3"/>
  <c r="N431" i="3"/>
  <c r="N725" i="3"/>
  <c r="N435" i="3"/>
  <c r="N440" i="3"/>
  <c r="N441" i="3"/>
  <c r="N442" i="3"/>
  <c r="N726" i="3"/>
  <c r="N727" i="3"/>
  <c r="N728" i="3"/>
  <c r="N729" i="3"/>
  <c r="N730" i="3"/>
  <c r="N731" i="3"/>
  <c r="N73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97" i="3"/>
  <c r="N361" i="3"/>
  <c r="N512" i="3"/>
  <c r="N733" i="3"/>
  <c r="N513" i="3"/>
  <c r="N694" i="3"/>
  <c r="N695" i="3"/>
  <c r="N514" i="3"/>
  <c r="N107" i="3"/>
  <c r="N320" i="3"/>
  <c r="N58" i="3"/>
  <c r="N104" i="3"/>
  <c r="N359" i="3"/>
  <c r="N360" i="3"/>
  <c r="N584" i="3"/>
  <c r="N700"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66" i="3"/>
  <c r="N383" i="3"/>
  <c r="N288" i="3"/>
  <c r="N349" i="3"/>
  <c r="N352" i="3"/>
  <c r="N350" i="3"/>
  <c r="N217" i="3"/>
  <c r="N218" i="3"/>
  <c r="N38" i="3"/>
  <c r="N190" i="3"/>
  <c r="N343" i="3"/>
  <c r="N405" i="3"/>
  <c r="N111" i="3"/>
  <c r="N101" i="3"/>
  <c r="N219" i="3"/>
  <c r="N220" i="3"/>
  <c r="N100" i="3"/>
  <c r="N266" i="3"/>
  <c r="N108" i="3"/>
  <c r="N109" i="3"/>
  <c r="N564" i="3"/>
  <c r="N565" i="3"/>
  <c r="N566" i="3"/>
  <c r="N567" i="3"/>
  <c r="N568" i="3"/>
  <c r="N569" i="3"/>
  <c r="N221" i="3"/>
  <c r="N570" i="3"/>
  <c r="N571" i="3"/>
  <c r="N572" i="3"/>
  <c r="N573" i="3"/>
  <c r="N574" i="3"/>
  <c r="N575" i="3"/>
  <c r="N576" i="3"/>
  <c r="N53" i="3"/>
  <c r="N578" i="3"/>
  <c r="N579" i="3"/>
  <c r="N580" i="3"/>
  <c r="N581" i="3"/>
  <c r="N582" i="3"/>
  <c r="N583" i="3"/>
  <c r="N222" i="3"/>
  <c r="N42" i="3"/>
  <c r="N223" i="3"/>
  <c r="N224" i="3"/>
  <c r="N225" i="3"/>
  <c r="N226" i="3"/>
  <c r="N227" i="3"/>
  <c r="N228" i="3"/>
  <c r="N229" i="3"/>
  <c r="N230" i="3"/>
  <c r="N371" i="3"/>
  <c r="N231" i="3"/>
  <c r="N233" i="3"/>
  <c r="N234" i="3"/>
  <c r="N235" i="3"/>
  <c r="N236" i="3"/>
  <c r="N237" i="3"/>
  <c r="N238" i="3"/>
  <c r="N239" i="3"/>
  <c r="N240" i="3"/>
  <c r="N241" i="3"/>
  <c r="N242" i="3"/>
  <c r="N243" i="3"/>
  <c r="N244" i="3"/>
  <c r="N245" i="3"/>
  <c r="N246" i="3"/>
  <c r="N247" i="3"/>
  <c r="N248" i="3"/>
  <c r="N249" i="3"/>
  <c r="N250" i="3"/>
  <c r="N251" i="3"/>
  <c r="N252" i="3"/>
  <c r="N253" i="3"/>
  <c r="N153" i="3"/>
  <c r="N254" i="3"/>
  <c r="N255" i="3"/>
  <c r="N256" i="3"/>
  <c r="N257" i="3"/>
  <c r="N258" i="3"/>
  <c r="N259" i="3"/>
  <c r="N260" i="3"/>
  <c r="N262" i="3"/>
  <c r="N263" i="3"/>
  <c r="N284" i="3"/>
  <c r="N372" i="3"/>
  <c r="N393" i="3"/>
  <c r="N394" i="3"/>
  <c r="N395" i="3"/>
  <c r="N396" i="3"/>
  <c r="N397" i="3"/>
  <c r="N433" i="3"/>
  <c r="N285" i="3"/>
  <c r="N286" i="3"/>
  <c r="N290" i="3"/>
  <c r="N291" i="3"/>
  <c r="N292" i="3"/>
  <c r="N293" i="3"/>
  <c r="N294" i="3"/>
  <c r="N295" i="3"/>
  <c r="N296" i="3"/>
  <c r="N711" i="3"/>
  <c r="N585" i="3"/>
  <c r="N586" i="3"/>
  <c r="N399" i="3"/>
  <c r="N400" i="3"/>
  <c r="N401" i="3"/>
  <c r="N404" i="3"/>
  <c r="N434" i="3"/>
  <c r="N425" i="3"/>
  <c r="N426" i="3"/>
  <c r="N432" i="3"/>
  <c r="N436" i="3"/>
  <c r="N297" i="3"/>
  <c r="N32" i="3"/>
  <c r="N35" i="3"/>
  <c r="N48" i="3"/>
  <c r="N50" i="3"/>
  <c r="N51" i="3"/>
  <c r="N52" i="3"/>
  <c r="N93" i="3"/>
  <c r="N84" i="3"/>
  <c r="N88" i="3"/>
  <c r="N99" i="3"/>
  <c r="N115" i="3"/>
  <c r="N298" i="3"/>
  <c r="N299" i="3"/>
  <c r="N122" i="3"/>
  <c r="N129" i="3"/>
  <c r="N302" i="3"/>
  <c r="N303" i="3"/>
  <c r="N307" i="3"/>
  <c r="N309" i="3"/>
  <c r="N310" i="3"/>
  <c r="N312" i="3"/>
  <c r="N167" i="3"/>
  <c r="N169" i="3"/>
  <c r="N321" i="3"/>
  <c r="N181" i="3"/>
  <c r="N182" i="3"/>
  <c r="N187" i="3"/>
  <c r="N69" i="3"/>
  <c r="N330" i="3"/>
  <c r="N697" i="3"/>
  <c r="N334" i="3"/>
  <c r="N370" i="3"/>
  <c r="N374" i="3"/>
  <c r="N375" i="3"/>
  <c r="N376" i="3"/>
  <c r="N377" i="3"/>
  <c r="N261" i="3"/>
  <c r="N264" i="3"/>
  <c r="N265" i="3"/>
  <c r="N268" i="3"/>
  <c r="N270" i="3"/>
  <c r="N271" i="3"/>
  <c r="N272" i="3"/>
  <c r="N273" i="3"/>
  <c r="N275" i="3"/>
  <c r="N378" i="3"/>
  <c r="N301" i="3"/>
  <c r="N387" i="3"/>
  <c r="N311" i="3"/>
  <c r="N712" i="3"/>
  <c r="N713" i="3"/>
  <c r="N714" i="3"/>
  <c r="N734" i="3"/>
  <c r="N735" i="3"/>
  <c r="N323" i="3"/>
  <c r="N325" i="3"/>
  <c r="N326" i="3"/>
  <c r="N327" i="3"/>
  <c r="N328" i="3"/>
  <c r="N329" i="3"/>
  <c r="N335" i="3"/>
  <c r="N336" i="3"/>
  <c r="N124" i="3"/>
  <c r="N348" i="3"/>
  <c r="N351" i="3"/>
  <c r="N388" i="3"/>
  <c r="N384" i="3"/>
  <c r="N385" i="3"/>
  <c r="N386" i="3"/>
  <c r="N745" i="3"/>
  <c r="N587" i="3"/>
  <c r="N588" i="3"/>
  <c r="N589" i="3"/>
  <c r="N590" i="3"/>
  <c r="N591" i="3"/>
  <c r="N742" i="3"/>
  <c r="N592" i="3"/>
  <c r="N593" i="3"/>
  <c r="N594" i="3"/>
  <c r="N595" i="3"/>
  <c r="N596" i="3"/>
  <c r="N597" i="3"/>
  <c r="N598" i="3"/>
  <c r="N743" i="3"/>
  <c r="N744" i="3"/>
  <c r="N765" i="3"/>
  <c r="N599" i="3"/>
  <c r="N600" i="3"/>
  <c r="N601" i="3"/>
  <c r="N602" i="3"/>
  <c r="N603" i="3"/>
  <c r="N604" i="3"/>
  <c r="N605" i="3"/>
  <c r="N606" i="3"/>
  <c r="N607" i="3"/>
  <c r="N608" i="3"/>
  <c r="N609" i="3"/>
  <c r="N102" i="3"/>
  <c r="N610" i="3"/>
  <c r="N611" i="3"/>
  <c r="N612" i="3"/>
  <c r="N613" i="3"/>
  <c r="N614" i="3"/>
  <c r="N615" i="3"/>
  <c r="N616" i="3"/>
  <c r="N617" i="3"/>
  <c r="N618" i="3"/>
  <c r="N619" i="3"/>
  <c r="N746" i="3"/>
  <c r="N747" i="3"/>
  <c r="N748" i="3"/>
  <c r="N749" i="3"/>
  <c r="N750" i="3"/>
  <c r="N751" i="3"/>
  <c r="N752" i="3"/>
  <c r="N753" i="3"/>
  <c r="N754" i="3"/>
  <c r="N755" i="3"/>
  <c r="N756" i="3"/>
  <c r="N757" i="3"/>
  <c r="N758" i="3"/>
  <c r="N759" i="3"/>
  <c r="N620" i="3"/>
  <c r="N621" i="3"/>
  <c r="N760" i="3"/>
  <c r="N761" i="3"/>
  <c r="N762" i="3"/>
  <c r="N763" i="3"/>
  <c r="N764" i="3"/>
  <c r="N622" i="3"/>
  <c r="N623" i="3"/>
  <c r="N624" i="3"/>
  <c r="N625" i="3"/>
  <c r="N626" i="3"/>
  <c r="N627" i="3"/>
  <c r="N628" i="3"/>
  <c r="N629" i="3"/>
  <c r="N630" i="3"/>
  <c r="N631" i="3"/>
  <c r="N632" i="3"/>
  <c r="N633" i="3"/>
  <c r="N691" i="3"/>
  <c r="N692" i="3"/>
  <c r="N634" i="3"/>
  <c r="N635" i="3"/>
  <c r="N636" i="3"/>
  <c r="N637" i="3"/>
  <c r="N638" i="3"/>
  <c r="N639" i="3"/>
  <c r="N640" i="3"/>
  <c r="N641" i="3"/>
  <c r="N642" i="3"/>
  <c r="N643" i="3"/>
  <c r="N644" i="3"/>
  <c r="N645" i="3"/>
  <c r="N646" i="3"/>
  <c r="N647" i="3"/>
  <c r="N648" i="3"/>
  <c r="N649" i="3"/>
  <c r="N650" i="3"/>
  <c r="N651" i="3"/>
  <c r="N652" i="3"/>
  <c r="N653" i="3"/>
  <c r="N390" i="3"/>
  <c r="N193" i="3"/>
  <c r="N391" i="3"/>
  <c r="N654" i="3"/>
  <c r="N655" i="3"/>
  <c r="N656" i="3"/>
  <c r="N657" i="3"/>
  <c r="N658" i="3"/>
  <c r="N659" i="3"/>
  <c r="N660" i="3"/>
  <c r="N661" i="3"/>
  <c r="N662" i="3"/>
  <c r="N663" i="3"/>
  <c r="N665" i="3"/>
  <c r="N666" i="3"/>
  <c r="N667" i="3"/>
  <c r="N668" i="3"/>
  <c r="N669" i="3"/>
  <c r="N670" i="3"/>
  <c r="N671" i="3"/>
  <c r="N672" i="3"/>
  <c r="N673" i="3"/>
  <c r="N674" i="3"/>
  <c r="N675" i="3"/>
  <c r="N676" i="3"/>
  <c r="N677" i="3"/>
  <c r="N678" i="3"/>
  <c r="N60" i="3"/>
  <c r="N392" i="3"/>
  <c r="N679" i="3"/>
  <c r="N664" i="3"/>
  <c r="N287" i="3"/>
  <c r="N680" i="3"/>
  <c r="N681" i="3"/>
  <c r="N44" i="3"/>
  <c r="I715" i="27"/>
  <c r="K715" i="27"/>
  <c r="L715" i="27"/>
  <c r="M715" i="27"/>
  <c r="P44" i="3"/>
  <c r="I714" i="27"/>
  <c r="K714" i="27"/>
  <c r="L714" i="27"/>
  <c r="M714" i="27"/>
  <c r="P681" i="3"/>
  <c r="A79" i="13" l="1"/>
  <c r="L79" i="13"/>
  <c r="M79" i="13"/>
  <c r="Q79" i="13"/>
  <c r="R79" i="13"/>
  <c r="I713" i="27"/>
  <c r="K713" i="27"/>
  <c r="L713" i="27"/>
  <c r="M713" i="27"/>
  <c r="P680" i="3"/>
  <c r="Y2" i="3"/>
  <c r="I712" i="27"/>
  <c r="K712" i="27"/>
  <c r="L712" i="27"/>
  <c r="M712" i="27"/>
  <c r="P287" i="3"/>
  <c r="I711" i="27"/>
  <c r="K711" i="27"/>
  <c r="L711" i="27"/>
  <c r="M711" i="27"/>
  <c r="P664" i="3"/>
  <c r="I710" i="27"/>
  <c r="K710" i="27"/>
  <c r="L710" i="27"/>
  <c r="M710" i="27"/>
  <c r="I709" i="27"/>
  <c r="K709" i="27"/>
  <c r="L709" i="27"/>
  <c r="M709" i="27"/>
  <c r="P15" i="3"/>
  <c r="I708" i="27"/>
  <c r="K708" i="27"/>
  <c r="L708" i="27"/>
  <c r="M708" i="27"/>
  <c r="I707" i="27"/>
  <c r="K707" i="27"/>
  <c r="L707" i="27"/>
  <c r="M707" i="27"/>
  <c r="I706" i="27"/>
  <c r="K706" i="27"/>
  <c r="L706" i="27"/>
  <c r="M706" i="27"/>
  <c r="I705" i="27"/>
  <c r="K705" i="27"/>
  <c r="L705" i="27"/>
  <c r="M705" i="27"/>
  <c r="I704" i="27"/>
  <c r="K704" i="27"/>
  <c r="L704" i="27"/>
  <c r="M704" i="27"/>
  <c r="I703" i="27"/>
  <c r="K703" i="27"/>
  <c r="L703" i="27"/>
  <c r="M703" i="27"/>
  <c r="I702" i="27"/>
  <c r="K702" i="27"/>
  <c r="L702" i="27"/>
  <c r="M702" i="27"/>
  <c r="I701" i="27"/>
  <c r="K701" i="27"/>
  <c r="L701" i="27"/>
  <c r="M701" i="27"/>
  <c r="I700" i="27"/>
  <c r="K700" i="27"/>
  <c r="L700" i="27"/>
  <c r="M700" i="27"/>
  <c r="I699" i="27"/>
  <c r="K699" i="27"/>
  <c r="L699" i="27"/>
  <c r="M699" i="27"/>
  <c r="I698" i="27"/>
  <c r="K698" i="27"/>
  <c r="L698" i="27"/>
  <c r="M698" i="27"/>
  <c r="I697" i="27"/>
  <c r="K697" i="27"/>
  <c r="L697" i="27"/>
  <c r="M697" i="27"/>
  <c r="P671" i="3"/>
  <c r="P672" i="3"/>
  <c r="P673" i="3"/>
  <c r="P674" i="3"/>
  <c r="P675" i="3"/>
  <c r="P676" i="3"/>
  <c r="P677" i="3"/>
  <c r="P678" i="3"/>
  <c r="P60" i="3"/>
  <c r="P8" i="3"/>
  <c r="P7" i="3"/>
  <c r="P679" i="3"/>
  <c r="I696" i="27"/>
  <c r="K696" i="27"/>
  <c r="L696" i="27"/>
  <c r="M696" i="27"/>
  <c r="P670" i="3"/>
  <c r="I695" i="27"/>
  <c r="K695" i="27"/>
  <c r="L695" i="27"/>
  <c r="M695" i="27"/>
  <c r="I694" i="27"/>
  <c r="K694" i="27"/>
  <c r="L694" i="27"/>
  <c r="M694" i="27"/>
  <c r="I693" i="27"/>
  <c r="K693" i="27"/>
  <c r="L693" i="27"/>
  <c r="M693" i="27"/>
  <c r="A59" i="13"/>
  <c r="L59" i="13"/>
  <c r="M59" i="13"/>
  <c r="Q59" i="13"/>
  <c r="R59" i="13"/>
  <c r="I692" i="27"/>
  <c r="K692" i="27"/>
  <c r="L692" i="27"/>
  <c r="M692" i="27"/>
  <c r="I691" i="27"/>
  <c r="K691" i="27"/>
  <c r="L691" i="27"/>
  <c r="M691" i="27"/>
  <c r="I690" i="27"/>
  <c r="K690" i="27"/>
  <c r="L690" i="27"/>
  <c r="M690" i="27"/>
  <c r="I689" i="27"/>
  <c r="K689" i="27"/>
  <c r="L689" i="27"/>
  <c r="M689" i="27"/>
  <c r="I688" i="27"/>
  <c r="K688" i="27"/>
  <c r="L688" i="27"/>
  <c r="M688" i="27"/>
  <c r="I687" i="27"/>
  <c r="K687" i="27"/>
  <c r="L687" i="27"/>
  <c r="M687" i="27"/>
  <c r="I686" i="27"/>
  <c r="K686" i="27"/>
  <c r="L686" i="27"/>
  <c r="M686" i="27"/>
  <c r="I685" i="27"/>
  <c r="K685" i="27"/>
  <c r="L685" i="27"/>
  <c r="M685" i="27"/>
  <c r="I684" i="27"/>
  <c r="K684" i="27"/>
  <c r="L684" i="27"/>
  <c r="M684" i="27"/>
  <c r="P667" i="3"/>
  <c r="P668" i="3"/>
  <c r="P669" i="3"/>
  <c r="I683" i="27"/>
  <c r="K683" i="27"/>
  <c r="L683" i="27"/>
  <c r="M683" i="27"/>
  <c r="P666" i="3"/>
  <c r="I682" i="27"/>
  <c r="K682" i="27"/>
  <c r="L682" i="27"/>
  <c r="M682" i="27"/>
  <c r="P665" i="3"/>
  <c r="I681" i="27"/>
  <c r="K681" i="27"/>
  <c r="L681" i="27"/>
  <c r="M681" i="27"/>
  <c r="P663" i="3"/>
  <c r="I680" i="27"/>
  <c r="K680" i="27"/>
  <c r="L680" i="27"/>
  <c r="M680" i="27"/>
  <c r="P662" i="3"/>
  <c r="I679" i="27"/>
  <c r="K679" i="27"/>
  <c r="L679" i="27"/>
  <c r="M679" i="27"/>
  <c r="P661" i="3"/>
  <c r="I678" i="27"/>
  <c r="K678" i="27"/>
  <c r="L678" i="27"/>
  <c r="M678" i="27"/>
  <c r="I677" i="27"/>
  <c r="K677" i="27"/>
  <c r="L677" i="27"/>
  <c r="M677" i="27"/>
  <c r="P660" i="3"/>
  <c r="I676" i="27"/>
  <c r="K676" i="27"/>
  <c r="L676" i="27"/>
  <c r="M676" i="27"/>
  <c r="P659" i="3"/>
  <c r="I675" i="27"/>
  <c r="K675" i="27"/>
  <c r="L675" i="27"/>
  <c r="M675" i="27"/>
  <c r="P658" i="3"/>
  <c r="I674" i="27"/>
  <c r="K674" i="27"/>
  <c r="L674" i="27"/>
  <c r="M674" i="27"/>
  <c r="P657" i="3"/>
  <c r="I673" i="27"/>
  <c r="K673" i="27"/>
  <c r="L673" i="27"/>
  <c r="M673" i="27"/>
  <c r="I672" i="27"/>
  <c r="K672" i="27"/>
  <c r="L672" i="27"/>
  <c r="M672" i="27"/>
  <c r="I671" i="27"/>
  <c r="K671" i="27"/>
  <c r="L671" i="27"/>
  <c r="M671" i="27"/>
  <c r="P656" i="3"/>
  <c r="I670" i="27"/>
  <c r="K670" i="27"/>
  <c r="L670" i="27"/>
  <c r="M670" i="27"/>
  <c r="P655" i="3"/>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K110" i="27"/>
  <c r="K111" i="27"/>
  <c r="K112" i="27"/>
  <c r="K113" i="27"/>
  <c r="K114" i="27"/>
  <c r="K115" i="27"/>
  <c r="K116" i="27"/>
  <c r="K117" i="27"/>
  <c r="K118" i="27"/>
  <c r="K119" i="27"/>
  <c r="K120" i="27"/>
  <c r="K121" i="27"/>
  <c r="K122" i="27"/>
  <c r="K123" i="27"/>
  <c r="K124" i="27"/>
  <c r="K125" i="27"/>
  <c r="K126" i="27"/>
  <c r="K127" i="27"/>
  <c r="K128" i="27"/>
  <c r="K129" i="27"/>
  <c r="K130" i="27"/>
  <c r="K131" i="27"/>
  <c r="K132" i="27"/>
  <c r="K133" i="27"/>
  <c r="K134" i="27"/>
  <c r="K135" i="27"/>
  <c r="K136" i="27"/>
  <c r="K137" i="27"/>
  <c r="K138" i="27"/>
  <c r="K139" i="27"/>
  <c r="K140" i="27"/>
  <c r="K141" i="27"/>
  <c r="K142" i="27"/>
  <c r="K143" i="27"/>
  <c r="K144" i="27"/>
  <c r="K145" i="27"/>
  <c r="K146" i="27"/>
  <c r="K147" i="27"/>
  <c r="K148" i="27"/>
  <c r="K149" i="27"/>
  <c r="K150" i="27"/>
  <c r="K151" i="27"/>
  <c r="K152" i="27"/>
  <c r="K153" i="27"/>
  <c r="K154" i="27"/>
  <c r="K155" i="27"/>
  <c r="K156" i="27"/>
  <c r="K157" i="27"/>
  <c r="K158" i="27"/>
  <c r="K159" i="27"/>
  <c r="K160" i="27"/>
  <c r="K161" i="27"/>
  <c r="K162" i="27"/>
  <c r="K163" i="27"/>
  <c r="K164" i="27"/>
  <c r="K165" i="27"/>
  <c r="K166" i="27"/>
  <c r="K167" i="27"/>
  <c r="K168" i="27"/>
  <c r="K169" i="27"/>
  <c r="K170" i="27"/>
  <c r="K171" i="27"/>
  <c r="K172" i="27"/>
  <c r="K173" i="27"/>
  <c r="K174" i="27"/>
  <c r="K175" i="27"/>
  <c r="K176" i="27"/>
  <c r="K177" i="27"/>
  <c r="K178" i="27"/>
  <c r="K179" i="27"/>
  <c r="K180" i="27"/>
  <c r="K181" i="27"/>
  <c r="K182" i="27"/>
  <c r="K183" i="27"/>
  <c r="K184" i="27"/>
  <c r="K185" i="27"/>
  <c r="K186" i="27"/>
  <c r="K187" i="27"/>
  <c r="K188"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K217" i="27"/>
  <c r="K218" i="27"/>
  <c r="K219" i="27"/>
  <c r="K220" i="27"/>
  <c r="K221" i="27"/>
  <c r="K222" i="27"/>
  <c r="K223" i="27"/>
  <c r="K224" i="27"/>
  <c r="K225" i="27"/>
  <c r="K226" i="27"/>
  <c r="K227" i="27"/>
  <c r="K228" i="27"/>
  <c r="K229" i="27"/>
  <c r="K230" i="27"/>
  <c r="K231" i="27"/>
  <c r="K232" i="27"/>
  <c r="K233" i="27"/>
  <c r="K234" i="27"/>
  <c r="K235" i="27"/>
  <c r="K236" i="27"/>
  <c r="K237" i="27"/>
  <c r="K238" i="27"/>
  <c r="K239" i="27"/>
  <c r="K240" i="27"/>
  <c r="K241" i="27"/>
  <c r="K242" i="27"/>
  <c r="K243" i="27"/>
  <c r="K244" i="27"/>
  <c r="K245" i="27"/>
  <c r="K246" i="27"/>
  <c r="K247" i="27"/>
  <c r="K248" i="27"/>
  <c r="K249" i="27"/>
  <c r="K250" i="27"/>
  <c r="K251" i="27"/>
  <c r="K252" i="27"/>
  <c r="K253" i="27"/>
  <c r="K254" i="27"/>
  <c r="K255" i="27"/>
  <c r="K256" i="27"/>
  <c r="K257" i="27"/>
  <c r="K258" i="27"/>
  <c r="K259" i="27"/>
  <c r="K260" i="27"/>
  <c r="K261" i="27"/>
  <c r="K262" i="27"/>
  <c r="K263" i="27"/>
  <c r="K264" i="27"/>
  <c r="K265" i="27"/>
  <c r="K266" i="27"/>
  <c r="K267" i="27"/>
  <c r="K268" i="27"/>
  <c r="K269" i="27"/>
  <c r="K270" i="27"/>
  <c r="K271" i="27"/>
  <c r="K272" i="27"/>
  <c r="K273" i="27"/>
  <c r="K274" i="27"/>
  <c r="K275" i="27"/>
  <c r="K276" i="27"/>
  <c r="K277" i="27"/>
  <c r="K278" i="27"/>
  <c r="K279" i="27"/>
  <c r="K280" i="27"/>
  <c r="K281" i="27"/>
  <c r="K282" i="27"/>
  <c r="K283" i="27"/>
  <c r="K284" i="27"/>
  <c r="K285" i="27"/>
  <c r="K286" i="27"/>
  <c r="K287" i="27"/>
  <c r="K288" i="27"/>
  <c r="K289" i="27"/>
  <c r="K290" i="27"/>
  <c r="K291" i="27"/>
  <c r="K292" i="27"/>
  <c r="K293" i="27"/>
  <c r="K294" i="27"/>
  <c r="K295" i="27"/>
  <c r="K296" i="27"/>
  <c r="K297" i="27"/>
  <c r="K298" i="27"/>
  <c r="K299" i="27"/>
  <c r="K300" i="27"/>
  <c r="K301" i="27"/>
  <c r="K302" i="27"/>
  <c r="K303" i="27"/>
  <c r="K304" i="27"/>
  <c r="K305" i="27"/>
  <c r="K306" i="27"/>
  <c r="K307" i="27"/>
  <c r="K308" i="27"/>
  <c r="K309" i="27"/>
  <c r="K310" i="27"/>
  <c r="K311" i="27"/>
  <c r="K312" i="27"/>
  <c r="K313" i="27"/>
  <c r="K314" i="27"/>
  <c r="K315" i="27"/>
  <c r="K316" i="27"/>
  <c r="K317" i="27"/>
  <c r="K318" i="27"/>
  <c r="K319" i="27"/>
  <c r="K320" i="27"/>
  <c r="K321" i="27"/>
  <c r="K322" i="27"/>
  <c r="K323" i="27"/>
  <c r="K324" i="27"/>
  <c r="K325" i="27"/>
  <c r="K326" i="27"/>
  <c r="K327" i="27"/>
  <c r="K328" i="27"/>
  <c r="K329" i="27"/>
  <c r="K330" i="27"/>
  <c r="K331" i="27"/>
  <c r="K332" i="27"/>
  <c r="K333" i="27"/>
  <c r="K334" i="27"/>
  <c r="K335" i="27"/>
  <c r="K336" i="27"/>
  <c r="K337" i="27"/>
  <c r="K338" i="27"/>
  <c r="K339" i="27"/>
  <c r="K340" i="27"/>
  <c r="K341" i="27"/>
  <c r="K342" i="27"/>
  <c r="K343" i="27"/>
  <c r="K344" i="27"/>
  <c r="K345" i="27"/>
  <c r="K346" i="27"/>
  <c r="K347" i="27"/>
  <c r="K348" i="27"/>
  <c r="K349" i="27"/>
  <c r="K350" i="27"/>
  <c r="K351" i="27"/>
  <c r="K352" i="27"/>
  <c r="K353" i="27"/>
  <c r="K354" i="27"/>
  <c r="K355" i="27"/>
  <c r="K356" i="27"/>
  <c r="K357" i="27"/>
  <c r="K358" i="27"/>
  <c r="K359" i="27"/>
  <c r="K360" i="27"/>
  <c r="K361" i="27"/>
  <c r="K362" i="27"/>
  <c r="K363" i="27"/>
  <c r="K364" i="27"/>
  <c r="K365" i="27"/>
  <c r="K366" i="27"/>
  <c r="K367" i="27"/>
  <c r="K368" i="27"/>
  <c r="K369" i="27"/>
  <c r="K370" i="27"/>
  <c r="K371" i="27"/>
  <c r="K372" i="27"/>
  <c r="K373" i="27"/>
  <c r="K374" i="27"/>
  <c r="K375" i="27"/>
  <c r="K376" i="27"/>
  <c r="K377" i="27"/>
  <c r="K378" i="27"/>
  <c r="K379" i="27"/>
  <c r="K380" i="27"/>
  <c r="K381" i="27"/>
  <c r="K382" i="27"/>
  <c r="K383" i="27"/>
  <c r="K384" i="27"/>
  <c r="K385" i="27"/>
  <c r="K386" i="27"/>
  <c r="K387" i="27"/>
  <c r="K388" i="27"/>
  <c r="K389" i="27"/>
  <c r="K390" i="27"/>
  <c r="K391" i="27"/>
  <c r="K392" i="27"/>
  <c r="K393" i="27"/>
  <c r="K394" i="27"/>
  <c r="K395" i="27"/>
  <c r="K396" i="27"/>
  <c r="K397" i="27"/>
  <c r="K398" i="27"/>
  <c r="K399" i="27"/>
  <c r="K400" i="27"/>
  <c r="K401" i="27"/>
  <c r="K402" i="27"/>
  <c r="K403" i="27"/>
  <c r="K404" i="27"/>
  <c r="K405" i="27"/>
  <c r="K406" i="27"/>
  <c r="K407" i="27"/>
  <c r="K408" i="27"/>
  <c r="K409" i="27"/>
  <c r="K410" i="27"/>
  <c r="K411" i="27"/>
  <c r="K412" i="27"/>
  <c r="K413" i="27"/>
  <c r="K414" i="27"/>
  <c r="K415" i="27"/>
  <c r="K416" i="27"/>
  <c r="K417" i="27"/>
  <c r="K418" i="27"/>
  <c r="K419" i="27"/>
  <c r="K420" i="27"/>
  <c r="K421" i="27"/>
  <c r="K422" i="27"/>
  <c r="K423" i="27"/>
  <c r="K424" i="27"/>
  <c r="K425" i="27"/>
  <c r="K426" i="27"/>
  <c r="K427" i="27"/>
  <c r="K428" i="27"/>
  <c r="K429" i="27"/>
  <c r="K430" i="27"/>
  <c r="K431" i="27"/>
  <c r="K432" i="27"/>
  <c r="K433" i="27"/>
  <c r="K434" i="27"/>
  <c r="K435" i="27"/>
  <c r="K436" i="27"/>
  <c r="K437" i="27"/>
  <c r="K438" i="27"/>
  <c r="K439" i="27"/>
  <c r="K440" i="27"/>
  <c r="K441" i="27"/>
  <c r="K442" i="27"/>
  <c r="K443" i="27"/>
  <c r="K444" i="27"/>
  <c r="K445" i="27"/>
  <c r="K446" i="27"/>
  <c r="K447" i="27"/>
  <c r="K448" i="27"/>
  <c r="K449" i="27"/>
  <c r="K450" i="27"/>
  <c r="K451" i="27"/>
  <c r="K452" i="27"/>
  <c r="K453" i="27"/>
  <c r="K454" i="27"/>
  <c r="K455" i="27"/>
  <c r="K456" i="27"/>
  <c r="K457" i="27"/>
  <c r="K458" i="27"/>
  <c r="K459" i="27"/>
  <c r="K460" i="27"/>
  <c r="K461" i="27"/>
  <c r="K462" i="27"/>
  <c r="K463" i="27"/>
  <c r="K464" i="27"/>
  <c r="K465" i="27"/>
  <c r="K466" i="27"/>
  <c r="K467" i="27"/>
  <c r="K468" i="27"/>
  <c r="K469" i="27"/>
  <c r="K470" i="27"/>
  <c r="K471" i="27"/>
  <c r="K472" i="27"/>
  <c r="K473" i="27"/>
  <c r="K474" i="27"/>
  <c r="K475" i="27"/>
  <c r="K476" i="27"/>
  <c r="K477" i="27"/>
  <c r="K478" i="27"/>
  <c r="K479" i="27"/>
  <c r="K480" i="27"/>
  <c r="K481" i="27"/>
  <c r="K482" i="27"/>
  <c r="K483" i="27"/>
  <c r="K484" i="27"/>
  <c r="K485" i="27"/>
  <c r="K486" i="27"/>
  <c r="K487" i="27"/>
  <c r="K488" i="27"/>
  <c r="K489" i="27"/>
  <c r="K490" i="27"/>
  <c r="K491" i="27"/>
  <c r="K492" i="27"/>
  <c r="K493" i="27"/>
  <c r="K494" i="27"/>
  <c r="K495" i="27"/>
  <c r="K496" i="27"/>
  <c r="K497" i="27"/>
  <c r="K498" i="27"/>
  <c r="K499" i="27"/>
  <c r="K500" i="27"/>
  <c r="K501" i="27"/>
  <c r="K502" i="27"/>
  <c r="K503" i="27"/>
  <c r="K504" i="27"/>
  <c r="K505" i="27"/>
  <c r="K506" i="27"/>
  <c r="K507" i="27"/>
  <c r="K508" i="27"/>
  <c r="K509" i="27"/>
  <c r="K510" i="27"/>
  <c r="K511" i="27"/>
  <c r="K512" i="27"/>
  <c r="K513" i="27"/>
  <c r="K514" i="27"/>
  <c r="K515" i="27"/>
  <c r="K516" i="27"/>
  <c r="K517" i="27"/>
  <c r="K518" i="27"/>
  <c r="K519" i="27"/>
  <c r="K520" i="27"/>
  <c r="K521" i="27"/>
  <c r="K522" i="27"/>
  <c r="K523" i="27"/>
  <c r="K524" i="27"/>
  <c r="K525" i="27"/>
  <c r="K526" i="27"/>
  <c r="K527" i="27"/>
  <c r="K528" i="27"/>
  <c r="K529" i="27"/>
  <c r="K530" i="27"/>
  <c r="K531" i="27"/>
  <c r="K532" i="27"/>
  <c r="K533" i="27"/>
  <c r="K534" i="27"/>
  <c r="K535" i="27"/>
  <c r="K536" i="27"/>
  <c r="K537" i="27"/>
  <c r="K538" i="27"/>
  <c r="K539" i="27"/>
  <c r="K540" i="27"/>
  <c r="K541" i="27"/>
  <c r="K542" i="27"/>
  <c r="K543" i="27"/>
  <c r="K544" i="27"/>
  <c r="K545" i="27"/>
  <c r="K546" i="27"/>
  <c r="K547" i="27"/>
  <c r="K548" i="27"/>
  <c r="K549" i="27"/>
  <c r="K550" i="27"/>
  <c r="K551" i="27"/>
  <c r="K552" i="27"/>
  <c r="K553" i="27"/>
  <c r="K554" i="27"/>
  <c r="K555" i="27"/>
  <c r="K556" i="27"/>
  <c r="K557" i="27"/>
  <c r="K558" i="27"/>
  <c r="K559" i="27"/>
  <c r="K560" i="27"/>
  <c r="K561" i="27"/>
  <c r="K562" i="27"/>
  <c r="K563" i="27"/>
  <c r="K564" i="27"/>
  <c r="K565" i="27"/>
  <c r="K566" i="27"/>
  <c r="K567" i="27"/>
  <c r="K568" i="27"/>
  <c r="K569" i="27"/>
  <c r="K570" i="27"/>
  <c r="K571" i="27"/>
  <c r="K572" i="27"/>
  <c r="K573" i="27"/>
  <c r="K574" i="27"/>
  <c r="K575" i="27"/>
  <c r="K576" i="27"/>
  <c r="K577" i="27"/>
  <c r="K578" i="27"/>
  <c r="K579" i="27"/>
  <c r="K580" i="27"/>
  <c r="K581" i="27"/>
  <c r="K582" i="27"/>
  <c r="K583" i="27"/>
  <c r="K584" i="27"/>
  <c r="K585" i="27"/>
  <c r="K586" i="27"/>
  <c r="K587" i="27"/>
  <c r="K588" i="27"/>
  <c r="K589" i="27"/>
  <c r="K590" i="27"/>
  <c r="K591" i="27"/>
  <c r="K592" i="27"/>
  <c r="K593" i="27"/>
  <c r="K594" i="27"/>
  <c r="K595" i="27"/>
  <c r="K596" i="27"/>
  <c r="K597" i="27"/>
  <c r="K598" i="27"/>
  <c r="K599" i="27"/>
  <c r="K600" i="27"/>
  <c r="K601" i="27"/>
  <c r="K602" i="27"/>
  <c r="K603" i="27"/>
  <c r="K604" i="27"/>
  <c r="K605" i="27"/>
  <c r="K606" i="27"/>
  <c r="K607" i="27"/>
  <c r="K608" i="27"/>
  <c r="K609" i="27"/>
  <c r="K610" i="27"/>
  <c r="K611" i="27"/>
  <c r="K612" i="27"/>
  <c r="K613" i="27"/>
  <c r="K614" i="27"/>
  <c r="K615" i="27"/>
  <c r="K616" i="27"/>
  <c r="K617" i="27"/>
  <c r="K618" i="27"/>
  <c r="K619" i="27"/>
  <c r="K620" i="27"/>
  <c r="K621" i="27"/>
  <c r="K622" i="27"/>
  <c r="K623" i="27"/>
  <c r="K624" i="27"/>
  <c r="K625" i="27"/>
  <c r="K626" i="27"/>
  <c r="K627" i="27"/>
  <c r="K628" i="27"/>
  <c r="K629" i="27"/>
  <c r="K630" i="27"/>
  <c r="K631" i="27"/>
  <c r="K632" i="27"/>
  <c r="K633" i="27"/>
  <c r="K634" i="27"/>
  <c r="K635" i="27"/>
  <c r="K636" i="27"/>
  <c r="K637" i="27"/>
  <c r="K638" i="27"/>
  <c r="K639" i="27"/>
  <c r="K640" i="27"/>
  <c r="K641" i="27"/>
  <c r="K642" i="27"/>
  <c r="K643" i="27"/>
  <c r="K644" i="27"/>
  <c r="K645" i="27"/>
  <c r="K646" i="27"/>
  <c r="K647" i="27"/>
  <c r="K648" i="27"/>
  <c r="K649" i="27"/>
  <c r="K650" i="27"/>
  <c r="K651" i="27"/>
  <c r="K652" i="27"/>
  <c r="K653" i="27"/>
  <c r="K654" i="27"/>
  <c r="K655" i="27"/>
  <c r="K656" i="27"/>
  <c r="K657" i="27"/>
  <c r="K658" i="27"/>
  <c r="K659" i="27"/>
  <c r="K660" i="27"/>
  <c r="K661" i="27"/>
  <c r="K662" i="27"/>
  <c r="K663" i="27"/>
  <c r="K664" i="27"/>
  <c r="K665" i="27"/>
  <c r="K666" i="27"/>
  <c r="K667" i="27"/>
  <c r="K668" i="27"/>
  <c r="K669" i="27"/>
  <c r="H2" i="3"/>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M233" i="27"/>
  <c r="M234" i="27"/>
  <c r="M235" i="27"/>
  <c r="M236" i="27"/>
  <c r="M237" i="27"/>
  <c r="M238" i="27"/>
  <c r="M239" i="27"/>
  <c r="M240" i="27"/>
  <c r="M241" i="27"/>
  <c r="M242" i="27"/>
  <c r="M243" i="27"/>
  <c r="M244" i="27"/>
  <c r="M245" i="27"/>
  <c r="M246" i="27"/>
  <c r="M247" i="27"/>
  <c r="M248" i="27"/>
  <c r="M249" i="27"/>
  <c r="M250" i="27"/>
  <c r="M251" i="27"/>
  <c r="M252" i="27"/>
  <c r="M253" i="27"/>
  <c r="M254" i="27"/>
  <c r="M255" i="27"/>
  <c r="M256" i="27"/>
  <c r="M257" i="27"/>
  <c r="M258" i="27"/>
  <c r="M259" i="27"/>
  <c r="M260" i="27"/>
  <c r="M261" i="27"/>
  <c r="M262" i="27"/>
  <c r="M263" i="27"/>
  <c r="M264" i="27"/>
  <c r="M265" i="27"/>
  <c r="M266" i="27"/>
  <c r="M267" i="27"/>
  <c r="M268" i="27"/>
  <c r="M269" i="27"/>
  <c r="M270" i="27"/>
  <c r="M271" i="27"/>
  <c r="M272" i="27"/>
  <c r="M273" i="27"/>
  <c r="M274" i="27"/>
  <c r="M275" i="27"/>
  <c r="M276" i="27"/>
  <c r="M277" i="27"/>
  <c r="M278" i="27"/>
  <c r="M279" i="27"/>
  <c r="M280" i="27"/>
  <c r="M281" i="27"/>
  <c r="M282" i="27"/>
  <c r="M283" i="27"/>
  <c r="M284" i="27"/>
  <c r="M285" i="27"/>
  <c r="M286" i="27"/>
  <c r="M287" i="27"/>
  <c r="M288" i="27"/>
  <c r="M289" i="27"/>
  <c r="M290" i="27"/>
  <c r="M291" i="27"/>
  <c r="M292" i="27"/>
  <c r="M293" i="27"/>
  <c r="M294" i="27"/>
  <c r="M295" i="27"/>
  <c r="M296" i="27"/>
  <c r="M297" i="27"/>
  <c r="M298" i="27"/>
  <c r="M299" i="27"/>
  <c r="M300" i="27"/>
  <c r="M301" i="27"/>
  <c r="M302" i="27"/>
  <c r="M303" i="27"/>
  <c r="M304" i="27"/>
  <c r="M305" i="27"/>
  <c r="M306" i="27"/>
  <c r="M307" i="27"/>
  <c r="M308" i="27"/>
  <c r="M309" i="27"/>
  <c r="M310" i="27"/>
  <c r="M311" i="27"/>
  <c r="M312" i="27"/>
  <c r="M313" i="27"/>
  <c r="M314" i="27"/>
  <c r="M315" i="27"/>
  <c r="M316" i="27"/>
  <c r="M317" i="27"/>
  <c r="M318" i="27"/>
  <c r="M319" i="27"/>
  <c r="M320" i="27"/>
  <c r="M321" i="27"/>
  <c r="M322" i="27"/>
  <c r="M323" i="27"/>
  <c r="M324" i="27"/>
  <c r="M325" i="27"/>
  <c r="M326" i="27"/>
  <c r="M327" i="27"/>
  <c r="M328" i="27"/>
  <c r="M329" i="27"/>
  <c r="M330" i="27"/>
  <c r="M331" i="27"/>
  <c r="M332" i="27"/>
  <c r="M333" i="27"/>
  <c r="M334" i="27"/>
  <c r="M335" i="27"/>
  <c r="M336" i="27"/>
  <c r="M337" i="27"/>
  <c r="M338" i="27"/>
  <c r="M339" i="27"/>
  <c r="M340" i="27"/>
  <c r="M341" i="27"/>
  <c r="M342" i="27"/>
  <c r="M343" i="27"/>
  <c r="M344" i="27"/>
  <c r="M345" i="27"/>
  <c r="M346" i="27"/>
  <c r="M347" i="27"/>
  <c r="M348" i="27"/>
  <c r="M349" i="27"/>
  <c r="M350" i="27"/>
  <c r="M351" i="27"/>
  <c r="M352" i="27"/>
  <c r="M353" i="27"/>
  <c r="M354" i="27"/>
  <c r="M355" i="27"/>
  <c r="M356" i="27"/>
  <c r="M357" i="27"/>
  <c r="M358" i="27"/>
  <c r="M359" i="27"/>
  <c r="M360" i="27"/>
  <c r="M361" i="27"/>
  <c r="M362" i="27"/>
  <c r="M363" i="27"/>
  <c r="M364" i="27"/>
  <c r="M365" i="27"/>
  <c r="M366" i="27"/>
  <c r="M367" i="27"/>
  <c r="M368" i="27"/>
  <c r="M369" i="27"/>
  <c r="M370" i="27"/>
  <c r="M371" i="27"/>
  <c r="M372" i="27"/>
  <c r="M373" i="27"/>
  <c r="M374" i="27"/>
  <c r="M375" i="27"/>
  <c r="M376" i="27"/>
  <c r="M377" i="27"/>
  <c r="M378" i="27"/>
  <c r="M379" i="27"/>
  <c r="M380" i="27"/>
  <c r="M381" i="27"/>
  <c r="M382" i="27"/>
  <c r="M383" i="27"/>
  <c r="M384" i="27"/>
  <c r="M385" i="27"/>
  <c r="M386" i="27"/>
  <c r="M387" i="27"/>
  <c r="M388" i="27"/>
  <c r="M389" i="27"/>
  <c r="M390" i="27"/>
  <c r="M391" i="27"/>
  <c r="M392" i="27"/>
  <c r="M393" i="27"/>
  <c r="M394" i="27"/>
  <c r="M395" i="27"/>
  <c r="M396" i="27"/>
  <c r="M397" i="27"/>
  <c r="M398" i="27"/>
  <c r="M399" i="27"/>
  <c r="M400" i="27"/>
  <c r="M401" i="27"/>
  <c r="M402" i="27"/>
  <c r="M403" i="27"/>
  <c r="M404" i="27"/>
  <c r="M405" i="27"/>
  <c r="M406" i="27"/>
  <c r="M407" i="27"/>
  <c r="M408" i="27"/>
  <c r="M409" i="27"/>
  <c r="M410" i="27"/>
  <c r="M411" i="27"/>
  <c r="M412" i="27"/>
  <c r="M413" i="27"/>
  <c r="M414" i="27"/>
  <c r="M415" i="27"/>
  <c r="M416" i="27"/>
  <c r="M417" i="27"/>
  <c r="M418" i="27"/>
  <c r="M419" i="27"/>
  <c r="M420" i="27"/>
  <c r="M421" i="27"/>
  <c r="M422" i="27"/>
  <c r="M423" i="27"/>
  <c r="M424" i="27"/>
  <c r="M425" i="27"/>
  <c r="M426" i="27"/>
  <c r="M427" i="27"/>
  <c r="M428" i="27"/>
  <c r="M429" i="27"/>
  <c r="M430" i="27"/>
  <c r="M431" i="27"/>
  <c r="M432" i="27"/>
  <c r="M433" i="27"/>
  <c r="M434" i="27"/>
  <c r="M435" i="27"/>
  <c r="M436" i="27"/>
  <c r="M437" i="27"/>
  <c r="M438" i="27"/>
  <c r="M439" i="27"/>
  <c r="M440" i="27"/>
  <c r="M441" i="27"/>
  <c r="M442" i="27"/>
  <c r="M443" i="27"/>
  <c r="M444" i="27"/>
  <c r="M445" i="27"/>
  <c r="M446" i="27"/>
  <c r="M447" i="27"/>
  <c r="M448" i="27"/>
  <c r="M449" i="27"/>
  <c r="M450" i="27"/>
  <c r="M451" i="27"/>
  <c r="M452" i="27"/>
  <c r="M453" i="27"/>
  <c r="M454" i="27"/>
  <c r="M455" i="27"/>
  <c r="M456" i="27"/>
  <c r="M457" i="27"/>
  <c r="M458" i="27"/>
  <c r="M459" i="27"/>
  <c r="M460" i="27"/>
  <c r="M461" i="27"/>
  <c r="M462" i="27"/>
  <c r="M463" i="27"/>
  <c r="M464" i="27"/>
  <c r="M465" i="27"/>
  <c r="M466" i="27"/>
  <c r="M467" i="27"/>
  <c r="M468" i="27"/>
  <c r="M469" i="27"/>
  <c r="M470" i="27"/>
  <c r="M471" i="27"/>
  <c r="M472" i="27"/>
  <c r="M473" i="27"/>
  <c r="M474" i="27"/>
  <c r="M475" i="27"/>
  <c r="M476" i="27"/>
  <c r="M477" i="27"/>
  <c r="M478" i="27"/>
  <c r="M479" i="27"/>
  <c r="M480" i="27"/>
  <c r="M481" i="27"/>
  <c r="M482" i="27"/>
  <c r="M483" i="27"/>
  <c r="M484" i="27"/>
  <c r="M485" i="27"/>
  <c r="M486" i="27"/>
  <c r="M487" i="27"/>
  <c r="M488" i="27"/>
  <c r="M489" i="27"/>
  <c r="M490" i="27"/>
  <c r="M491" i="27"/>
  <c r="M492" i="27"/>
  <c r="M493" i="27"/>
  <c r="M494" i="27"/>
  <c r="M495" i="27"/>
  <c r="M496" i="27"/>
  <c r="M497" i="27"/>
  <c r="M498" i="27"/>
  <c r="M499" i="27"/>
  <c r="M500" i="27"/>
  <c r="M501" i="27"/>
  <c r="M502" i="27"/>
  <c r="M503" i="27"/>
  <c r="M504" i="27"/>
  <c r="M505" i="27"/>
  <c r="M506" i="27"/>
  <c r="M507" i="27"/>
  <c r="M508" i="27"/>
  <c r="M509" i="27"/>
  <c r="M510" i="27"/>
  <c r="M511" i="27"/>
  <c r="M512" i="27"/>
  <c r="M513" i="27"/>
  <c r="M514" i="27"/>
  <c r="M515" i="27"/>
  <c r="M516" i="27"/>
  <c r="M517" i="27"/>
  <c r="M518" i="27"/>
  <c r="M519" i="27"/>
  <c r="M520" i="27"/>
  <c r="M521" i="27"/>
  <c r="M522" i="27"/>
  <c r="M523" i="27"/>
  <c r="M524" i="27"/>
  <c r="M525" i="27"/>
  <c r="M526" i="27"/>
  <c r="M527" i="27"/>
  <c r="M528" i="27"/>
  <c r="M529" i="27"/>
  <c r="M530" i="27"/>
  <c r="M531" i="27"/>
  <c r="M532" i="27"/>
  <c r="M533" i="27"/>
  <c r="M534" i="27"/>
  <c r="M535" i="27"/>
  <c r="M536" i="27"/>
  <c r="M537" i="27"/>
  <c r="M538" i="27"/>
  <c r="M539" i="27"/>
  <c r="M540" i="27"/>
  <c r="M541" i="27"/>
  <c r="M542" i="27"/>
  <c r="M543" i="27"/>
  <c r="M544" i="27"/>
  <c r="M545" i="27"/>
  <c r="M546" i="27"/>
  <c r="M547" i="27"/>
  <c r="M548" i="27"/>
  <c r="M549" i="27"/>
  <c r="M550" i="27"/>
  <c r="M551" i="27"/>
  <c r="M552" i="27"/>
  <c r="M553" i="27"/>
  <c r="M554" i="27"/>
  <c r="M555" i="27"/>
  <c r="M556" i="27"/>
  <c r="M557" i="27"/>
  <c r="M558" i="27"/>
  <c r="M559" i="27"/>
  <c r="M560" i="27"/>
  <c r="M561" i="27"/>
  <c r="M562" i="27"/>
  <c r="M563" i="27"/>
  <c r="M564" i="27"/>
  <c r="M565" i="27"/>
  <c r="M566" i="27"/>
  <c r="M567" i="27"/>
  <c r="M568" i="27"/>
  <c r="M569" i="27"/>
  <c r="M570" i="27"/>
  <c r="M571" i="27"/>
  <c r="M572" i="27"/>
  <c r="M573" i="27"/>
  <c r="M574" i="27"/>
  <c r="M575" i="27"/>
  <c r="M576" i="27"/>
  <c r="M577" i="27"/>
  <c r="M578" i="27"/>
  <c r="M579" i="27"/>
  <c r="M580" i="27"/>
  <c r="M581" i="27"/>
  <c r="M582" i="27"/>
  <c r="M583" i="27"/>
  <c r="M584" i="27"/>
  <c r="M585" i="27"/>
  <c r="M586" i="27"/>
  <c r="M587" i="27"/>
  <c r="M588" i="27"/>
  <c r="M589" i="27"/>
  <c r="M590" i="27"/>
  <c r="M591" i="27"/>
  <c r="M592" i="27"/>
  <c r="M593" i="27"/>
  <c r="M594" i="27"/>
  <c r="M595" i="27"/>
  <c r="M596" i="27"/>
  <c r="M597" i="27"/>
  <c r="M598" i="27"/>
  <c r="M599" i="27"/>
  <c r="M600" i="27"/>
  <c r="M601" i="27"/>
  <c r="M602" i="27"/>
  <c r="M603" i="27"/>
  <c r="M604" i="27"/>
  <c r="M605" i="27"/>
  <c r="M606" i="27"/>
  <c r="M607" i="27"/>
  <c r="M608" i="27"/>
  <c r="M609" i="27"/>
  <c r="M610" i="27"/>
  <c r="M611" i="27"/>
  <c r="M612" i="27"/>
  <c r="M613" i="27"/>
  <c r="M614" i="27"/>
  <c r="M615" i="27"/>
  <c r="M616" i="27"/>
  <c r="M617" i="27"/>
  <c r="M618" i="27"/>
  <c r="M619" i="27"/>
  <c r="M620" i="27"/>
  <c r="M621" i="27"/>
  <c r="M622" i="27"/>
  <c r="M623" i="27"/>
  <c r="M624" i="27"/>
  <c r="M625" i="27"/>
  <c r="M626" i="27"/>
  <c r="M627" i="27"/>
  <c r="M628" i="27"/>
  <c r="M629" i="27"/>
  <c r="M630" i="27"/>
  <c r="M631" i="27"/>
  <c r="M632" i="27"/>
  <c r="M633" i="27"/>
  <c r="M634" i="27"/>
  <c r="M635" i="27"/>
  <c r="M636" i="27"/>
  <c r="M637" i="27"/>
  <c r="M638" i="27"/>
  <c r="M639" i="27"/>
  <c r="M640" i="27"/>
  <c r="M641" i="27"/>
  <c r="M642" i="27"/>
  <c r="M643" i="27"/>
  <c r="M644" i="27"/>
  <c r="M645" i="27"/>
  <c r="M646" i="27"/>
  <c r="M647" i="27"/>
  <c r="M648" i="27"/>
  <c r="M649" i="27"/>
  <c r="M650" i="27"/>
  <c r="M651" i="27"/>
  <c r="M652" i="27"/>
  <c r="M653" i="27"/>
  <c r="M654" i="27"/>
  <c r="M655" i="27"/>
  <c r="M656" i="27"/>
  <c r="M657" i="27"/>
  <c r="M658" i="27"/>
  <c r="M659" i="27"/>
  <c r="M660" i="27"/>
  <c r="M661" i="27"/>
  <c r="M662" i="27"/>
  <c r="M663" i="27"/>
  <c r="M664" i="27"/>
  <c r="M665" i="27"/>
  <c r="M666" i="27"/>
  <c r="M667" i="27"/>
  <c r="M668" i="27"/>
  <c r="M669" i="27"/>
  <c r="L6" i="27"/>
  <c r="L7" i="27"/>
  <c r="L8" i="27"/>
  <c r="L9" i="27"/>
  <c r="L10" i="27"/>
  <c r="L11" i="27"/>
  <c r="L12" i="27"/>
  <c r="L13" i="27"/>
  <c r="L14" i="27"/>
  <c r="L15" i="27"/>
  <c r="L16" i="27"/>
  <c r="L17" i="27"/>
  <c r="L18" i="27"/>
  <c r="L19" i="27"/>
  <c r="L20" i="27"/>
  <c r="L21" i="27"/>
  <c r="L22" i="27"/>
  <c r="L23" i="27"/>
  <c r="L24" i="27"/>
  <c r="L25" i="27"/>
  <c r="L26" i="27"/>
  <c r="L27" i="27"/>
  <c r="L28" i="27"/>
  <c r="L29" i="27"/>
  <c r="L30" i="27"/>
  <c r="L31" i="27"/>
  <c r="L32" i="27"/>
  <c r="L33" i="27"/>
  <c r="L34" i="27"/>
  <c r="L35" i="27"/>
  <c r="L36" i="27"/>
  <c r="L37" i="27"/>
  <c r="L38" i="27"/>
  <c r="L39" i="27"/>
  <c r="L40" i="27"/>
  <c r="L41" i="27"/>
  <c r="L42" i="27"/>
  <c r="L43"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92" i="27"/>
  <c r="L93" i="27"/>
  <c r="L94" i="27"/>
  <c r="L95" i="27"/>
  <c r="L96" i="27"/>
  <c r="L97" i="27"/>
  <c r="L98" i="27"/>
  <c r="L99" i="27"/>
  <c r="L100" i="27"/>
  <c r="L101" i="27"/>
  <c r="L102" i="27"/>
  <c r="L103" i="27"/>
  <c r="L104" i="27"/>
  <c r="L105" i="27"/>
  <c r="L106" i="27"/>
  <c r="L107" i="27"/>
  <c r="L108" i="27"/>
  <c r="L109" i="27"/>
  <c r="L110" i="27"/>
  <c r="L111" i="27"/>
  <c r="L112" i="27"/>
  <c r="L113" i="27"/>
  <c r="L114" i="27"/>
  <c r="L115" i="27"/>
  <c r="L116" i="27"/>
  <c r="L117" i="27"/>
  <c r="L118" i="27"/>
  <c r="L119" i="27"/>
  <c r="L120" i="27"/>
  <c r="L121" i="27"/>
  <c r="L122" i="27"/>
  <c r="L123" i="27"/>
  <c r="L124" i="27"/>
  <c r="L125" i="27"/>
  <c r="L126" i="27"/>
  <c r="L127" i="27"/>
  <c r="L128" i="27"/>
  <c r="L129" i="27"/>
  <c r="L130" i="27"/>
  <c r="L131" i="27"/>
  <c r="L132" i="27"/>
  <c r="L133" i="27"/>
  <c r="L134" i="27"/>
  <c r="L135" i="27"/>
  <c r="L136" i="27"/>
  <c r="L137" i="27"/>
  <c r="L138" i="27"/>
  <c r="L139" i="27"/>
  <c r="L140" i="27"/>
  <c r="L141" i="27"/>
  <c r="L142" i="27"/>
  <c r="L143" i="27"/>
  <c r="L144" i="27"/>
  <c r="L145" i="27"/>
  <c r="L146" i="27"/>
  <c r="L147" i="27"/>
  <c r="L148" i="27"/>
  <c r="L149" i="27"/>
  <c r="L150" i="27"/>
  <c r="L151" i="27"/>
  <c r="L152" i="27"/>
  <c r="L153" i="27"/>
  <c r="L154" i="27"/>
  <c r="L155" i="27"/>
  <c r="L156" i="27"/>
  <c r="L157" i="27"/>
  <c r="L158" i="27"/>
  <c r="L159" i="27"/>
  <c r="L160" i="27"/>
  <c r="L161" i="27"/>
  <c r="L162" i="27"/>
  <c r="L163" i="27"/>
  <c r="L164" i="27"/>
  <c r="L165" i="27"/>
  <c r="L166" i="27"/>
  <c r="L167" i="27"/>
  <c r="L168" i="27"/>
  <c r="L169" i="27"/>
  <c r="L170" i="27"/>
  <c r="L171" i="27"/>
  <c r="L172" i="27"/>
  <c r="L173" i="27"/>
  <c r="L174" i="27"/>
  <c r="L175" i="27"/>
  <c r="L176" i="27"/>
  <c r="L177" i="27"/>
  <c r="L178" i="27"/>
  <c r="L179" i="27"/>
  <c r="L180"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L217" i="27"/>
  <c r="L218" i="27"/>
  <c r="L219" i="27"/>
  <c r="L220" i="27"/>
  <c r="L221" i="27"/>
  <c r="L222" i="27"/>
  <c r="L223" i="27"/>
  <c r="L224" i="27"/>
  <c r="L225" i="27"/>
  <c r="L226" i="27"/>
  <c r="L227" i="27"/>
  <c r="L228" i="27"/>
  <c r="L229" i="27"/>
  <c r="L230" i="27"/>
  <c r="L231" i="27"/>
  <c r="L232" i="27"/>
  <c r="L233" i="27"/>
  <c r="L234" i="27"/>
  <c r="L235" i="27"/>
  <c r="L236" i="27"/>
  <c r="L237" i="27"/>
  <c r="L238" i="27"/>
  <c r="L239" i="27"/>
  <c r="L240" i="27"/>
  <c r="L241" i="27"/>
  <c r="L242" i="27"/>
  <c r="L243" i="27"/>
  <c r="L244" i="27"/>
  <c r="L245" i="27"/>
  <c r="L246" i="27"/>
  <c r="L247" i="27"/>
  <c r="L248" i="27"/>
  <c r="L249" i="27"/>
  <c r="L250" i="27"/>
  <c r="L251" i="27"/>
  <c r="L252" i="27"/>
  <c r="L253" i="27"/>
  <c r="L254" i="27"/>
  <c r="L255" i="27"/>
  <c r="L256" i="27"/>
  <c r="L257" i="27"/>
  <c r="L258" i="27"/>
  <c r="L259" i="27"/>
  <c r="L260" i="27"/>
  <c r="L261" i="27"/>
  <c r="L262" i="27"/>
  <c r="L263" i="27"/>
  <c r="L264" i="27"/>
  <c r="L265" i="27"/>
  <c r="L266" i="27"/>
  <c r="L267" i="27"/>
  <c r="L268" i="27"/>
  <c r="L269" i="27"/>
  <c r="L270" i="27"/>
  <c r="L271" i="27"/>
  <c r="L272" i="27"/>
  <c r="L273" i="27"/>
  <c r="L274" i="27"/>
  <c r="L275" i="27"/>
  <c r="L276" i="27"/>
  <c r="L277" i="27"/>
  <c r="L278" i="27"/>
  <c r="L279" i="27"/>
  <c r="L280" i="27"/>
  <c r="L281" i="27"/>
  <c r="L282" i="27"/>
  <c r="L283" i="27"/>
  <c r="L284" i="27"/>
  <c r="L285" i="27"/>
  <c r="L286" i="27"/>
  <c r="L287" i="27"/>
  <c r="L288" i="27"/>
  <c r="L289" i="27"/>
  <c r="L290" i="27"/>
  <c r="L291" i="27"/>
  <c r="L292" i="27"/>
  <c r="L293" i="27"/>
  <c r="L294" i="27"/>
  <c r="L295" i="27"/>
  <c r="L296" i="27"/>
  <c r="L297" i="27"/>
  <c r="L298" i="27"/>
  <c r="L299" i="27"/>
  <c r="L300" i="27"/>
  <c r="L301" i="27"/>
  <c r="L302" i="27"/>
  <c r="L303" i="27"/>
  <c r="L304" i="27"/>
  <c r="L305" i="27"/>
  <c r="L306" i="27"/>
  <c r="L307" i="27"/>
  <c r="L308" i="27"/>
  <c r="L309" i="27"/>
  <c r="L310" i="27"/>
  <c r="L311" i="27"/>
  <c r="L312" i="27"/>
  <c r="L313" i="27"/>
  <c r="L314" i="27"/>
  <c r="L315" i="27"/>
  <c r="L316" i="27"/>
  <c r="L317" i="27"/>
  <c r="L318" i="27"/>
  <c r="L319" i="27"/>
  <c r="L320" i="27"/>
  <c r="L321" i="27"/>
  <c r="L322" i="27"/>
  <c r="L323" i="27"/>
  <c r="L324" i="27"/>
  <c r="L325" i="27"/>
  <c r="L326" i="27"/>
  <c r="L327" i="27"/>
  <c r="L328" i="27"/>
  <c r="L329" i="27"/>
  <c r="L330" i="27"/>
  <c r="L331" i="27"/>
  <c r="L332" i="27"/>
  <c r="L333" i="27"/>
  <c r="L334" i="27"/>
  <c r="L335" i="27"/>
  <c r="L336" i="27"/>
  <c r="L337" i="27"/>
  <c r="L338" i="27"/>
  <c r="L339" i="27"/>
  <c r="L340" i="27"/>
  <c r="L341" i="27"/>
  <c r="L342" i="27"/>
  <c r="L343" i="27"/>
  <c r="L344" i="27"/>
  <c r="L345" i="27"/>
  <c r="L346" i="27"/>
  <c r="L347" i="27"/>
  <c r="L348" i="27"/>
  <c r="L349" i="27"/>
  <c r="L350" i="27"/>
  <c r="L351" i="27"/>
  <c r="L352" i="27"/>
  <c r="L353" i="27"/>
  <c r="L354" i="27"/>
  <c r="L355" i="27"/>
  <c r="L356" i="27"/>
  <c r="L357" i="27"/>
  <c r="L358" i="27"/>
  <c r="L359" i="27"/>
  <c r="L360" i="27"/>
  <c r="L361" i="27"/>
  <c r="L362" i="27"/>
  <c r="L363" i="27"/>
  <c r="L364" i="27"/>
  <c r="L365" i="27"/>
  <c r="L366" i="27"/>
  <c r="L367" i="27"/>
  <c r="L368" i="27"/>
  <c r="L369" i="27"/>
  <c r="L370" i="27"/>
  <c r="L371" i="27"/>
  <c r="L372" i="27"/>
  <c r="L373" i="27"/>
  <c r="L374" i="27"/>
  <c r="L375" i="27"/>
  <c r="L376" i="27"/>
  <c r="L377" i="27"/>
  <c r="L378" i="27"/>
  <c r="L379" i="27"/>
  <c r="L380" i="27"/>
  <c r="L381" i="27"/>
  <c r="L382" i="27"/>
  <c r="L383" i="27"/>
  <c r="L384" i="27"/>
  <c r="L385" i="27"/>
  <c r="L386" i="27"/>
  <c r="L387" i="27"/>
  <c r="L388" i="27"/>
  <c r="L389" i="27"/>
  <c r="L390" i="27"/>
  <c r="L391" i="27"/>
  <c r="L392" i="27"/>
  <c r="L393" i="27"/>
  <c r="L394" i="27"/>
  <c r="L395" i="27"/>
  <c r="L396" i="27"/>
  <c r="L397" i="27"/>
  <c r="L398" i="27"/>
  <c r="L399" i="27"/>
  <c r="L400" i="27"/>
  <c r="L401" i="27"/>
  <c r="L402" i="27"/>
  <c r="L403" i="27"/>
  <c r="L404" i="27"/>
  <c r="L405" i="27"/>
  <c r="L406" i="27"/>
  <c r="L407" i="27"/>
  <c r="L408" i="27"/>
  <c r="L409" i="27"/>
  <c r="L410" i="27"/>
  <c r="L411" i="27"/>
  <c r="L412" i="27"/>
  <c r="L413" i="27"/>
  <c r="L414" i="27"/>
  <c r="L415" i="27"/>
  <c r="L416" i="27"/>
  <c r="L417" i="27"/>
  <c r="L418" i="27"/>
  <c r="L419" i="27"/>
  <c r="L420" i="27"/>
  <c r="L421" i="27"/>
  <c r="L422" i="27"/>
  <c r="L423" i="27"/>
  <c r="L424" i="27"/>
  <c r="L425" i="27"/>
  <c r="L426" i="27"/>
  <c r="L427" i="27"/>
  <c r="L428" i="27"/>
  <c r="L429" i="27"/>
  <c r="L430" i="27"/>
  <c r="L431" i="27"/>
  <c r="L432" i="27"/>
  <c r="L433" i="27"/>
  <c r="L434" i="27"/>
  <c r="L435" i="27"/>
  <c r="L436" i="27"/>
  <c r="L437" i="27"/>
  <c r="L438" i="27"/>
  <c r="L439" i="27"/>
  <c r="L440" i="27"/>
  <c r="L441" i="27"/>
  <c r="L442" i="27"/>
  <c r="L443" i="27"/>
  <c r="L444" i="27"/>
  <c r="L445" i="27"/>
  <c r="L446" i="27"/>
  <c r="L447" i="27"/>
  <c r="L448" i="27"/>
  <c r="L449" i="27"/>
  <c r="L450" i="27"/>
  <c r="L451" i="27"/>
  <c r="L452" i="27"/>
  <c r="L453" i="27"/>
  <c r="L454" i="27"/>
  <c r="L455" i="27"/>
  <c r="L456" i="27"/>
  <c r="L457" i="27"/>
  <c r="L458" i="27"/>
  <c r="L459" i="27"/>
  <c r="L460" i="27"/>
  <c r="L461" i="27"/>
  <c r="L462" i="27"/>
  <c r="L463" i="27"/>
  <c r="L464" i="27"/>
  <c r="L465" i="27"/>
  <c r="L466" i="27"/>
  <c r="L467" i="27"/>
  <c r="L468" i="27"/>
  <c r="L469" i="27"/>
  <c r="L470" i="27"/>
  <c r="L471" i="27"/>
  <c r="L472" i="27"/>
  <c r="L473" i="27"/>
  <c r="L474" i="27"/>
  <c r="L475" i="27"/>
  <c r="L476" i="27"/>
  <c r="L477" i="27"/>
  <c r="L478" i="27"/>
  <c r="L479" i="27"/>
  <c r="L480" i="27"/>
  <c r="L481" i="27"/>
  <c r="L482" i="27"/>
  <c r="L483" i="27"/>
  <c r="L484" i="27"/>
  <c r="L485" i="27"/>
  <c r="L486" i="27"/>
  <c r="L487" i="27"/>
  <c r="L488" i="27"/>
  <c r="L489" i="27"/>
  <c r="L490" i="27"/>
  <c r="L491" i="27"/>
  <c r="L492" i="27"/>
  <c r="L493" i="27"/>
  <c r="L494" i="27"/>
  <c r="L495" i="27"/>
  <c r="L496" i="27"/>
  <c r="L497" i="27"/>
  <c r="L498" i="27"/>
  <c r="L499" i="27"/>
  <c r="L500" i="27"/>
  <c r="L501" i="27"/>
  <c r="L502" i="27"/>
  <c r="L503" i="27"/>
  <c r="L504" i="27"/>
  <c r="L505" i="27"/>
  <c r="L506" i="27"/>
  <c r="L507" i="27"/>
  <c r="L508" i="27"/>
  <c r="L509" i="27"/>
  <c r="L510" i="27"/>
  <c r="L511" i="27"/>
  <c r="L512" i="27"/>
  <c r="L513" i="27"/>
  <c r="L514" i="27"/>
  <c r="L515" i="27"/>
  <c r="L516" i="27"/>
  <c r="L517" i="27"/>
  <c r="L518" i="27"/>
  <c r="L519" i="27"/>
  <c r="L520" i="27"/>
  <c r="L521" i="27"/>
  <c r="L522" i="27"/>
  <c r="L523" i="27"/>
  <c r="L524" i="27"/>
  <c r="L525" i="27"/>
  <c r="L526" i="27"/>
  <c r="L527" i="27"/>
  <c r="L528" i="27"/>
  <c r="L529" i="27"/>
  <c r="L530" i="27"/>
  <c r="L531" i="27"/>
  <c r="L532" i="27"/>
  <c r="L533" i="27"/>
  <c r="L534" i="27"/>
  <c r="L535" i="27"/>
  <c r="L536" i="27"/>
  <c r="L537" i="27"/>
  <c r="L538" i="27"/>
  <c r="L539" i="27"/>
  <c r="L540" i="27"/>
  <c r="L541" i="27"/>
  <c r="L542" i="27"/>
  <c r="L543" i="27"/>
  <c r="L544" i="27"/>
  <c r="L545" i="27"/>
  <c r="L546" i="27"/>
  <c r="L547" i="27"/>
  <c r="L548" i="27"/>
  <c r="L549" i="27"/>
  <c r="L550" i="27"/>
  <c r="L551" i="27"/>
  <c r="L552" i="27"/>
  <c r="L553" i="27"/>
  <c r="L554" i="27"/>
  <c r="L555" i="27"/>
  <c r="L556" i="27"/>
  <c r="L557" i="27"/>
  <c r="L558" i="27"/>
  <c r="L559" i="27"/>
  <c r="L560" i="27"/>
  <c r="L561" i="27"/>
  <c r="L562" i="27"/>
  <c r="L563" i="27"/>
  <c r="L564" i="27"/>
  <c r="L565" i="27"/>
  <c r="L566" i="27"/>
  <c r="L567" i="27"/>
  <c r="L568" i="27"/>
  <c r="L569" i="27"/>
  <c r="L570" i="27"/>
  <c r="L571" i="27"/>
  <c r="L572" i="27"/>
  <c r="L573" i="27"/>
  <c r="L574" i="27"/>
  <c r="L575" i="27"/>
  <c r="L576" i="27"/>
  <c r="L577" i="27"/>
  <c r="L578" i="27"/>
  <c r="L579" i="27"/>
  <c r="L580" i="27"/>
  <c r="L581" i="27"/>
  <c r="L582" i="27"/>
  <c r="L583" i="27"/>
  <c r="L584" i="27"/>
  <c r="L585" i="27"/>
  <c r="L586" i="27"/>
  <c r="L587" i="27"/>
  <c r="L588" i="27"/>
  <c r="L589" i="27"/>
  <c r="L590" i="27"/>
  <c r="L591" i="27"/>
  <c r="L592" i="27"/>
  <c r="L593" i="27"/>
  <c r="L594" i="27"/>
  <c r="L595" i="27"/>
  <c r="L596" i="27"/>
  <c r="L597" i="27"/>
  <c r="L598" i="27"/>
  <c r="L599" i="27"/>
  <c r="L600" i="27"/>
  <c r="L601" i="27"/>
  <c r="L602" i="27"/>
  <c r="L603" i="27"/>
  <c r="L604" i="27"/>
  <c r="L605" i="27"/>
  <c r="L606" i="27"/>
  <c r="L607" i="27"/>
  <c r="L608" i="27"/>
  <c r="L609" i="27"/>
  <c r="L610" i="27"/>
  <c r="L611" i="27"/>
  <c r="L612" i="27"/>
  <c r="L613" i="27"/>
  <c r="L614" i="27"/>
  <c r="L615" i="27"/>
  <c r="L616" i="27"/>
  <c r="L617" i="27"/>
  <c r="L618" i="27"/>
  <c r="L619" i="27"/>
  <c r="L620" i="27"/>
  <c r="L621" i="27"/>
  <c r="L622" i="27"/>
  <c r="L623" i="27"/>
  <c r="L624" i="27"/>
  <c r="L625" i="27"/>
  <c r="L626" i="27"/>
  <c r="L627" i="27"/>
  <c r="L628" i="27"/>
  <c r="L629" i="27"/>
  <c r="L630" i="27"/>
  <c r="L631" i="27"/>
  <c r="L632" i="27"/>
  <c r="L633" i="27"/>
  <c r="L634" i="27"/>
  <c r="L635" i="27"/>
  <c r="L636" i="27"/>
  <c r="L637" i="27"/>
  <c r="L638" i="27"/>
  <c r="L639" i="27"/>
  <c r="L640" i="27"/>
  <c r="L641" i="27"/>
  <c r="L642" i="27"/>
  <c r="L643" i="27"/>
  <c r="L644" i="27"/>
  <c r="L645" i="27"/>
  <c r="L646" i="27"/>
  <c r="L647" i="27"/>
  <c r="L648" i="27"/>
  <c r="L649" i="27"/>
  <c r="L650" i="27"/>
  <c r="L651" i="27"/>
  <c r="L652" i="27"/>
  <c r="L653" i="27"/>
  <c r="L654" i="27"/>
  <c r="L655" i="27"/>
  <c r="L656" i="27"/>
  <c r="L657" i="27"/>
  <c r="L658" i="27"/>
  <c r="L659" i="27"/>
  <c r="L660" i="27"/>
  <c r="L661" i="27"/>
  <c r="L662" i="27"/>
  <c r="L663" i="27"/>
  <c r="L664" i="27"/>
  <c r="L665" i="27"/>
  <c r="L666" i="27"/>
  <c r="L667" i="27"/>
  <c r="L668" i="27"/>
  <c r="L669" i="27"/>
  <c r="I669" i="27"/>
  <c r="P654" i="3"/>
  <c r="I668" i="27"/>
  <c r="I667" i="27"/>
  <c r="I666" i="27"/>
  <c r="I665" i="27"/>
  <c r="P126" i="3"/>
  <c r="I664" i="27"/>
  <c r="P143" i="3"/>
  <c r="I663" i="27"/>
  <c r="A74" i="13"/>
  <c r="L74" i="13"/>
  <c r="M74" i="13"/>
  <c r="Q74" i="13"/>
  <c r="R74" i="13"/>
  <c r="I662" i="27"/>
  <c r="P193" i="3"/>
  <c r="A72" i="13"/>
  <c r="L72" i="13"/>
  <c r="M72" i="13"/>
  <c r="Q72" i="13"/>
  <c r="R72" i="13"/>
  <c r="P457" i="3"/>
  <c r="P6" i="3"/>
  <c r="P9" i="3"/>
  <c r="P10" i="3"/>
  <c r="P11" i="3"/>
  <c r="P12" i="3"/>
  <c r="P13" i="3"/>
  <c r="P16" i="3"/>
  <c r="P17" i="3"/>
  <c r="P18" i="3"/>
  <c r="P19" i="3"/>
  <c r="P20" i="3"/>
  <c r="P21" i="3"/>
  <c r="P22" i="3"/>
  <c r="P23" i="3"/>
  <c r="P704" i="3"/>
  <c r="P24" i="3"/>
  <c r="P25" i="3"/>
  <c r="P26" i="3"/>
  <c r="P708" i="3"/>
  <c r="P709" i="3"/>
  <c r="P29" i="3"/>
  <c r="P30" i="3"/>
  <c r="P31" i="3"/>
  <c r="P32" i="3"/>
  <c r="P33" i="3"/>
  <c r="P34" i="3"/>
  <c r="P35" i="3"/>
  <c r="P36" i="3"/>
  <c r="P37" i="3"/>
  <c r="P38" i="3"/>
  <c r="P39" i="3"/>
  <c r="P40" i="3"/>
  <c r="P41" i="3"/>
  <c r="P43" i="3"/>
  <c r="P45" i="3"/>
  <c r="P46" i="3"/>
  <c r="P47" i="3"/>
  <c r="P48" i="3"/>
  <c r="P209" i="3"/>
  <c r="P49" i="3"/>
  <c r="P50" i="3"/>
  <c r="P51" i="3"/>
  <c r="P697" i="3"/>
  <c r="P52" i="3"/>
  <c r="P353" i="3"/>
  <c r="P277" i="3"/>
  <c r="P710" i="3"/>
  <c r="P698" i="3"/>
  <c r="P57" i="3"/>
  <c r="P267" i="3"/>
  <c r="P369" i="3"/>
  <c r="P510" i="3"/>
  <c r="P389" i="3"/>
  <c r="P332" i="3"/>
  <c r="P705" i="3"/>
  <c r="P65" i="3"/>
  <c r="P77" i="3"/>
  <c r="P61" i="3"/>
  <c r="P62" i="3"/>
  <c r="P72" i="3"/>
  <c r="P63" i="3"/>
  <c r="P64" i="3"/>
  <c r="P93" i="3"/>
  <c r="P66" i="3"/>
  <c r="P368" i="3"/>
  <c r="P365" i="3"/>
  <c r="P316" i="3"/>
  <c r="P67" i="3"/>
  <c r="P73" i="3"/>
  <c r="P74" i="3"/>
  <c r="P75" i="3"/>
  <c r="P94" i="3"/>
  <c r="P76" i="3"/>
  <c r="P106" i="3"/>
  <c r="P105" i="3"/>
  <c r="P114" i="3"/>
  <c r="P80" i="3"/>
  <c r="P702" i="3"/>
  <c r="P86" i="3"/>
  <c r="P276" i="3"/>
  <c r="P128" i="3"/>
  <c r="P85" i="3"/>
  <c r="P92" i="3"/>
  <c r="P84" i="3"/>
  <c r="P278" i="3"/>
  <c r="P354" i="3"/>
  <c r="P79" i="3"/>
  <c r="P437" i="3"/>
  <c r="P82" i="3"/>
  <c r="P356" i="3"/>
  <c r="P88" i="3"/>
  <c r="P127" i="3"/>
  <c r="P355" i="3"/>
  <c r="P81" i="3"/>
  <c r="P358" i="3"/>
  <c r="P319" i="3"/>
  <c r="P195" i="3"/>
  <c r="P96" i="3"/>
  <c r="P279" i="3"/>
  <c r="P120" i="3"/>
  <c r="P706" i="3"/>
  <c r="P99" i="3"/>
  <c r="P100" i="3"/>
  <c r="P331" i="3"/>
  <c r="P98" i="3"/>
  <c r="P102" i="3"/>
  <c r="P315" i="3"/>
  <c r="P213" i="3"/>
  <c r="P333" i="3"/>
  <c r="P14" i="3"/>
  <c r="P577" i="3"/>
  <c r="P59" i="3"/>
  <c r="P699" i="3"/>
  <c r="P711" i="3"/>
  <c r="P696" i="3"/>
  <c r="P112" i="3"/>
  <c r="P367" i="3"/>
  <c r="P108" i="3"/>
  <c r="P109" i="3"/>
  <c r="P110" i="3"/>
  <c r="P308" i="3"/>
  <c r="P701" i="3"/>
  <c r="P103" i="3"/>
  <c r="P111" i="3"/>
  <c r="P438" i="3"/>
  <c r="P113" i="3"/>
  <c r="P54" i="3"/>
  <c r="P373" i="3"/>
  <c r="P115" i="3"/>
  <c r="P116" i="3"/>
  <c r="P117" i="3"/>
  <c r="P118" i="3"/>
  <c r="P314" i="3"/>
  <c r="P91" i="3"/>
  <c r="P119" i="3"/>
  <c r="P78" i="3"/>
  <c r="P121" i="3"/>
  <c r="P122" i="3"/>
  <c r="P27" i="3"/>
  <c r="P511" i="3"/>
  <c r="P129" i="3"/>
  <c r="P130" i="3"/>
  <c r="P131" i="3"/>
  <c r="P132" i="3"/>
  <c r="P133" i="3"/>
  <c r="P134" i="3"/>
  <c r="P135" i="3"/>
  <c r="P136" i="3"/>
  <c r="P137" i="3"/>
  <c r="P138" i="3"/>
  <c r="P139" i="3"/>
  <c r="P140" i="3"/>
  <c r="P141" i="3"/>
  <c r="P142" i="3"/>
  <c r="P144" i="3"/>
  <c r="P145" i="3"/>
  <c r="P146" i="3"/>
  <c r="P147" i="3"/>
  <c r="P148" i="3"/>
  <c r="P149" i="3"/>
  <c r="P150" i="3"/>
  <c r="P151" i="3"/>
  <c r="P152" i="3"/>
  <c r="P154" i="3"/>
  <c r="P155" i="3"/>
  <c r="P156" i="3"/>
  <c r="P157" i="3"/>
  <c r="P158" i="3"/>
  <c r="P159" i="3"/>
  <c r="P160" i="3"/>
  <c r="P161" i="3"/>
  <c r="P162" i="3"/>
  <c r="P56" i="3"/>
  <c r="P163" i="3"/>
  <c r="P164" i="3"/>
  <c r="P165" i="3"/>
  <c r="P166" i="3"/>
  <c r="P167" i="3"/>
  <c r="P95" i="3"/>
  <c r="P168" i="3"/>
  <c r="P201" i="3"/>
  <c r="P362" i="3"/>
  <c r="P169" i="3"/>
  <c r="P170" i="3"/>
  <c r="P171" i="3"/>
  <c r="P172" i="3"/>
  <c r="P173" i="3"/>
  <c r="P174" i="3"/>
  <c r="P175" i="3"/>
  <c r="P176" i="3"/>
  <c r="P177" i="3"/>
  <c r="P178" i="3"/>
  <c r="P179" i="3"/>
  <c r="P180" i="3"/>
  <c r="P181" i="3"/>
  <c r="P182" i="3"/>
  <c r="P183" i="3"/>
  <c r="P184" i="3"/>
  <c r="P185" i="3"/>
  <c r="P186" i="3"/>
  <c r="P187" i="3"/>
  <c r="P188" i="3"/>
  <c r="P189" i="3"/>
  <c r="P190" i="3"/>
  <c r="P191" i="3"/>
  <c r="P192" i="3"/>
  <c r="P194" i="3"/>
  <c r="P69" i="3"/>
  <c r="P196" i="3"/>
  <c r="P197" i="3"/>
  <c r="P198" i="3"/>
  <c r="P199" i="3"/>
  <c r="P366" i="3"/>
  <c r="P318" i="3"/>
  <c r="P202" i="3"/>
  <c r="P203" i="3"/>
  <c r="P204" i="3"/>
  <c r="P205" i="3"/>
  <c r="P206" i="3"/>
  <c r="P207" i="3"/>
  <c r="P208" i="3"/>
  <c r="P210" i="3"/>
  <c r="P211" i="3"/>
  <c r="P212" i="3"/>
  <c r="P214" i="3"/>
  <c r="P215" i="3"/>
  <c r="P216" i="3"/>
  <c r="P217" i="3"/>
  <c r="P218" i="3"/>
  <c r="P219" i="3"/>
  <c r="P220" i="3"/>
  <c r="P221" i="3"/>
  <c r="P222" i="3"/>
  <c r="P223" i="3"/>
  <c r="P224" i="3"/>
  <c r="P225" i="3"/>
  <c r="P226" i="3"/>
  <c r="P227" i="3"/>
  <c r="P228" i="3"/>
  <c r="P229" i="3"/>
  <c r="P230" i="3"/>
  <c r="P231" i="3"/>
  <c r="P233" i="3"/>
  <c r="P234" i="3"/>
  <c r="P235" i="3"/>
  <c r="P236" i="3"/>
  <c r="P237" i="3"/>
  <c r="P238" i="3"/>
  <c r="P239" i="3"/>
  <c r="P240" i="3"/>
  <c r="P241" i="3"/>
  <c r="P242" i="3"/>
  <c r="P243" i="3"/>
  <c r="P244" i="3"/>
  <c r="P245" i="3"/>
  <c r="P246" i="3"/>
  <c r="P247" i="3"/>
  <c r="P248" i="3"/>
  <c r="P249" i="3"/>
  <c r="P250" i="3"/>
  <c r="P251" i="3"/>
  <c r="P252" i="3"/>
  <c r="P253" i="3"/>
  <c r="P153" i="3"/>
  <c r="P254" i="3"/>
  <c r="P255" i="3"/>
  <c r="P256" i="3"/>
  <c r="P257" i="3"/>
  <c r="P258" i="3"/>
  <c r="P259" i="3"/>
  <c r="P260" i="3"/>
  <c r="P261" i="3"/>
  <c r="P262" i="3"/>
  <c r="P263" i="3"/>
  <c r="P264" i="3"/>
  <c r="P265" i="3"/>
  <c r="P266" i="3"/>
  <c r="P89" i="3"/>
  <c r="P90" i="3"/>
  <c r="P268" i="3"/>
  <c r="P269" i="3"/>
  <c r="P270" i="3"/>
  <c r="P271" i="3"/>
  <c r="P272" i="3"/>
  <c r="P273" i="3"/>
  <c r="P274" i="3"/>
  <c r="P275" i="3"/>
  <c r="P357" i="3"/>
  <c r="P280" i="3"/>
  <c r="P281" i="3"/>
  <c r="P282" i="3"/>
  <c r="P283" i="3"/>
  <c r="P284" i="3"/>
  <c r="P285" i="3"/>
  <c r="P286" i="3"/>
  <c r="P288" i="3"/>
  <c r="P68" i="3"/>
  <c r="P330" i="3"/>
  <c r="P83" i="3"/>
  <c r="P289" i="3"/>
  <c r="P290" i="3"/>
  <c r="P291" i="3"/>
  <c r="P292" i="3"/>
  <c r="P293" i="3"/>
  <c r="P294" i="3"/>
  <c r="P295" i="3"/>
  <c r="P296" i="3"/>
  <c r="P297" i="3"/>
  <c r="P298" i="3"/>
  <c r="P299" i="3"/>
  <c r="P300" i="3"/>
  <c r="P301" i="3"/>
  <c r="P302" i="3"/>
  <c r="P303" i="3"/>
  <c r="P304" i="3"/>
  <c r="P305" i="3"/>
  <c r="P306" i="3"/>
  <c r="P307" i="3"/>
  <c r="P317" i="3"/>
  <c r="P309" i="3"/>
  <c r="P310" i="3"/>
  <c r="P311" i="3"/>
  <c r="P312" i="3"/>
  <c r="P712" i="3"/>
  <c r="P713" i="3"/>
  <c r="P714" i="3"/>
  <c r="P313" i="3"/>
  <c r="P734" i="3"/>
  <c r="P735" i="3"/>
  <c r="P321" i="3"/>
  <c r="P323" i="3"/>
  <c r="P324" i="3"/>
  <c r="P325" i="3"/>
  <c r="P326" i="3"/>
  <c r="P327" i="3"/>
  <c r="P328" i="3"/>
  <c r="P329" i="3"/>
  <c r="P334" i="3"/>
  <c r="P335" i="3"/>
  <c r="P336" i="3"/>
  <c r="P703" i="3"/>
  <c r="P337" i="3"/>
  <c r="P338" i="3"/>
  <c r="P339" i="3"/>
  <c r="P340" i="3"/>
  <c r="P341" i="3"/>
  <c r="P342" i="3"/>
  <c r="P343" i="3"/>
  <c r="P344" i="3"/>
  <c r="P345" i="3"/>
  <c r="P346" i="3"/>
  <c r="P347" i="3"/>
  <c r="P124" i="3"/>
  <c r="P348" i="3"/>
  <c r="P349" i="3"/>
  <c r="P350" i="3"/>
  <c r="P351" i="3"/>
  <c r="P352" i="3"/>
  <c r="P736" i="3"/>
  <c r="P363" i="3"/>
  <c r="P364" i="3"/>
  <c r="P737" i="3"/>
  <c r="P738" i="3"/>
  <c r="P739" i="3"/>
  <c r="P740" i="3"/>
  <c r="P741" i="3"/>
  <c r="P370" i="3"/>
  <c r="P371" i="3"/>
  <c r="P372" i="3"/>
  <c r="P28" i="3"/>
  <c r="P374" i="3"/>
  <c r="P375" i="3"/>
  <c r="P376" i="3"/>
  <c r="P377" i="3"/>
  <c r="P378" i="3"/>
  <c r="P379" i="3"/>
  <c r="P380" i="3"/>
  <c r="P381" i="3"/>
  <c r="P382" i="3"/>
  <c r="P383" i="3"/>
  <c r="P87" i="3"/>
  <c r="P384" i="3"/>
  <c r="P385" i="3"/>
  <c r="P386" i="3"/>
  <c r="P387" i="3"/>
  <c r="P388" i="3"/>
  <c r="P745" i="3"/>
  <c r="P390" i="3"/>
  <c r="P391" i="3"/>
  <c r="P392" i="3"/>
  <c r="P393" i="3"/>
  <c r="P394" i="3"/>
  <c r="P395" i="3"/>
  <c r="P396" i="3"/>
  <c r="P397" i="3"/>
  <c r="P398" i="3"/>
  <c r="P399" i="3"/>
  <c r="P400" i="3"/>
  <c r="P715" i="3"/>
  <c r="P716" i="3"/>
  <c r="P717" i="3"/>
  <c r="P401" i="3"/>
  <c r="P125" i="3"/>
  <c r="P402" i="3"/>
  <c r="P718" i="3"/>
  <c r="P719" i="3"/>
  <c r="P429" i="3"/>
  <c r="P403" i="3"/>
  <c r="P404" i="3"/>
  <c r="P405" i="3"/>
  <c r="P406" i="3"/>
  <c r="P407" i="3"/>
  <c r="P408" i="3"/>
  <c r="P409" i="3"/>
  <c r="P410" i="3"/>
  <c r="P411" i="3"/>
  <c r="P412" i="3"/>
  <c r="P413" i="3"/>
  <c r="P414" i="3"/>
  <c r="P720" i="3"/>
  <c r="P415" i="3"/>
  <c r="P416" i="3"/>
  <c r="P434" i="3"/>
  <c r="P417" i="3"/>
  <c r="P418" i="3"/>
  <c r="P439" i="3"/>
  <c r="P419" i="3"/>
  <c r="P721" i="3"/>
  <c r="P420" i="3"/>
  <c r="P722" i="3"/>
  <c r="P421" i="3"/>
  <c r="P422" i="3"/>
  <c r="P423" i="3"/>
  <c r="P424" i="3"/>
  <c r="P425" i="3"/>
  <c r="P426" i="3"/>
  <c r="P427" i="3"/>
  <c r="P724" i="3"/>
  <c r="P430" i="3"/>
  <c r="P431" i="3"/>
  <c r="P432" i="3"/>
  <c r="P725" i="3"/>
  <c r="P433" i="3"/>
  <c r="P101" i="3"/>
  <c r="P723" i="3"/>
  <c r="P435" i="3"/>
  <c r="P436" i="3"/>
  <c r="P595" i="3"/>
  <c r="P691" i="3"/>
  <c r="P692" i="3"/>
  <c r="P694" i="3"/>
  <c r="P695" i="3"/>
  <c r="P636" i="3"/>
  <c r="P637" i="3"/>
  <c r="P638" i="3"/>
  <c r="P639" i="3"/>
  <c r="P640" i="3"/>
  <c r="P641" i="3"/>
  <c r="P642" i="3"/>
  <c r="P643" i="3"/>
  <c r="P644" i="3"/>
  <c r="P645" i="3"/>
  <c r="P646" i="3"/>
  <c r="P647" i="3"/>
  <c r="P648" i="3"/>
  <c r="P649" i="3"/>
  <c r="P650" i="3"/>
  <c r="P651" i="3"/>
  <c r="P652" i="3"/>
  <c r="P653" i="3"/>
  <c r="P610" i="3"/>
  <c r="P611" i="3"/>
  <c r="P612" i="3"/>
  <c r="P613" i="3"/>
  <c r="P614" i="3"/>
  <c r="P615" i="3"/>
  <c r="P616" i="3"/>
  <c r="P617" i="3"/>
  <c r="P618" i="3"/>
  <c r="P620" i="3"/>
  <c r="P621" i="3"/>
  <c r="P608" i="3"/>
  <c r="P761" i="3"/>
  <c r="P589" i="3"/>
  <c r="P606" i="3"/>
  <c r="P607" i="3"/>
  <c r="P605" i="3"/>
  <c r="P635" i="3"/>
  <c r="P440" i="3"/>
  <c r="P441" i="3"/>
  <c r="P442" i="3"/>
  <c r="P537" i="3"/>
  <c r="P538" i="3"/>
  <c r="P764" i="3"/>
  <c r="P564" i="3"/>
  <c r="P565" i="3"/>
  <c r="P566" i="3"/>
  <c r="P693" i="3"/>
  <c r="P580" i="3"/>
  <c r="P581" i="3"/>
  <c r="P726" i="3"/>
  <c r="P762" i="3"/>
  <c r="P763" i="3"/>
  <c r="P727" i="3"/>
  <c r="P728" i="3"/>
  <c r="P729" i="3"/>
  <c r="P730" i="3"/>
  <c r="P731" i="3"/>
  <c r="P732" i="3"/>
  <c r="P753" i="3"/>
  <c r="P754" i="3"/>
  <c r="P755" i="3"/>
  <c r="P760" i="3"/>
  <c r="P756" i="3"/>
  <c r="P757" i="3"/>
  <c r="P758" i="3"/>
  <c r="P759" i="3"/>
  <c r="P592" i="3"/>
  <c r="P593" i="3"/>
  <c r="P594" i="3"/>
  <c r="P598" i="3"/>
  <c r="P743" i="3"/>
  <c r="P744" i="3"/>
  <c r="P765" i="3"/>
  <c r="P750" i="3"/>
  <c r="P751" i="3"/>
  <c r="P752" i="3"/>
  <c r="P746" i="3"/>
  <c r="P747" i="3"/>
  <c r="P748" i="3"/>
  <c r="P749" i="3"/>
  <c r="P97" i="3"/>
  <c r="P443" i="3"/>
  <c r="P444" i="3"/>
  <c r="P445" i="3"/>
  <c r="P446" i="3"/>
  <c r="P447" i="3"/>
  <c r="P448" i="3"/>
  <c r="P449" i="3"/>
  <c r="P450" i="3"/>
  <c r="P451" i="3"/>
  <c r="P452" i="3"/>
  <c r="P453" i="3"/>
  <c r="P454" i="3"/>
  <c r="P455" i="3"/>
  <c r="P456" i="3"/>
  <c r="P458" i="3"/>
  <c r="P459" i="3"/>
  <c r="P460" i="3"/>
  <c r="P461" i="3"/>
  <c r="P462" i="3"/>
  <c r="P463" i="3"/>
  <c r="P464" i="3"/>
  <c r="P465" i="3"/>
  <c r="P466" i="3"/>
  <c r="P467" i="3"/>
  <c r="P468" i="3"/>
  <c r="P469" i="3"/>
  <c r="P470" i="3"/>
  <c r="P471" i="3"/>
  <c r="P472" i="3"/>
  <c r="P473" i="3"/>
  <c r="P474" i="3"/>
  <c r="P475" i="3"/>
  <c r="P476" i="3"/>
  <c r="P477" i="3"/>
  <c r="P478" i="3"/>
  <c r="P479" i="3"/>
  <c r="P480" i="3"/>
  <c r="P481" i="3"/>
  <c r="P482" i="3"/>
  <c r="P483" i="3"/>
  <c r="P484" i="3"/>
  <c r="P485" i="3"/>
  <c r="P486" i="3"/>
  <c r="P487" i="3"/>
  <c r="P488" i="3"/>
  <c r="P489" i="3"/>
  <c r="P490" i="3"/>
  <c r="P491" i="3"/>
  <c r="P492" i="3"/>
  <c r="P493" i="3"/>
  <c r="P494" i="3"/>
  <c r="P495" i="3"/>
  <c r="P496" i="3"/>
  <c r="P497" i="3"/>
  <c r="P498" i="3"/>
  <c r="P499" i="3"/>
  <c r="P500" i="3"/>
  <c r="P501" i="3"/>
  <c r="P502" i="3"/>
  <c r="P503" i="3"/>
  <c r="P504" i="3"/>
  <c r="P505" i="3"/>
  <c r="P506" i="3"/>
  <c r="P507" i="3"/>
  <c r="P508" i="3"/>
  <c r="P509" i="3"/>
  <c r="P361" i="3"/>
  <c r="P512" i="3"/>
  <c r="P733" i="3"/>
  <c r="P513" i="3"/>
  <c r="P514" i="3"/>
  <c r="P107" i="3"/>
  <c r="P320" i="3"/>
  <c r="P58" i="3"/>
  <c r="P104" i="3"/>
  <c r="P359" i="3"/>
  <c r="P360" i="3"/>
  <c r="P584" i="3"/>
  <c r="P700" i="3"/>
  <c r="P515" i="3"/>
  <c r="P516" i="3"/>
  <c r="P517" i="3"/>
  <c r="P518" i="3"/>
  <c r="P519" i="3"/>
  <c r="P520" i="3"/>
  <c r="P521" i="3"/>
  <c r="P522" i="3"/>
  <c r="P523" i="3"/>
  <c r="P524" i="3"/>
  <c r="P525" i="3"/>
  <c r="P526" i="3"/>
  <c r="P527" i="3"/>
  <c r="P528" i="3"/>
  <c r="P529" i="3"/>
  <c r="P530" i="3"/>
  <c r="P531" i="3"/>
  <c r="P532" i="3"/>
  <c r="P533" i="3"/>
  <c r="P534" i="3"/>
  <c r="P535" i="3"/>
  <c r="P536" i="3"/>
  <c r="P539" i="3"/>
  <c r="P540" i="3"/>
  <c r="P541" i="3"/>
  <c r="P542" i="3"/>
  <c r="P543" i="3"/>
  <c r="P544" i="3"/>
  <c r="P545" i="3"/>
  <c r="P546" i="3"/>
  <c r="P547" i="3"/>
  <c r="P548" i="3"/>
  <c r="P549" i="3"/>
  <c r="P550" i="3"/>
  <c r="P551" i="3"/>
  <c r="P552" i="3"/>
  <c r="P553" i="3"/>
  <c r="P554" i="3"/>
  <c r="P555" i="3"/>
  <c r="P556" i="3"/>
  <c r="P557" i="3"/>
  <c r="P558" i="3"/>
  <c r="P559" i="3"/>
  <c r="P560" i="3"/>
  <c r="P561" i="3"/>
  <c r="P562" i="3"/>
  <c r="P563" i="3"/>
  <c r="P567" i="3"/>
  <c r="P568" i="3"/>
  <c r="P569" i="3"/>
  <c r="P570" i="3"/>
  <c r="P571" i="3"/>
  <c r="P572" i="3"/>
  <c r="P573" i="3"/>
  <c r="P574" i="3"/>
  <c r="P575" i="3"/>
  <c r="P576" i="3"/>
  <c r="P53" i="3"/>
  <c r="P578" i="3"/>
  <c r="P579" i="3"/>
  <c r="P582" i="3"/>
  <c r="P583" i="3"/>
  <c r="P42" i="3"/>
  <c r="P585" i="3"/>
  <c r="P586" i="3"/>
  <c r="P587" i="3"/>
  <c r="P588" i="3"/>
  <c r="P590" i="3"/>
  <c r="P591" i="3"/>
  <c r="P742" i="3"/>
  <c r="P596" i="3"/>
  <c r="P597" i="3"/>
  <c r="P599" i="3"/>
  <c r="P600" i="3"/>
  <c r="P601" i="3"/>
  <c r="P602" i="3"/>
  <c r="P603" i="3"/>
  <c r="P604" i="3"/>
  <c r="P609" i="3"/>
  <c r="P619" i="3"/>
  <c r="P622" i="3"/>
  <c r="P623" i="3"/>
  <c r="P624" i="3"/>
  <c r="P625" i="3"/>
  <c r="P626" i="3"/>
  <c r="P627" i="3"/>
  <c r="P628" i="3"/>
  <c r="P629" i="3"/>
  <c r="P630" i="3"/>
  <c r="P631" i="3"/>
  <c r="P632" i="3"/>
  <c r="P633" i="3"/>
  <c r="P634" i="3"/>
  <c r="P123" i="3"/>
  <c r="R5" i="13"/>
  <c r="R6" i="13"/>
  <c r="R7" i="13"/>
  <c r="R8" i="13"/>
  <c r="R17" i="13"/>
  <c r="R18" i="13"/>
  <c r="R20" i="13"/>
  <c r="R21" i="13"/>
  <c r="R22" i="13"/>
  <c r="R23" i="13"/>
  <c r="R24" i="13"/>
  <c r="R25" i="13"/>
  <c r="R26" i="13"/>
  <c r="R27" i="13"/>
  <c r="R28" i="13"/>
  <c r="R10" i="13"/>
  <c r="R11" i="13"/>
  <c r="R12" i="13"/>
  <c r="R13" i="13"/>
  <c r="R14" i="13"/>
  <c r="R15" i="13"/>
  <c r="R29" i="13"/>
  <c r="R16" i="13"/>
  <c r="R30" i="13"/>
  <c r="R32" i="13"/>
  <c r="R33" i="13"/>
  <c r="R36" i="13"/>
  <c r="R37" i="13"/>
  <c r="R38" i="13"/>
  <c r="R39" i="13"/>
  <c r="R40" i="13"/>
  <c r="R43" i="13"/>
  <c r="R44" i="13"/>
  <c r="R45" i="13"/>
  <c r="R46" i="13"/>
  <c r="R47" i="13"/>
  <c r="R48" i="13"/>
  <c r="R49" i="13"/>
  <c r="R50" i="13"/>
  <c r="R52" i="13"/>
  <c r="R53" i="13"/>
  <c r="R54" i="13"/>
  <c r="R55" i="13"/>
  <c r="R35" i="13"/>
  <c r="R56" i="13"/>
  <c r="R57" i="13"/>
  <c r="R61" i="13"/>
  <c r="R62" i="13"/>
  <c r="R63" i="13"/>
  <c r="R64" i="13"/>
  <c r="R58" i="13"/>
  <c r="R60" i="13"/>
  <c r="R67" i="13"/>
  <c r="R66" i="13"/>
  <c r="R69" i="13"/>
  <c r="R76" i="13"/>
  <c r="R73" i="13"/>
  <c r="R75" i="13"/>
  <c r="R70" i="13"/>
  <c r="R71" i="13"/>
  <c r="R77" i="13"/>
  <c r="R78" i="13"/>
  <c r="R80" i="13"/>
  <c r="R81" i="13"/>
  <c r="R82" i="13"/>
  <c r="R85" i="13"/>
  <c r="R84" i="13"/>
  <c r="R86" i="13"/>
  <c r="R83" i="13"/>
  <c r="R87" i="13"/>
  <c r="R88" i="13"/>
  <c r="R89" i="13"/>
  <c r="R90" i="13"/>
  <c r="R91" i="13"/>
  <c r="R92" i="13"/>
  <c r="R94" i="13"/>
  <c r="R95" i="13"/>
  <c r="R96" i="13"/>
  <c r="R97" i="13"/>
  <c r="R98" i="13"/>
  <c r="R99" i="13"/>
  <c r="AM6" i="3" a="1"/>
  <c r="AM7" i="3" a="1"/>
  <c r="AM10" i="3" a="1"/>
  <c r="AM8" i="3" a="1"/>
  <c r="AM9" i="3" a="1"/>
  <c r="A3" i="28" l="1" a="1"/>
  <c r="A3" i="28" s="1"/>
  <c r="AM10" i="3"/>
  <c r="AM9" i="3"/>
  <c r="AM7" i="3"/>
  <c r="AM8" i="3"/>
  <c r="AM6" i="3"/>
  <c r="G2" i="3" a="1"/>
  <c r="G2" i="3" l="1"/>
  <c r="I661" i="27"/>
  <c r="Q99" i="13"/>
  <c r="M99" i="13"/>
  <c r="L99" i="13"/>
  <c r="A99" i="13"/>
  <c r="Q98" i="13"/>
  <c r="M98" i="13"/>
  <c r="L98" i="13"/>
  <c r="A98" i="13"/>
  <c r="Q97" i="13"/>
  <c r="M97" i="13"/>
  <c r="L97" i="13"/>
  <c r="A97" i="13"/>
  <c r="Q96" i="13"/>
  <c r="M96" i="13"/>
  <c r="L96" i="13"/>
  <c r="A96" i="13"/>
  <c r="Q95" i="13"/>
  <c r="M95" i="13"/>
  <c r="L95" i="13"/>
  <c r="A95" i="13"/>
  <c r="Q94" i="13"/>
  <c r="M94" i="13"/>
  <c r="L94" i="13"/>
  <c r="A94" i="13"/>
  <c r="Q92" i="13"/>
  <c r="M92" i="13"/>
  <c r="L92" i="13"/>
  <c r="A92" i="13"/>
  <c r="Q91" i="13"/>
  <c r="M91" i="13"/>
  <c r="L91" i="13"/>
  <c r="A91" i="13"/>
  <c r="Q90" i="13"/>
  <c r="M90" i="13"/>
  <c r="L90" i="13"/>
  <c r="A90" i="13"/>
  <c r="Q89" i="13"/>
  <c r="M89" i="13"/>
  <c r="L89" i="13"/>
  <c r="A89" i="13"/>
  <c r="Q88" i="13"/>
  <c r="M88" i="13"/>
  <c r="L88" i="13"/>
  <c r="A88" i="13"/>
  <c r="Q87" i="13"/>
  <c r="M87" i="13"/>
  <c r="L87" i="13"/>
  <c r="A87" i="13"/>
  <c r="Q83" i="13"/>
  <c r="M83" i="13"/>
  <c r="L83" i="13"/>
  <c r="A83" i="13"/>
  <c r="Q86" i="13"/>
  <c r="M86" i="13"/>
  <c r="L86" i="13"/>
  <c r="A86" i="13"/>
  <c r="Q84" i="13"/>
  <c r="M84" i="13"/>
  <c r="L84" i="13"/>
  <c r="A84" i="13"/>
  <c r="Q85" i="13"/>
  <c r="M85" i="13"/>
  <c r="L85" i="13"/>
  <c r="A85" i="13"/>
  <c r="Q82" i="13"/>
  <c r="M82" i="13"/>
  <c r="L82" i="13"/>
  <c r="A82" i="13"/>
  <c r="Q81" i="13"/>
  <c r="M81" i="13"/>
  <c r="L81" i="13"/>
  <c r="A81" i="13"/>
  <c r="Q80" i="13"/>
  <c r="M80" i="13"/>
  <c r="L80" i="13"/>
  <c r="A80" i="13"/>
  <c r="Q78" i="13"/>
  <c r="M78" i="13"/>
  <c r="L78" i="13"/>
  <c r="A78" i="13"/>
  <c r="Q77" i="13"/>
  <c r="M77" i="13"/>
  <c r="L77" i="13"/>
  <c r="A77" i="13"/>
  <c r="Q71" i="13"/>
  <c r="M71" i="13"/>
  <c r="L71" i="13"/>
  <c r="A71" i="13"/>
  <c r="Q70" i="13"/>
  <c r="M70" i="13"/>
  <c r="L70" i="13"/>
  <c r="A70" i="13"/>
  <c r="Q75" i="13"/>
  <c r="M75" i="13"/>
  <c r="L75" i="13"/>
  <c r="A75" i="13"/>
  <c r="Q73" i="13"/>
  <c r="M73" i="13"/>
  <c r="L73" i="13"/>
  <c r="A73" i="13"/>
  <c r="Q76" i="13"/>
  <c r="M76" i="13"/>
  <c r="L76" i="13"/>
  <c r="A76" i="13"/>
  <c r="Q69" i="13"/>
  <c r="M69" i="13"/>
  <c r="L69" i="13"/>
  <c r="A69" i="13"/>
  <c r="Q66" i="13"/>
  <c r="M66" i="13"/>
  <c r="L66" i="13"/>
  <c r="A66" i="13"/>
  <c r="Q67" i="13"/>
  <c r="M67" i="13"/>
  <c r="L67" i="13"/>
  <c r="A67" i="13"/>
  <c r="Q60" i="13"/>
  <c r="M60" i="13"/>
  <c r="L60" i="13"/>
  <c r="A60" i="13"/>
  <c r="Q58" i="13"/>
  <c r="M58" i="13"/>
  <c r="L58" i="13"/>
  <c r="A58" i="13"/>
  <c r="Q64" i="13"/>
  <c r="M64" i="13"/>
  <c r="L64" i="13"/>
  <c r="A64" i="13"/>
  <c r="Q63" i="13"/>
  <c r="M63" i="13"/>
  <c r="L63" i="13"/>
  <c r="A63" i="13"/>
  <c r="Q62" i="13"/>
  <c r="M62" i="13"/>
  <c r="L62" i="13"/>
  <c r="A62" i="13"/>
  <c r="Q61" i="13"/>
  <c r="M61" i="13"/>
  <c r="L61" i="13"/>
  <c r="A61" i="13"/>
  <c r="Q57" i="13"/>
  <c r="M57" i="13"/>
  <c r="L57" i="13"/>
  <c r="A57" i="13"/>
  <c r="Q56" i="13"/>
  <c r="M56" i="13"/>
  <c r="L56" i="13"/>
  <c r="A56" i="13"/>
  <c r="Q35" i="13"/>
  <c r="M35" i="13"/>
  <c r="L35" i="13"/>
  <c r="A35" i="13"/>
  <c r="Q55" i="13"/>
  <c r="M55" i="13"/>
  <c r="L55" i="13"/>
  <c r="A55" i="13"/>
  <c r="Q54" i="13"/>
  <c r="M54" i="13"/>
  <c r="L54" i="13"/>
  <c r="A54" i="13"/>
  <c r="Q53" i="13"/>
  <c r="M53" i="13"/>
  <c r="L53" i="13"/>
  <c r="A53" i="13"/>
  <c r="Q52" i="13"/>
  <c r="M52" i="13"/>
  <c r="L52" i="13"/>
  <c r="A52" i="13"/>
  <c r="Q50" i="13"/>
  <c r="M50" i="13"/>
  <c r="L50" i="13"/>
  <c r="A50" i="13"/>
  <c r="Q49" i="13"/>
  <c r="M49" i="13"/>
  <c r="L49" i="13"/>
  <c r="A49" i="13"/>
  <c r="Q48" i="13"/>
  <c r="M48" i="13"/>
  <c r="L48" i="13"/>
  <c r="A48" i="13"/>
  <c r="Q47" i="13"/>
  <c r="M47" i="13"/>
  <c r="L47" i="13"/>
  <c r="A47" i="13"/>
  <c r="Q46" i="13"/>
  <c r="M46" i="13"/>
  <c r="L46" i="13"/>
  <c r="A46" i="13"/>
  <c r="Q45" i="13"/>
  <c r="M45" i="13"/>
  <c r="L45" i="13"/>
  <c r="A45" i="13"/>
  <c r="Q44" i="13"/>
  <c r="M44" i="13"/>
  <c r="L44" i="13"/>
  <c r="A44" i="13"/>
  <c r="Q43" i="13"/>
  <c r="M43" i="13"/>
  <c r="L43" i="13"/>
  <c r="A43" i="13"/>
  <c r="Q40" i="13"/>
  <c r="M40" i="13"/>
  <c r="L40" i="13"/>
  <c r="A40" i="13"/>
  <c r="Q39" i="13"/>
  <c r="M39" i="13"/>
  <c r="L39" i="13"/>
  <c r="A39" i="13"/>
  <c r="Q38" i="13"/>
  <c r="M38" i="13"/>
  <c r="L38" i="13"/>
  <c r="A38" i="13"/>
  <c r="Q37" i="13"/>
  <c r="M37" i="13"/>
  <c r="L37" i="13"/>
  <c r="A37" i="13"/>
  <c r="Q36" i="13"/>
  <c r="M36" i="13"/>
  <c r="L36" i="13"/>
  <c r="A36" i="13"/>
  <c r="Q33" i="13"/>
  <c r="M33" i="13"/>
  <c r="L33" i="13"/>
  <c r="A33" i="13"/>
  <c r="Q32" i="13"/>
  <c r="M32" i="13"/>
  <c r="L32" i="13"/>
  <c r="A32" i="13"/>
  <c r="Q30" i="13"/>
  <c r="M30" i="13"/>
  <c r="L30" i="13"/>
  <c r="A30" i="13"/>
  <c r="Q16" i="13"/>
  <c r="M16" i="13"/>
  <c r="L16" i="13"/>
  <c r="A16" i="13"/>
  <c r="Q29" i="13"/>
  <c r="M29" i="13"/>
  <c r="L29" i="13"/>
  <c r="A29" i="13"/>
  <c r="Q15" i="13"/>
  <c r="M15" i="13"/>
  <c r="L15" i="13"/>
  <c r="A15" i="13"/>
  <c r="Q14" i="13"/>
  <c r="M14" i="13"/>
  <c r="L14" i="13"/>
  <c r="A14" i="13"/>
  <c r="Q13" i="13"/>
  <c r="M13" i="13"/>
  <c r="L13" i="13"/>
  <c r="A13" i="13"/>
  <c r="Q12" i="13"/>
  <c r="M12" i="13"/>
  <c r="L12" i="13"/>
  <c r="A12" i="13"/>
  <c r="Q11" i="13"/>
  <c r="M11" i="13"/>
  <c r="L11" i="13"/>
  <c r="A11" i="13"/>
  <c r="Q10" i="13"/>
  <c r="M10" i="13"/>
  <c r="L10" i="13"/>
  <c r="A10" i="13"/>
  <c r="Q28" i="13"/>
  <c r="M28" i="13"/>
  <c r="L28" i="13"/>
  <c r="A28" i="13"/>
  <c r="Q27" i="13"/>
  <c r="M27" i="13"/>
  <c r="L27" i="13"/>
  <c r="A27" i="13"/>
  <c r="Q26" i="13"/>
  <c r="M26" i="13"/>
  <c r="L26" i="13"/>
  <c r="A26" i="13"/>
  <c r="Q25" i="13"/>
  <c r="M25" i="13"/>
  <c r="L25" i="13"/>
  <c r="A25" i="13"/>
  <c r="Q24" i="13"/>
  <c r="M24" i="13"/>
  <c r="L24" i="13"/>
  <c r="A24" i="13"/>
  <c r="Q23" i="13"/>
  <c r="M23" i="13"/>
  <c r="L23" i="13"/>
  <c r="A23" i="13"/>
  <c r="Q22" i="13"/>
  <c r="M22" i="13"/>
  <c r="L22" i="13"/>
  <c r="A22" i="13"/>
  <c r="Q21" i="13"/>
  <c r="M21" i="13"/>
  <c r="L21" i="13"/>
  <c r="A21" i="13"/>
  <c r="Q20" i="13"/>
  <c r="M20" i="13"/>
  <c r="L20" i="13"/>
  <c r="A20" i="13"/>
  <c r="Q18" i="13"/>
  <c r="M18" i="13"/>
  <c r="L18" i="13"/>
  <c r="A18" i="13"/>
  <c r="Q17" i="13"/>
  <c r="M17" i="13"/>
  <c r="L17" i="13"/>
  <c r="A17" i="13"/>
  <c r="Q8" i="13"/>
  <c r="M8" i="13"/>
  <c r="L8" i="13"/>
  <c r="A8" i="13"/>
  <c r="Q7" i="13"/>
  <c r="M7" i="13"/>
  <c r="L7" i="13"/>
  <c r="A7" i="13"/>
  <c r="Q6" i="13"/>
  <c r="M6" i="13"/>
  <c r="L6" i="13"/>
  <c r="A6" i="13"/>
  <c r="Q5" i="13"/>
  <c r="M5" i="13"/>
  <c r="L5" i="13"/>
  <c r="A5" i="13"/>
  <c r="I660" i="27"/>
  <c r="I659" i="27"/>
  <c r="I658" i="27"/>
  <c r="I657" i="27"/>
  <c r="I656" i="27"/>
  <c r="I655" i="27"/>
  <c r="I654" i="27"/>
  <c r="I653" i="27"/>
  <c r="I652" i="27"/>
  <c r="I651" i="27"/>
  <c r="I650" i="27"/>
  <c r="I649" i="27"/>
  <c r="I648" i="27"/>
  <c r="I647" i="27"/>
  <c r="I646" i="27"/>
  <c r="I645" i="27"/>
  <c r="I644" i="27"/>
  <c r="I643" i="27"/>
  <c r="I642" i="27"/>
  <c r="I641" i="27"/>
  <c r="I640" i="27"/>
  <c r="I639" i="27"/>
  <c r="I638" i="27"/>
  <c r="I637" i="27"/>
  <c r="I636" i="27"/>
  <c r="I635" i="27"/>
  <c r="I634" i="27"/>
  <c r="I633" i="27"/>
  <c r="I632" i="27"/>
  <c r="I631" i="27"/>
  <c r="I630" i="27"/>
  <c r="I629" i="27"/>
  <c r="I628" i="27"/>
  <c r="I627" i="27"/>
  <c r="I626" i="27"/>
  <c r="I625" i="27"/>
  <c r="I624" i="27"/>
  <c r="I623" i="27"/>
  <c r="I622" i="27"/>
  <c r="I621" i="27"/>
  <c r="I620" i="27"/>
  <c r="I619" i="27"/>
  <c r="I618" i="27"/>
  <c r="I617" i="27"/>
  <c r="I616" i="27"/>
  <c r="I615" i="27"/>
  <c r="I614" i="27"/>
  <c r="I613" i="27"/>
  <c r="I612" i="27"/>
  <c r="I611" i="27"/>
  <c r="I610" i="27"/>
  <c r="I609" i="27"/>
  <c r="I608" i="27"/>
  <c r="I607" i="27"/>
  <c r="I606" i="27"/>
  <c r="I605" i="27"/>
  <c r="I604" i="27"/>
  <c r="I603" i="27"/>
  <c r="I602" i="27"/>
  <c r="I601" i="27"/>
  <c r="I600" i="27"/>
  <c r="I599" i="27"/>
  <c r="I598" i="27"/>
  <c r="I597" i="27"/>
  <c r="I596" i="27"/>
  <c r="I595" i="27"/>
  <c r="I594" i="27"/>
  <c r="I593" i="27"/>
  <c r="I592" i="27"/>
  <c r="I591" i="27"/>
  <c r="I590" i="27"/>
  <c r="I589" i="27"/>
  <c r="I588" i="27"/>
  <c r="I587" i="27"/>
  <c r="I586" i="27"/>
  <c r="I585" i="27"/>
  <c r="I584" i="27"/>
  <c r="I583" i="27"/>
  <c r="I582" i="27"/>
  <c r="I581" i="27"/>
  <c r="I580" i="27"/>
  <c r="I579" i="27"/>
  <c r="I578" i="27"/>
  <c r="I577" i="27"/>
  <c r="I576" i="27"/>
  <c r="I575" i="27"/>
  <c r="I574" i="27"/>
  <c r="I573" i="27"/>
  <c r="I572" i="27"/>
  <c r="I571" i="27"/>
  <c r="I570" i="27"/>
  <c r="I569" i="27"/>
  <c r="I568" i="27"/>
  <c r="I567" i="27"/>
  <c r="I566" i="27"/>
  <c r="I565" i="27"/>
  <c r="I564" i="27"/>
  <c r="I563" i="27"/>
  <c r="I562" i="27"/>
  <c r="I561" i="27"/>
  <c r="I560" i="27"/>
  <c r="I559" i="27"/>
  <c r="I558" i="27"/>
  <c r="I557" i="27"/>
  <c r="I556" i="27"/>
  <c r="I555" i="27"/>
  <c r="I554" i="27"/>
  <c r="I553" i="27"/>
  <c r="I552" i="27"/>
  <c r="I551" i="27"/>
  <c r="I550" i="27"/>
  <c r="I549" i="27"/>
  <c r="I548" i="27"/>
  <c r="I547" i="27"/>
  <c r="I546" i="27"/>
  <c r="I545" i="27"/>
  <c r="I544" i="27"/>
  <c r="I543" i="27"/>
  <c r="I542" i="27"/>
  <c r="I541" i="27"/>
  <c r="I540" i="27"/>
  <c r="I539" i="27"/>
  <c r="I538" i="27"/>
  <c r="I537" i="27"/>
  <c r="I536" i="27"/>
  <c r="I535" i="27"/>
  <c r="I534" i="27"/>
  <c r="I533" i="27"/>
  <c r="I532" i="27"/>
  <c r="I531" i="27"/>
  <c r="I530" i="27"/>
  <c r="I529" i="27"/>
  <c r="I528" i="27"/>
  <c r="I527" i="27"/>
  <c r="I526" i="27"/>
  <c r="I525" i="27"/>
  <c r="I524" i="27"/>
  <c r="I523" i="27"/>
  <c r="I522" i="27"/>
  <c r="I521" i="27"/>
  <c r="I520" i="27"/>
  <c r="I519" i="27"/>
  <c r="I518" i="27"/>
  <c r="I517" i="27"/>
  <c r="I516" i="27"/>
  <c r="I515" i="27"/>
  <c r="I514" i="27"/>
  <c r="I513" i="27"/>
  <c r="I512" i="27"/>
  <c r="I511" i="27"/>
  <c r="I510" i="27"/>
  <c r="I509" i="27"/>
  <c r="I508" i="27"/>
  <c r="I507" i="27"/>
  <c r="I506" i="27"/>
  <c r="I505" i="27"/>
  <c r="I504" i="27"/>
  <c r="I503" i="27"/>
  <c r="I502" i="27"/>
  <c r="I501" i="27"/>
  <c r="I500" i="27"/>
  <c r="I499" i="27"/>
  <c r="I498" i="27"/>
  <c r="I497" i="27"/>
  <c r="I496" i="27"/>
  <c r="I495" i="27"/>
  <c r="I494" i="27"/>
  <c r="I493" i="27"/>
  <c r="I492" i="27"/>
  <c r="I491" i="27"/>
  <c r="I490" i="27"/>
  <c r="I489" i="27"/>
  <c r="I488" i="27"/>
  <c r="I487" i="27"/>
  <c r="I486" i="27"/>
  <c r="I485" i="27"/>
  <c r="I484" i="27"/>
  <c r="I483" i="27"/>
  <c r="I482" i="27"/>
  <c r="I481" i="27"/>
  <c r="I480" i="27"/>
  <c r="I479" i="27"/>
  <c r="I478" i="27"/>
  <c r="I477" i="27"/>
  <c r="I476" i="27"/>
  <c r="I475" i="27"/>
  <c r="I474" i="27"/>
  <c r="I473" i="27"/>
  <c r="I472" i="27"/>
  <c r="I471" i="27"/>
  <c r="I470" i="27"/>
  <c r="I469" i="27"/>
  <c r="I468" i="27"/>
  <c r="I467" i="27"/>
  <c r="I466" i="27"/>
  <c r="I465" i="27"/>
  <c r="I464" i="27"/>
  <c r="I463" i="27"/>
  <c r="I462" i="27"/>
  <c r="I461" i="27"/>
  <c r="I460" i="27"/>
  <c r="I459" i="27"/>
  <c r="I458" i="27"/>
  <c r="I457" i="27"/>
  <c r="I456" i="27"/>
  <c r="I455" i="27"/>
  <c r="I454" i="27"/>
  <c r="I453" i="27"/>
  <c r="I452" i="27"/>
  <c r="I451" i="27"/>
  <c r="I450" i="27"/>
  <c r="I449" i="27"/>
  <c r="I448" i="27"/>
  <c r="I447" i="27"/>
  <c r="I446" i="27"/>
  <c r="I445" i="27"/>
  <c r="I444" i="27"/>
  <c r="I443" i="27"/>
  <c r="I442" i="27"/>
  <c r="I441" i="27"/>
  <c r="I440" i="27"/>
  <c r="I439" i="27"/>
  <c r="I438" i="27"/>
  <c r="I437" i="27"/>
  <c r="I436" i="27"/>
  <c r="I435" i="27"/>
  <c r="I434" i="27"/>
  <c r="I433" i="27"/>
  <c r="I432" i="27"/>
  <c r="I431" i="27"/>
  <c r="I430" i="27"/>
  <c r="I429" i="27"/>
  <c r="I428" i="27"/>
  <c r="I427" i="27"/>
  <c r="I426" i="27"/>
  <c r="I425" i="27"/>
  <c r="I424" i="27"/>
  <c r="I423" i="27"/>
  <c r="I422" i="27"/>
  <c r="I421" i="27"/>
  <c r="I420" i="27"/>
  <c r="I419" i="27"/>
  <c r="I418" i="27"/>
  <c r="I417" i="27"/>
  <c r="I416" i="27"/>
  <c r="I415" i="27"/>
  <c r="I414" i="27"/>
  <c r="I413" i="27"/>
  <c r="I412" i="27"/>
  <c r="I411" i="27"/>
  <c r="I410" i="27"/>
  <c r="I409" i="27"/>
  <c r="I408" i="27"/>
  <c r="I407" i="27"/>
  <c r="I406" i="27"/>
  <c r="I405" i="27"/>
  <c r="I404" i="27"/>
  <c r="I403" i="27"/>
  <c r="I402" i="27"/>
  <c r="I401" i="27"/>
  <c r="I400" i="27"/>
  <c r="I399" i="27"/>
  <c r="I398" i="27"/>
  <c r="I397" i="27"/>
  <c r="I396" i="27"/>
  <c r="I395" i="27"/>
  <c r="I394" i="27"/>
  <c r="I393" i="27"/>
  <c r="I392" i="27"/>
  <c r="I391" i="27"/>
  <c r="I390" i="27"/>
  <c r="I389" i="27"/>
  <c r="I388" i="27"/>
  <c r="I387" i="27"/>
  <c r="I386" i="27"/>
  <c r="I385" i="27"/>
  <c r="I384" i="27"/>
  <c r="I383" i="27"/>
  <c r="I382" i="27"/>
  <c r="I381" i="27"/>
  <c r="I380" i="27"/>
  <c r="I379" i="27"/>
  <c r="I378" i="27"/>
  <c r="I377" i="27"/>
  <c r="I376" i="27"/>
  <c r="I375" i="27"/>
  <c r="I374" i="27"/>
  <c r="I373" i="27"/>
  <c r="I372" i="27"/>
  <c r="I371" i="27"/>
  <c r="I370" i="27"/>
  <c r="I369" i="27"/>
  <c r="I368" i="27"/>
  <c r="I367" i="27"/>
  <c r="I366" i="27"/>
  <c r="I365" i="27"/>
  <c r="I364" i="27"/>
  <c r="I363" i="27"/>
  <c r="I362" i="27"/>
  <c r="I361" i="27"/>
  <c r="I360" i="27"/>
  <c r="I359" i="27"/>
  <c r="I358" i="27"/>
  <c r="I357" i="27"/>
  <c r="I356" i="27"/>
  <c r="I355" i="27"/>
  <c r="I354" i="27"/>
  <c r="I353" i="27"/>
  <c r="I352" i="27"/>
  <c r="I351" i="27"/>
  <c r="I350" i="27"/>
  <c r="I349" i="27"/>
  <c r="I348" i="27"/>
  <c r="I347" i="27"/>
  <c r="I346" i="27"/>
  <c r="I345" i="27"/>
  <c r="I344" i="27"/>
  <c r="I343" i="27"/>
  <c r="I342" i="27"/>
  <c r="I341" i="27"/>
  <c r="I340" i="27"/>
  <c r="I339" i="27"/>
  <c r="I338" i="27"/>
  <c r="I337" i="27"/>
  <c r="I336" i="27"/>
  <c r="I335" i="27"/>
  <c r="I334" i="27"/>
  <c r="I333" i="27"/>
  <c r="I332" i="27"/>
  <c r="I331" i="27"/>
  <c r="I330" i="27"/>
  <c r="I329" i="27"/>
  <c r="I328" i="27"/>
  <c r="I327" i="27"/>
  <c r="I326" i="27"/>
  <c r="I325" i="27"/>
  <c r="I324" i="27"/>
  <c r="I323" i="27"/>
  <c r="I322" i="27"/>
  <c r="I321" i="27"/>
  <c r="I320" i="27"/>
  <c r="I319" i="27"/>
  <c r="I318" i="27"/>
  <c r="I317" i="27"/>
  <c r="I316" i="27"/>
  <c r="I315" i="27"/>
  <c r="I314" i="27"/>
  <c r="I313" i="27"/>
  <c r="I312" i="27"/>
  <c r="I311" i="27"/>
  <c r="I310" i="27"/>
  <c r="I309" i="27"/>
  <c r="I308" i="27"/>
  <c r="I307" i="27"/>
  <c r="I306" i="27"/>
  <c r="I305" i="27"/>
  <c r="I304" i="27"/>
  <c r="I303" i="27"/>
  <c r="I302" i="27"/>
  <c r="I301" i="27"/>
  <c r="I300" i="27"/>
  <c r="I299" i="27"/>
  <c r="I298" i="27"/>
  <c r="I297" i="27"/>
  <c r="I296" i="27"/>
  <c r="I295" i="27"/>
  <c r="I294" i="27"/>
  <c r="I293" i="27"/>
  <c r="I292" i="27"/>
  <c r="I291" i="27"/>
  <c r="I290" i="27"/>
  <c r="I289" i="27"/>
  <c r="I288" i="27"/>
  <c r="I287" i="27"/>
  <c r="I286" i="27"/>
  <c r="I285" i="27"/>
  <c r="I284" i="27"/>
  <c r="I283" i="27"/>
  <c r="I282" i="27"/>
  <c r="I281" i="27"/>
  <c r="I280" i="27"/>
  <c r="I279" i="27"/>
  <c r="I278" i="27"/>
  <c r="I277" i="27"/>
  <c r="I276" i="27"/>
  <c r="I275" i="27"/>
  <c r="I274" i="27"/>
  <c r="I273" i="27"/>
  <c r="I272" i="27"/>
  <c r="I271" i="27"/>
  <c r="I270" i="27"/>
  <c r="I269" i="27"/>
  <c r="I268" i="27"/>
  <c r="I267" i="27"/>
  <c r="I266" i="27"/>
  <c r="I265" i="27"/>
  <c r="I264" i="27"/>
  <c r="I263" i="27"/>
  <c r="I262" i="27"/>
  <c r="I261" i="27"/>
  <c r="I260" i="27"/>
  <c r="I259" i="27"/>
  <c r="I258" i="27"/>
  <c r="I257" i="27"/>
  <c r="I256" i="27"/>
  <c r="I255" i="27"/>
  <c r="I254" i="27"/>
  <c r="I253" i="27"/>
  <c r="I252" i="27"/>
  <c r="I251" i="27"/>
  <c r="I250" i="27"/>
  <c r="I249" i="27"/>
  <c r="I248" i="27"/>
  <c r="I247" i="27"/>
  <c r="I246" i="27"/>
  <c r="I245" i="27"/>
  <c r="I244" i="27"/>
  <c r="I243" i="27"/>
  <c r="I242" i="27"/>
  <c r="I241" i="27"/>
  <c r="I240" i="27"/>
  <c r="I239" i="27"/>
  <c r="I238" i="27"/>
  <c r="I237" i="27"/>
  <c r="I236" i="27"/>
  <c r="I235" i="27"/>
  <c r="I234" i="27"/>
  <c r="I233" i="27"/>
  <c r="I232" i="27"/>
  <c r="I231" i="27"/>
  <c r="I230" i="27"/>
  <c r="I229" i="27"/>
  <c r="I228" i="27"/>
  <c r="I227" i="27"/>
  <c r="I226" i="27"/>
  <c r="I225" i="27"/>
  <c r="I224" i="27"/>
  <c r="I223" i="27"/>
  <c r="I222" i="27"/>
  <c r="I221" i="27"/>
  <c r="I220" i="27"/>
  <c r="I219" i="27"/>
  <c r="I218" i="27"/>
  <c r="I217" i="27"/>
  <c r="I216" i="27"/>
  <c r="I215" i="27"/>
  <c r="I214" i="27"/>
  <c r="I213" i="27"/>
  <c r="I212" i="27"/>
  <c r="I211" i="27"/>
  <c r="I210" i="27"/>
  <c r="I209" i="27"/>
  <c r="I208" i="27"/>
  <c r="I207" i="27"/>
  <c r="I206" i="27"/>
  <c r="I205" i="27"/>
  <c r="I204" i="27"/>
  <c r="I203" i="27"/>
  <c r="I202" i="27"/>
  <c r="I201" i="27"/>
  <c r="I200" i="27"/>
  <c r="I199" i="27"/>
  <c r="I198" i="27"/>
  <c r="I197" i="27"/>
  <c r="I196" i="27"/>
  <c r="I195" i="27"/>
  <c r="I194" i="27"/>
  <c r="I193" i="27"/>
  <c r="I192" i="27"/>
  <c r="I191" i="27"/>
  <c r="I190" i="27"/>
  <c r="I189" i="27"/>
  <c r="I188" i="27"/>
  <c r="I187" i="27"/>
  <c r="I186" i="27"/>
  <c r="I185" i="27"/>
  <c r="I184" i="27"/>
  <c r="I183" i="27"/>
  <c r="I182" i="27"/>
  <c r="I181" i="27"/>
  <c r="I180" i="27"/>
  <c r="I179" i="27"/>
  <c r="I178" i="27"/>
  <c r="I177" i="27"/>
  <c r="I176" i="27"/>
  <c r="I175" i="27"/>
  <c r="I174" i="27"/>
  <c r="I173" i="27"/>
  <c r="I172" i="27"/>
  <c r="I171" i="27"/>
  <c r="I170" i="27"/>
  <c r="I169" i="27"/>
  <c r="I168" i="27"/>
  <c r="I167" i="27"/>
  <c r="I166" i="27"/>
  <c r="I165" i="27"/>
  <c r="I164" i="27"/>
  <c r="I163" i="27"/>
  <c r="I162" i="27"/>
  <c r="I161" i="27"/>
  <c r="I160" i="27"/>
  <c r="I159" i="27"/>
  <c r="I158" i="27"/>
  <c r="I157" i="27"/>
  <c r="I156" i="27"/>
  <c r="I155" i="27"/>
  <c r="I154" i="27"/>
  <c r="I153" i="27"/>
  <c r="I152" i="27"/>
  <c r="I151" i="27"/>
  <c r="I150" i="27"/>
  <c r="I149" i="27"/>
  <c r="I148" i="27"/>
  <c r="I147" i="27"/>
  <c r="I146" i="27"/>
  <c r="I145" i="27"/>
  <c r="I144" i="27"/>
  <c r="I143" i="27"/>
  <c r="I142" i="27"/>
  <c r="I141" i="27"/>
  <c r="I140" i="27"/>
  <c r="I139" i="27"/>
  <c r="I138" i="27"/>
  <c r="I137" i="27"/>
  <c r="I136" i="27"/>
  <c r="I135" i="27"/>
  <c r="I134" i="27"/>
  <c r="I133" i="27"/>
  <c r="I132" i="27"/>
  <c r="I131" i="27"/>
  <c r="I130" i="27"/>
  <c r="I129" i="27"/>
  <c r="I128" i="27"/>
  <c r="I127" i="27"/>
  <c r="I126" i="27"/>
  <c r="I125" i="27"/>
  <c r="I124" i="27"/>
  <c r="I123" i="27"/>
  <c r="I122" i="27"/>
  <c r="I121" i="27"/>
  <c r="I120" i="27"/>
  <c r="I119" i="27"/>
  <c r="I118" i="27"/>
  <c r="I117" i="27"/>
  <c r="I116" i="27"/>
  <c r="I115" i="27"/>
  <c r="I114" i="27"/>
  <c r="I113" i="27"/>
  <c r="I112" i="27"/>
  <c r="I111" i="27"/>
  <c r="I110" i="27"/>
  <c r="I109" i="27"/>
  <c r="I108" i="27"/>
  <c r="I107" i="27"/>
  <c r="I106" i="27"/>
  <c r="I105" i="27"/>
  <c r="I104" i="27"/>
  <c r="I103" i="27"/>
  <c r="I102" i="27"/>
  <c r="I101" i="27"/>
  <c r="I100" i="27"/>
  <c r="I99" i="27"/>
  <c r="I98" i="27"/>
  <c r="I97" i="27"/>
  <c r="I96" i="27"/>
  <c r="I95" i="27"/>
  <c r="I94" i="27"/>
  <c r="I93" i="27"/>
  <c r="I92" i="27"/>
  <c r="I91" i="27"/>
  <c r="I90" i="27"/>
  <c r="I89" i="27"/>
  <c r="I88" i="27"/>
  <c r="I87" i="27"/>
  <c r="I86" i="27"/>
  <c r="I85" i="27"/>
  <c r="I84" i="27"/>
  <c r="I83" i="27"/>
  <c r="I82" i="27"/>
  <c r="I81" i="27"/>
  <c r="I80" i="27"/>
  <c r="I79" i="27"/>
  <c r="I78" i="27"/>
  <c r="I77" i="27"/>
  <c r="I76" i="27"/>
  <c r="I75" i="27"/>
  <c r="I74" i="27"/>
  <c r="I73" i="27"/>
  <c r="I72" i="27"/>
  <c r="I71" i="27"/>
  <c r="I70" i="27"/>
  <c r="I69" i="27"/>
  <c r="I68" i="27"/>
  <c r="I67" i="27"/>
  <c r="I66" i="27"/>
  <c r="I65" i="27"/>
  <c r="I64" i="27"/>
  <c r="I63" i="27"/>
  <c r="I62" i="27"/>
  <c r="I61" i="27"/>
  <c r="I60" i="27"/>
  <c r="I59" i="27"/>
  <c r="I58" i="27"/>
  <c r="I57" i="27"/>
  <c r="I56" i="27"/>
  <c r="I55" i="27"/>
  <c r="I54" i="27"/>
  <c r="I53" i="27"/>
  <c r="I52" i="27"/>
  <c r="I51" i="27"/>
  <c r="I50" i="27"/>
  <c r="I49" i="27"/>
  <c r="I48" i="27"/>
  <c r="I47" i="27"/>
  <c r="I46" i="27"/>
  <c r="I45" i="27"/>
  <c r="I44" i="27"/>
  <c r="I43" i="27"/>
  <c r="I42" i="27"/>
  <c r="I41" i="27"/>
  <c r="I40" i="27"/>
  <c r="I39" i="27"/>
  <c r="I38" i="27"/>
  <c r="I37" i="27"/>
  <c r="I36" i="27"/>
  <c r="I35" i="27"/>
  <c r="I34" i="27"/>
  <c r="I33" i="27"/>
  <c r="I32" i="27"/>
  <c r="I31" i="27"/>
  <c r="I30" i="27"/>
  <c r="I29" i="27"/>
  <c r="I28" i="27"/>
  <c r="I27" i="27"/>
  <c r="I26" i="27"/>
  <c r="I25" i="27"/>
  <c r="I24" i="27"/>
  <c r="I23" i="27"/>
  <c r="I22" i="27"/>
  <c r="I21" i="27"/>
  <c r="I20" i="27"/>
  <c r="I19" i="27"/>
  <c r="I18" i="27"/>
  <c r="I17" i="27"/>
  <c r="I16" i="27"/>
  <c r="I15" i="27"/>
  <c r="I14" i="27"/>
  <c r="I13" i="27"/>
  <c r="I12" i="27"/>
  <c r="I11" i="27"/>
  <c r="I10" i="27"/>
  <c r="I9" i="27"/>
  <c r="I8" i="27"/>
  <c r="I7" i="27"/>
  <c r="I6" i="27"/>
  <c r="G3" i="3" a="1"/>
  <c r="G3" i="3" s="1"/>
  <c r="F3" i="3" a="1"/>
  <c r="F3" i="3" s="1"/>
  <c r="D3" i="3"/>
  <c r="M3" i="31" s="1"/>
  <c r="B3" i="3"/>
  <c r="E2" i="3" s="1"/>
  <c r="AI2" i="3"/>
  <c r="AE2" i="3"/>
  <c r="U2" i="3"/>
  <c r="B14" i="1"/>
  <c r="B13" i="1" a="1"/>
  <c r="B13" i="1" s="1"/>
  <c r="B12" i="1"/>
  <c r="B12" i="1" a="1"/>
  <c r="B11" i="1"/>
  <c r="B10" i="1" a="1"/>
  <c r="B10" i="1" s="1"/>
  <c r="B9" i="1"/>
  <c r="H4" i="1"/>
  <c r="G4" i="1"/>
  <c r="F4" i="1" a="1"/>
  <c r="F4" i="1" s="1"/>
  <c r="E4" i="1" a="1"/>
  <c r="E4" i="1" s="1"/>
  <c r="F80" i="2"/>
  <c r="F79" i="2"/>
  <c r="F78" i="2"/>
  <c r="G74" i="2"/>
  <c r="F74" i="2"/>
  <c r="G73" i="2"/>
  <c r="G72" i="2"/>
  <c r="G68" i="2"/>
  <c r="F68" i="2"/>
  <c r="G67" i="2"/>
  <c r="G66" i="2"/>
  <c r="G62" i="2"/>
  <c r="G61" i="2"/>
  <c r="G60" i="2"/>
  <c r="R50" i="2"/>
  <c r="R50" i="2" a="1"/>
  <c r="Q50" i="2"/>
  <c r="Q50" i="2" a="1"/>
  <c r="P50" i="2"/>
  <c r="P50" i="2" a="1"/>
  <c r="I50" i="2"/>
  <c r="I50" i="2" a="1"/>
  <c r="B50" i="2"/>
  <c r="R49" i="2"/>
  <c r="R49" i="2" a="1"/>
  <c r="Q49" i="2"/>
  <c r="Q49" i="2" a="1"/>
  <c r="P49" i="2"/>
  <c r="P49" i="2" a="1"/>
  <c r="I49" i="2"/>
  <c r="I49" i="2" a="1"/>
  <c r="B49" i="2"/>
  <c r="R48" i="2"/>
  <c r="R48" i="2" a="1"/>
  <c r="Q48" i="2"/>
  <c r="Q48" i="2" a="1"/>
  <c r="P48" i="2"/>
  <c r="P48" i="2" a="1"/>
  <c r="I48" i="2"/>
  <c r="I48" i="2" a="1"/>
  <c r="B48" i="2"/>
  <c r="R47" i="2"/>
  <c r="R47" i="2" a="1"/>
  <c r="Q47" i="2"/>
  <c r="Q47" i="2" a="1"/>
  <c r="P47" i="2"/>
  <c r="P47" i="2" a="1"/>
  <c r="I47" i="2"/>
  <c r="I47" i="2" a="1"/>
  <c r="B47" i="2"/>
  <c r="R46" i="2"/>
  <c r="R46" i="2" a="1"/>
  <c r="Q46" i="2"/>
  <c r="Q46" i="2" a="1"/>
  <c r="P46" i="2"/>
  <c r="P46" i="2" a="1"/>
  <c r="I46" i="2"/>
  <c r="I46" i="2" a="1"/>
  <c r="B46" i="2"/>
  <c r="R45" i="2"/>
  <c r="R45" i="2" a="1"/>
  <c r="Q45" i="2"/>
  <c r="Q45" i="2" a="1"/>
  <c r="P45" i="2"/>
  <c r="P45" i="2" a="1"/>
  <c r="I45" i="2"/>
  <c r="I45" i="2" a="1"/>
  <c r="B45" i="2"/>
  <c r="R44" i="2"/>
  <c r="R44" i="2" a="1"/>
  <c r="Q44" i="2"/>
  <c r="Q44" i="2" a="1"/>
  <c r="P44" i="2"/>
  <c r="P44" i="2" a="1"/>
  <c r="I44" i="2"/>
  <c r="I44" i="2" a="1"/>
  <c r="B44" i="2"/>
  <c r="R43" i="2"/>
  <c r="R43" i="2" a="1"/>
  <c r="Q43" i="2"/>
  <c r="Q43" i="2" a="1"/>
  <c r="P43" i="2"/>
  <c r="P43" i="2" a="1"/>
  <c r="I43" i="2"/>
  <c r="I43" i="2" a="1"/>
  <c r="B43" i="2"/>
  <c r="R42" i="2"/>
  <c r="R42" i="2" a="1"/>
  <c r="Q42" i="2"/>
  <c r="Q42" i="2" a="1"/>
  <c r="P42" i="2"/>
  <c r="P42" i="2" a="1"/>
  <c r="I42" i="2"/>
  <c r="I42" i="2" a="1"/>
  <c r="B42" i="2"/>
  <c r="R41" i="2"/>
  <c r="R41" i="2" a="1"/>
  <c r="Q41" i="2"/>
  <c r="Q41" i="2" a="1"/>
  <c r="P41" i="2"/>
  <c r="P41" i="2" a="1"/>
  <c r="I41" i="2"/>
  <c r="I41" i="2" a="1"/>
  <c r="B41" i="2"/>
  <c r="R40" i="2"/>
  <c r="R40" i="2" a="1"/>
  <c r="Q40" i="2"/>
  <c r="Q40" i="2" a="1"/>
  <c r="P40" i="2"/>
  <c r="P40" i="2" a="1"/>
  <c r="I40" i="2"/>
  <c r="I40" i="2" a="1"/>
  <c r="B40" i="2"/>
  <c r="R39" i="2"/>
  <c r="R39" i="2" a="1"/>
  <c r="Q39" i="2"/>
  <c r="Q39" i="2" a="1"/>
  <c r="P39" i="2"/>
  <c r="P39" i="2" a="1"/>
  <c r="I39" i="2"/>
  <c r="I39" i="2" a="1"/>
  <c r="B39" i="2"/>
  <c r="R38" i="2"/>
  <c r="R38" i="2" a="1"/>
  <c r="Q38" i="2"/>
  <c r="Q38" i="2" a="1"/>
  <c r="P38" i="2"/>
  <c r="P38" i="2" a="1"/>
  <c r="I38" i="2"/>
  <c r="I38" i="2" a="1"/>
  <c r="B38" i="2"/>
  <c r="R37" i="2"/>
  <c r="R37" i="2" a="1"/>
  <c r="Q37" i="2"/>
  <c r="Q37" i="2" a="1"/>
  <c r="P37" i="2"/>
  <c r="P37" i="2" a="1"/>
  <c r="I37" i="2"/>
  <c r="I37" i="2" a="1"/>
  <c r="B37" i="2"/>
  <c r="R36" i="2"/>
  <c r="R36" i="2" a="1"/>
  <c r="Q36" i="2"/>
  <c r="Q36" i="2" a="1"/>
  <c r="P36" i="2"/>
  <c r="P36" i="2" a="1"/>
  <c r="I36" i="2"/>
  <c r="I36" i="2" a="1"/>
  <c r="B36" i="2"/>
  <c r="R35" i="2"/>
  <c r="R35" i="2" a="1"/>
  <c r="Q35" i="2"/>
  <c r="Q35" i="2" a="1"/>
  <c r="P35" i="2"/>
  <c r="P35" i="2" a="1"/>
  <c r="I35" i="2"/>
  <c r="I35" i="2" a="1"/>
  <c r="B35" i="2"/>
  <c r="R34" i="2"/>
  <c r="R34" i="2" a="1"/>
  <c r="Q34" i="2"/>
  <c r="Q34" i="2" a="1"/>
  <c r="P34" i="2"/>
  <c r="P34" i="2" a="1"/>
  <c r="I34" i="2"/>
  <c r="I34" i="2" a="1"/>
  <c r="B34" i="2"/>
  <c r="R33" i="2"/>
  <c r="R33" i="2" a="1"/>
  <c r="Q33" i="2"/>
  <c r="Q33" i="2" a="1"/>
  <c r="P33" i="2"/>
  <c r="P33" i="2" a="1"/>
  <c r="I33" i="2"/>
  <c r="I33" i="2" a="1"/>
  <c r="B33" i="2"/>
  <c r="R32" i="2"/>
  <c r="R32" i="2" a="1"/>
  <c r="Q32" i="2"/>
  <c r="Q32" i="2" a="1"/>
  <c r="P32" i="2"/>
  <c r="P32" i="2" a="1"/>
  <c r="I32" i="2"/>
  <c r="I32" i="2" a="1"/>
  <c r="B32" i="2"/>
  <c r="R31" i="2"/>
  <c r="R31" i="2" a="1"/>
  <c r="Q31" i="2"/>
  <c r="Q31" i="2" a="1"/>
  <c r="P31" i="2"/>
  <c r="P31" i="2" a="1"/>
  <c r="I31" i="2"/>
  <c r="I31" i="2" a="1"/>
  <c r="B31" i="2"/>
  <c r="R30" i="2"/>
  <c r="R30" i="2" a="1"/>
  <c r="Q30" i="2"/>
  <c r="Q30" i="2" a="1"/>
  <c r="P30" i="2"/>
  <c r="P30" i="2" a="1"/>
  <c r="I30" i="2"/>
  <c r="I30" i="2" a="1"/>
  <c r="B30" i="2"/>
  <c r="R29" i="2"/>
  <c r="R29" i="2" a="1"/>
  <c r="Q29" i="2"/>
  <c r="Q29" i="2" a="1"/>
  <c r="P29" i="2"/>
  <c r="P29" i="2" a="1"/>
  <c r="I29" i="2"/>
  <c r="I29" i="2" a="1"/>
  <c r="B29" i="2"/>
  <c r="R28" i="2"/>
  <c r="R28" i="2" a="1"/>
  <c r="Q28" i="2"/>
  <c r="Q28" i="2" a="1"/>
  <c r="P28" i="2"/>
  <c r="P28" i="2" a="1"/>
  <c r="I28" i="2"/>
  <c r="I28" i="2" a="1"/>
  <c r="B28" i="2"/>
  <c r="R27" i="2"/>
  <c r="R27" i="2" a="1"/>
  <c r="Q27" i="2"/>
  <c r="Q27" i="2" a="1"/>
  <c r="P27" i="2"/>
  <c r="P27" i="2" a="1"/>
  <c r="I27" i="2"/>
  <c r="I27" i="2" a="1"/>
  <c r="B27" i="2"/>
  <c r="R26" i="2"/>
  <c r="R26" i="2" a="1"/>
  <c r="Q26" i="2"/>
  <c r="Q26" i="2" a="1"/>
  <c r="P26" i="2"/>
  <c r="P26" i="2" a="1"/>
  <c r="I26" i="2"/>
  <c r="I26" i="2" a="1"/>
  <c r="B26" i="2"/>
  <c r="R25" i="2"/>
  <c r="R25" i="2" a="1"/>
  <c r="Q25" i="2"/>
  <c r="Q25" i="2" a="1"/>
  <c r="P25" i="2"/>
  <c r="P25" i="2" a="1"/>
  <c r="I25" i="2"/>
  <c r="I25" i="2" a="1"/>
  <c r="B25" i="2"/>
  <c r="R24" i="2"/>
  <c r="R24" i="2" a="1"/>
  <c r="Q24" i="2"/>
  <c r="Q24" i="2" a="1"/>
  <c r="P24" i="2"/>
  <c r="P24" i="2" a="1"/>
  <c r="I24" i="2"/>
  <c r="I24" i="2" a="1"/>
  <c r="B24" i="2"/>
  <c r="R23" i="2"/>
  <c r="R23" i="2" a="1"/>
  <c r="Q23" i="2"/>
  <c r="Q23" i="2" a="1"/>
  <c r="P23" i="2"/>
  <c r="P23" i="2" a="1"/>
  <c r="I23" i="2"/>
  <c r="I23" i="2" a="1"/>
  <c r="B23" i="2"/>
  <c r="R22" i="2"/>
  <c r="R22" i="2" a="1"/>
  <c r="Q22" i="2"/>
  <c r="Q22" i="2" a="1"/>
  <c r="P22" i="2"/>
  <c r="P22" i="2" a="1"/>
  <c r="I22" i="2"/>
  <c r="I22" i="2" a="1"/>
  <c r="B22" i="2"/>
  <c r="R21" i="2"/>
  <c r="R21" i="2" a="1"/>
  <c r="Q21" i="2"/>
  <c r="Q21" i="2" a="1"/>
  <c r="P21" i="2"/>
  <c r="P21" i="2" a="1"/>
  <c r="I21" i="2"/>
  <c r="I21" i="2" a="1"/>
  <c r="B21" i="2"/>
  <c r="R20" i="2"/>
  <c r="R20" i="2" a="1"/>
  <c r="Q20" i="2"/>
  <c r="Q20" i="2" a="1"/>
  <c r="P20" i="2"/>
  <c r="P20" i="2" a="1"/>
  <c r="I20" i="2"/>
  <c r="I20" i="2" a="1"/>
  <c r="B20" i="2"/>
  <c r="R19" i="2"/>
  <c r="R19" i="2" a="1"/>
  <c r="Q19" i="2"/>
  <c r="Q19" i="2" a="1"/>
  <c r="P19" i="2"/>
  <c r="P19" i="2" a="1"/>
  <c r="I19" i="2"/>
  <c r="I19" i="2" a="1"/>
  <c r="B19" i="2"/>
  <c r="R18" i="2"/>
  <c r="R18" i="2" a="1"/>
  <c r="Q18" i="2"/>
  <c r="Q18" i="2" a="1"/>
  <c r="P18" i="2"/>
  <c r="P18" i="2" a="1"/>
  <c r="I18" i="2"/>
  <c r="I18" i="2" a="1"/>
  <c r="B18" i="2"/>
  <c r="R17" i="2"/>
  <c r="R17" i="2" a="1"/>
  <c r="Q17" i="2"/>
  <c r="Q17" i="2" a="1"/>
  <c r="P17" i="2"/>
  <c r="P17" i="2" a="1"/>
  <c r="I17" i="2"/>
  <c r="I17" i="2" a="1"/>
  <c r="B17" i="2"/>
  <c r="R16" i="2"/>
  <c r="R16" i="2" a="1"/>
  <c r="Q16" i="2"/>
  <c r="Q16" i="2" a="1"/>
  <c r="P16" i="2"/>
  <c r="P16" i="2" a="1"/>
  <c r="I16" i="2"/>
  <c r="I16" i="2" a="1"/>
  <c r="B16" i="2"/>
  <c r="R15" i="2"/>
  <c r="R15" i="2" a="1"/>
  <c r="Q15" i="2"/>
  <c r="Q15" i="2" a="1"/>
  <c r="P15" i="2"/>
  <c r="P15" i="2" a="1"/>
  <c r="I15" i="2"/>
  <c r="I15" i="2" a="1"/>
  <c r="B15" i="2"/>
  <c r="R14" i="2"/>
  <c r="R14" i="2" a="1"/>
  <c r="Q14" i="2"/>
  <c r="Q14" i="2" a="1"/>
  <c r="P14" i="2"/>
  <c r="P14" i="2" a="1"/>
  <c r="I14" i="2"/>
  <c r="I14" i="2" a="1"/>
  <c r="B14" i="2"/>
  <c r="R13" i="2"/>
  <c r="R13" i="2" a="1"/>
  <c r="Q13" i="2"/>
  <c r="Q13" i="2" a="1"/>
  <c r="P13" i="2"/>
  <c r="P13" i="2" a="1"/>
  <c r="I13" i="2"/>
  <c r="I13" i="2" a="1"/>
  <c r="B13" i="2"/>
  <c r="R12" i="2"/>
  <c r="R12" i="2" a="1"/>
  <c r="Q12" i="2"/>
  <c r="Q12" i="2" a="1"/>
  <c r="P12" i="2"/>
  <c r="P12" i="2" a="1"/>
  <c r="I12" i="2"/>
  <c r="I12" i="2" a="1"/>
  <c r="B12" i="2"/>
  <c r="R11" i="2"/>
  <c r="R11" i="2" a="1"/>
  <c r="Q11" i="2"/>
  <c r="Q11" i="2" a="1"/>
  <c r="P11" i="2"/>
  <c r="P11" i="2" a="1"/>
  <c r="I11" i="2"/>
  <c r="I11" i="2" a="1"/>
  <c r="B11" i="2"/>
  <c r="R10" i="2"/>
  <c r="R10" i="2" a="1"/>
  <c r="Q10" i="2"/>
  <c r="Q10" i="2" a="1"/>
  <c r="P10" i="2"/>
  <c r="P10" i="2" a="1"/>
  <c r="I10" i="2"/>
  <c r="I10" i="2" a="1"/>
  <c r="B10" i="2"/>
  <c r="R9" i="2"/>
  <c r="R9" i="2" a="1"/>
  <c r="Q9" i="2"/>
  <c r="Q9" i="2" a="1"/>
  <c r="P9" i="2"/>
  <c r="P9" i="2" a="1"/>
  <c r="I9" i="2"/>
  <c r="I9" i="2" a="1"/>
  <c r="B9" i="2"/>
  <c r="R8" i="2"/>
  <c r="R8" i="2" a="1"/>
  <c r="Q8" i="2"/>
  <c r="Q8" i="2" a="1"/>
  <c r="P8" i="2"/>
  <c r="P8" i="2" a="1"/>
  <c r="I8" i="2"/>
  <c r="I8" i="2" a="1"/>
  <c r="B8" i="2"/>
  <c r="R7" i="2"/>
  <c r="R7" i="2" a="1"/>
  <c r="Q7" i="2"/>
  <c r="Q7" i="2" a="1"/>
  <c r="P7" i="2"/>
  <c r="P7" i="2" a="1"/>
  <c r="I7" i="2"/>
  <c r="I7" i="2" a="1"/>
  <c r="B7" i="2"/>
  <c r="R6" i="2"/>
  <c r="R6" i="2" a="1"/>
  <c r="Q6" i="2"/>
  <c r="Q6" i="2" a="1"/>
  <c r="P6" i="2"/>
  <c r="P6" i="2" a="1"/>
  <c r="I6" i="2"/>
  <c r="I6" i="2" a="1"/>
  <c r="B6" i="2"/>
  <c r="R5" i="2"/>
  <c r="R5" i="2" a="1"/>
  <c r="Q5" i="2"/>
  <c r="Q5" i="2" a="1"/>
  <c r="P5" i="2"/>
  <c r="P5" i="2" a="1"/>
  <c r="I5" i="2"/>
  <c r="I5" i="2" a="1"/>
  <c r="B5" i="2"/>
  <c r="R4" i="2"/>
  <c r="R4" i="2" a="1"/>
  <c r="Q4" i="2"/>
  <c r="Q4" i="2" a="1"/>
  <c r="P4" i="2"/>
  <c r="P4" i="2" a="1"/>
  <c r="I4" i="2"/>
  <c r="I4" i="2" a="1"/>
  <c r="B4" i="2"/>
  <c r="R3" i="2"/>
  <c r="R3" i="2" a="1"/>
  <c r="Q3" i="2"/>
  <c r="Q3" i="2" a="1"/>
  <c r="P3" i="2"/>
  <c r="P3" i="2" a="1"/>
  <c r="I3" i="2"/>
  <c r="I3" i="2" a="1"/>
  <c r="B3" i="2"/>
  <c r="O2" i="3" a="1"/>
  <c r="F2" i="3" a="1"/>
  <c r="Q2" i="3" a="1"/>
  <c r="P2" i="3" a="1"/>
  <c r="K2" i="3" a="1"/>
  <c r="J772" i="27" l="1"/>
  <c r="J771" i="27"/>
  <c r="A772" i="27"/>
  <c r="E772" i="27"/>
  <c r="D772" i="27"/>
  <c r="B772" i="27"/>
  <c r="F772" i="27"/>
  <c r="C772" i="27"/>
  <c r="A771" i="27"/>
  <c r="F771" i="27"/>
  <c r="C771" i="27"/>
  <c r="E771" i="27"/>
  <c r="D771" i="27"/>
  <c r="B771" i="27"/>
  <c r="A769" i="27"/>
  <c r="A770" i="27"/>
  <c r="A761" i="27"/>
  <c r="A766" i="27"/>
  <c r="J765" i="27"/>
  <c r="J770" i="27"/>
  <c r="J767" i="27"/>
  <c r="J769" i="27"/>
  <c r="J768" i="27"/>
  <c r="J766" i="27"/>
  <c r="J764" i="27"/>
  <c r="J763" i="27"/>
  <c r="J757" i="27"/>
  <c r="J750" i="27"/>
  <c r="J760" i="27"/>
  <c r="J752" i="27"/>
  <c r="J758" i="27"/>
  <c r="J751" i="27"/>
  <c r="J759" i="27"/>
  <c r="J749" i="27"/>
  <c r="J762" i="27"/>
  <c r="J748" i="27"/>
  <c r="J746" i="27"/>
  <c r="J747" i="27"/>
  <c r="J745" i="27"/>
  <c r="J761" i="27"/>
  <c r="J756" i="27"/>
  <c r="J753" i="27"/>
  <c r="J755" i="27"/>
  <c r="J754" i="27"/>
  <c r="A765" i="27"/>
  <c r="A757" i="27"/>
  <c r="A767" i="27"/>
  <c r="A768" i="27"/>
  <c r="F770" i="27"/>
  <c r="C770" i="27"/>
  <c r="E770" i="27"/>
  <c r="D770" i="27"/>
  <c r="B770" i="27"/>
  <c r="F769" i="27"/>
  <c r="C769" i="27"/>
  <c r="E769" i="27"/>
  <c r="B769" i="27"/>
  <c r="D769" i="27"/>
  <c r="F768" i="27"/>
  <c r="C768" i="27"/>
  <c r="D768" i="27"/>
  <c r="E768" i="27"/>
  <c r="B768" i="27"/>
  <c r="E767" i="27"/>
  <c r="D767" i="27"/>
  <c r="B767" i="27"/>
  <c r="F767" i="27"/>
  <c r="C767" i="27"/>
  <c r="D766" i="27"/>
  <c r="E766" i="27"/>
  <c r="B766" i="27"/>
  <c r="F766" i="27"/>
  <c r="C766" i="27"/>
  <c r="C765" i="27"/>
  <c r="F765" i="27"/>
  <c r="B765" i="27"/>
  <c r="E765" i="27"/>
  <c r="D765" i="27"/>
  <c r="E763" i="27"/>
  <c r="A764" i="27"/>
  <c r="A762" i="27"/>
  <c r="A763" i="27"/>
  <c r="F764" i="27"/>
  <c r="C764" i="27"/>
  <c r="D764" i="27"/>
  <c r="B764" i="27"/>
  <c r="E764" i="27"/>
  <c r="C763" i="27"/>
  <c r="F763" i="27"/>
  <c r="B763" i="27"/>
  <c r="D763" i="27"/>
  <c r="E762" i="27"/>
  <c r="B762" i="27"/>
  <c r="D762" i="27"/>
  <c r="F762" i="27"/>
  <c r="C762" i="27"/>
  <c r="E760" i="27"/>
  <c r="E758" i="27"/>
  <c r="B758" i="27"/>
  <c r="B761" i="27"/>
  <c r="B757" i="27"/>
  <c r="D760" i="27"/>
  <c r="E757" i="27"/>
  <c r="E761" i="27"/>
  <c r="E759" i="27"/>
  <c r="B759" i="27"/>
  <c r="B760" i="27"/>
  <c r="F760" i="27"/>
  <c r="F761" i="27"/>
  <c r="C757" i="27"/>
  <c r="C759" i="27"/>
  <c r="C761" i="27"/>
  <c r="F758" i="27"/>
  <c r="F757" i="27"/>
  <c r="F759" i="27"/>
  <c r="C760" i="27"/>
  <c r="C758" i="27"/>
  <c r="D761" i="27"/>
  <c r="D757" i="27"/>
  <c r="D759" i="27"/>
  <c r="D758" i="27"/>
  <c r="A758" i="27"/>
  <c r="A760" i="27"/>
  <c r="A754" i="27"/>
  <c r="A759" i="27"/>
  <c r="A751" i="27"/>
  <c r="A756" i="27"/>
  <c r="F756" i="27"/>
  <c r="C756" i="27"/>
  <c r="E756" i="27"/>
  <c r="D756" i="27"/>
  <c r="B756" i="27"/>
  <c r="A753" i="27"/>
  <c r="A755" i="27"/>
  <c r="A752" i="27"/>
  <c r="A749" i="27"/>
  <c r="A750" i="27"/>
  <c r="F755" i="27"/>
  <c r="E755" i="27"/>
  <c r="D755" i="27"/>
  <c r="C755" i="27"/>
  <c r="B755" i="27"/>
  <c r="F754" i="27"/>
  <c r="E754" i="27"/>
  <c r="D754" i="27"/>
  <c r="C754" i="27"/>
  <c r="B754" i="27"/>
  <c r="F753" i="27"/>
  <c r="B753" i="27"/>
  <c r="E753" i="27"/>
  <c r="D753" i="27"/>
  <c r="C753" i="27"/>
  <c r="D752" i="27"/>
  <c r="F752" i="27"/>
  <c r="E752" i="27"/>
  <c r="C752" i="27"/>
  <c r="B752" i="27"/>
  <c r="E751" i="27"/>
  <c r="F751" i="27"/>
  <c r="D751" i="27"/>
  <c r="B751" i="27"/>
  <c r="C751" i="27"/>
  <c r="E750" i="27"/>
  <c r="C750" i="27"/>
  <c r="F750" i="27"/>
  <c r="D750" i="27"/>
  <c r="B750" i="27"/>
  <c r="B749" i="27"/>
  <c r="C749" i="27"/>
  <c r="F749" i="27"/>
  <c r="E749" i="27"/>
  <c r="D749" i="27"/>
  <c r="A748" i="27"/>
  <c r="A747" i="27"/>
  <c r="F748" i="27"/>
  <c r="E748" i="27"/>
  <c r="D748" i="27"/>
  <c r="C748" i="27"/>
  <c r="B748" i="27"/>
  <c r="C747" i="27"/>
  <c r="D747" i="27"/>
  <c r="E747" i="27"/>
  <c r="F747" i="27"/>
  <c r="B747" i="27"/>
  <c r="A746" i="27"/>
  <c r="B746" i="27"/>
  <c r="C746" i="27"/>
  <c r="D746" i="27"/>
  <c r="E746" i="27"/>
  <c r="F746" i="27"/>
  <c r="A745" i="27"/>
  <c r="B745" i="27"/>
  <c r="C745" i="27"/>
  <c r="D745" i="27"/>
  <c r="E745" i="27"/>
  <c r="F745" i="27"/>
  <c r="A744" i="27"/>
  <c r="J743" i="27"/>
  <c r="J744" i="27"/>
  <c r="D744" i="27"/>
  <c r="E744" i="27"/>
  <c r="F744" i="27"/>
  <c r="C744" i="27"/>
  <c r="B744" i="27"/>
  <c r="A743" i="27"/>
  <c r="F743" i="27"/>
  <c r="E743" i="27"/>
  <c r="D743" i="27"/>
  <c r="C743" i="27"/>
  <c r="B743" i="27"/>
  <c r="A359" i="27"/>
  <c r="J741" i="27"/>
  <c r="J742" i="27"/>
  <c r="J737" i="27"/>
  <c r="J729" i="27"/>
  <c r="J735" i="27"/>
  <c r="J728" i="27"/>
  <c r="J730" i="27"/>
  <c r="J740" i="27"/>
  <c r="J727" i="27"/>
  <c r="J738" i="27"/>
  <c r="J739" i="27"/>
  <c r="J734" i="27"/>
  <c r="J736" i="27"/>
  <c r="J731" i="27"/>
  <c r="J733" i="27"/>
  <c r="J732" i="27"/>
  <c r="A742" i="27"/>
  <c r="F742" i="27"/>
  <c r="E742" i="27"/>
  <c r="D742" i="27"/>
  <c r="C742" i="27"/>
  <c r="B742" i="27"/>
  <c r="A235" i="27"/>
  <c r="A741" i="27"/>
  <c r="F741" i="27"/>
  <c r="E741" i="27"/>
  <c r="D741" i="27"/>
  <c r="C741" i="27"/>
  <c r="B741" i="27"/>
  <c r="E740" i="27"/>
  <c r="F740" i="27"/>
  <c r="D740" i="27"/>
  <c r="C740" i="27"/>
  <c r="B740" i="27"/>
  <c r="A739" i="27"/>
  <c r="A740" i="27"/>
  <c r="A737" i="27"/>
  <c r="A738" i="27"/>
  <c r="A735" i="27"/>
  <c r="A736" i="27"/>
  <c r="A733" i="27"/>
  <c r="A734" i="27"/>
  <c r="A731" i="27"/>
  <c r="A732" i="27"/>
  <c r="A729" i="27"/>
  <c r="A730" i="27"/>
  <c r="A404" i="27"/>
  <c r="A727" i="27"/>
  <c r="A728" i="27"/>
  <c r="A358" i="27"/>
  <c r="C731" i="27"/>
  <c r="C738" i="27"/>
  <c r="D727" i="27"/>
  <c r="D735" i="27"/>
  <c r="D731" i="27"/>
  <c r="E735" i="27"/>
  <c r="E733" i="27"/>
  <c r="E729" i="27"/>
  <c r="B728" i="27"/>
  <c r="E736" i="27"/>
  <c r="E727" i="27"/>
  <c r="F739" i="27"/>
  <c r="B738" i="27"/>
  <c r="E739" i="27"/>
  <c r="F737" i="27"/>
  <c r="C736" i="27"/>
  <c r="B731" i="27"/>
  <c r="F729" i="27"/>
  <c r="C727" i="27"/>
  <c r="F735" i="27"/>
  <c r="C733" i="27"/>
  <c r="F732" i="27"/>
  <c r="F730" i="27"/>
  <c r="E728" i="27"/>
  <c r="B727" i="27"/>
  <c r="D732" i="27"/>
  <c r="F733" i="27"/>
  <c r="C728" i="27"/>
  <c r="B729" i="27"/>
  <c r="D733" i="27"/>
  <c r="F728" i="27"/>
  <c r="D739" i="27"/>
  <c r="E737" i="27"/>
  <c r="D736" i="27"/>
  <c r="D734" i="27"/>
  <c r="D729" i="27"/>
  <c r="F727" i="27"/>
  <c r="B736" i="27"/>
  <c r="C737" i="27"/>
  <c r="D738" i="27"/>
  <c r="F734" i="27"/>
  <c r="C730" i="27"/>
  <c r="F738" i="27"/>
  <c r="F731" i="27"/>
  <c r="B730" i="27"/>
  <c r="C739" i="27"/>
  <c r="D737" i="27"/>
  <c r="C735" i="27"/>
  <c r="B733" i="27"/>
  <c r="E732" i="27"/>
  <c r="E730" i="27"/>
  <c r="D728" i="27"/>
  <c r="B739" i="27"/>
  <c r="C734" i="27"/>
  <c r="D730" i="27"/>
  <c r="C729" i="27"/>
  <c r="C732" i="27"/>
  <c r="B737" i="27"/>
  <c r="F736" i="27"/>
  <c r="E734" i="27"/>
  <c r="E738" i="27"/>
  <c r="E731" i="27"/>
  <c r="B732" i="27"/>
  <c r="B734" i="27"/>
  <c r="B735" i="27"/>
  <c r="A44" i="27"/>
  <c r="A175" i="27"/>
  <c r="A357" i="27"/>
  <c r="A166" i="27"/>
  <c r="A361" i="27"/>
  <c r="A409" i="27"/>
  <c r="A360" i="27"/>
  <c r="A164" i="27"/>
  <c r="A236" i="27"/>
  <c r="A250" i="27"/>
  <c r="A60" i="27"/>
  <c r="A229" i="27"/>
  <c r="A230" i="27"/>
  <c r="A162" i="27"/>
  <c r="A234" i="27"/>
  <c r="A183" i="27"/>
  <c r="A545" i="27"/>
  <c r="A290" i="27"/>
  <c r="A546" i="27"/>
  <c r="A553" i="27"/>
  <c r="A648" i="27"/>
  <c r="A158" i="27"/>
  <c r="A572" i="27"/>
  <c r="A605" i="27"/>
  <c r="A143" i="27"/>
  <c r="A117" i="27"/>
  <c r="A552" i="27"/>
  <c r="A554" i="27"/>
  <c r="A611" i="27"/>
  <c r="A220" i="27"/>
  <c r="A411" i="27"/>
  <c r="A133" i="27"/>
  <c r="A292" i="27"/>
  <c r="A318" i="27"/>
  <c r="A331" i="27"/>
  <c r="A343" i="27"/>
  <c r="A293" i="27"/>
  <c r="A319" i="27"/>
  <c r="A332" i="27"/>
  <c r="A344" i="27"/>
  <c r="A294" i="27"/>
  <c r="A320" i="27"/>
  <c r="A333" i="27"/>
  <c r="A345" i="27"/>
  <c r="A410" i="27"/>
  <c r="A296" i="27"/>
  <c r="A322" i="27"/>
  <c r="A335" i="27"/>
  <c r="A348" i="27"/>
  <c r="A646" i="27"/>
  <c r="A323" i="27"/>
  <c r="A336" i="27"/>
  <c r="A647" i="27"/>
  <c r="A298" i="27"/>
  <c r="A337" i="27"/>
  <c r="A356" i="27"/>
  <c r="A307" i="27"/>
  <c r="A670" i="27"/>
  <c r="A314" i="27"/>
  <c r="A315" i="27"/>
  <c r="A340" i="27"/>
  <c r="A316" i="27"/>
  <c r="A341" i="27"/>
  <c r="A291" i="27"/>
  <c r="A329" i="27"/>
  <c r="A295" i="27"/>
  <c r="A321" i="27"/>
  <c r="A334" i="27"/>
  <c r="A347" i="27"/>
  <c r="A478" i="27"/>
  <c r="A349" i="27"/>
  <c r="A325" i="27"/>
  <c r="A326" i="27"/>
  <c r="A682" i="27"/>
  <c r="A327" i="27"/>
  <c r="A328" i="27"/>
  <c r="A317" i="27"/>
  <c r="A342" i="27"/>
  <c r="A297" i="27"/>
  <c r="A324" i="27"/>
  <c r="A669" i="27"/>
  <c r="A338" i="27"/>
  <c r="A339" i="27"/>
  <c r="A43" i="27"/>
  <c r="A72" i="27"/>
  <c r="A655" i="27"/>
  <c r="A564" i="27"/>
  <c r="A567" i="27"/>
  <c r="A559" i="27"/>
  <c r="A560" i="27"/>
  <c r="A561" i="27"/>
  <c r="A562" i="27"/>
  <c r="A563" i="27"/>
  <c r="A565" i="27"/>
  <c r="A684" i="27"/>
  <c r="A566" i="27"/>
  <c r="A558" i="27"/>
  <c r="A653" i="27"/>
  <c r="A226" i="27"/>
  <c r="A725" i="27"/>
  <c r="A194" i="27"/>
  <c r="A703" i="27"/>
  <c r="A549" i="27"/>
  <c r="A600" i="27"/>
  <c r="A610" i="27"/>
  <c r="A165" i="27"/>
  <c r="A607" i="27"/>
  <c r="A16" i="27"/>
  <c r="A675" i="27"/>
  <c r="A676" i="27"/>
  <c r="A622" i="27"/>
  <c r="A195" i="27"/>
  <c r="A278" i="27"/>
  <c r="A170" i="27"/>
  <c r="A52" i="27"/>
  <c r="A55" i="27"/>
  <c r="A56" i="27"/>
  <c r="A57" i="27"/>
  <c r="A58" i="27"/>
  <c r="A53" i="27"/>
  <c r="A176" i="27"/>
  <c r="A193" i="27"/>
  <c r="A205" i="27"/>
  <c r="A90" i="27"/>
  <c r="A7" i="27"/>
  <c r="A210" i="27"/>
  <c r="A67" i="27"/>
  <c r="A18" i="27"/>
  <c r="A37" i="27"/>
  <c r="A157" i="27"/>
  <c r="A39" i="27"/>
  <c r="A41" i="27"/>
  <c r="A71" i="27"/>
  <c r="A42" i="27"/>
  <c r="A167" i="27"/>
  <c r="A154" i="27"/>
  <c r="A161" i="27"/>
  <c r="A160" i="27"/>
  <c r="A163" i="27"/>
  <c r="A180" i="27"/>
  <c r="A468" i="27"/>
  <c r="A723" i="27"/>
  <c r="A465" i="27"/>
  <c r="A717" i="27"/>
  <c r="A719" i="27"/>
  <c r="A466" i="27"/>
  <c r="A718" i="27"/>
  <c r="A406" i="27"/>
  <c r="A720" i="27"/>
  <c r="A721" i="27"/>
  <c r="A256" i="27"/>
  <c r="A722" i="27"/>
  <c r="A712" i="27"/>
  <c r="A463" i="27"/>
  <c r="A716" i="27"/>
  <c r="A704" i="27"/>
  <c r="A269" i="27"/>
  <c r="A547" i="27"/>
  <c r="A597" i="27"/>
  <c r="A528" i="27"/>
  <c r="A529" i="27"/>
  <c r="A531" i="27"/>
  <c r="A603" i="27"/>
  <c r="A699" i="27"/>
  <c r="A711" i="27"/>
  <c r="A530" i="27"/>
  <c r="A599" i="27"/>
  <c r="A691" i="27"/>
  <c r="A705" i="27"/>
  <c r="A693" i="27"/>
  <c r="A606" i="27"/>
  <c r="A692" i="27"/>
  <c r="A601" i="27"/>
  <c r="A680" i="27"/>
  <c r="A706" i="27"/>
  <c r="A709" i="27"/>
  <c r="A602" i="27"/>
  <c r="A681" i="27"/>
  <c r="A694" i="27"/>
  <c r="A707" i="27"/>
  <c r="A604" i="27"/>
  <c r="A695" i="27"/>
  <c r="A708" i="27"/>
  <c r="A696" i="27"/>
  <c r="A710" i="27"/>
  <c r="A698" i="27"/>
  <c r="A683" i="27"/>
  <c r="A700" i="27"/>
  <c r="A527" i="27"/>
  <c r="A689" i="27"/>
  <c r="A701" i="27"/>
  <c r="A690" i="27"/>
  <c r="A677" i="27"/>
  <c r="A688" i="27"/>
  <c r="A687" i="27"/>
  <c r="A678" i="27"/>
  <c r="A679" i="27"/>
  <c r="A550" i="27"/>
  <c r="A724" i="27"/>
  <c r="A686" i="27"/>
  <c r="A540" i="27"/>
  <c r="A543" i="27"/>
  <c r="A532" i="27"/>
  <c r="A538" i="27"/>
  <c r="A533" i="27"/>
  <c r="A534" i="27"/>
  <c r="A535" i="27"/>
  <c r="A536" i="27"/>
  <c r="A537" i="27"/>
  <c r="A429" i="27"/>
  <c r="A541" i="27"/>
  <c r="A427" i="27"/>
  <c r="A428" i="27"/>
  <c r="A539" i="27"/>
  <c r="A544" i="27"/>
  <c r="A542" i="27"/>
  <c r="A73" i="27"/>
  <c r="A70" i="27"/>
  <c r="A78" i="27"/>
  <c r="A548" i="27"/>
  <c r="A498" i="27"/>
  <c r="A645" i="27"/>
  <c r="A633" i="27"/>
  <c r="A555" i="27"/>
  <c r="A639" i="27"/>
  <c r="A638" i="27"/>
  <c r="A637" i="27"/>
  <c r="A200" i="27"/>
  <c r="A266" i="27"/>
  <c r="A372" i="27"/>
  <c r="A384" i="27"/>
  <c r="A373" i="27"/>
  <c r="A385" i="27"/>
  <c r="A397" i="27"/>
  <c r="A375" i="27"/>
  <c r="A387" i="27"/>
  <c r="A399" i="27"/>
  <c r="A388" i="27"/>
  <c r="A403" i="27"/>
  <c r="A394" i="27"/>
  <c r="A380" i="27"/>
  <c r="A475" i="27"/>
  <c r="A371" i="27"/>
  <c r="A389" i="27"/>
  <c r="A374" i="27"/>
  <c r="A390" i="27"/>
  <c r="A405" i="27"/>
  <c r="A173" i="27"/>
  <c r="A395" i="27"/>
  <c r="A382" i="27"/>
  <c r="A477" i="27"/>
  <c r="A376" i="27"/>
  <c r="A391" i="27"/>
  <c r="A377" i="27"/>
  <c r="A392" i="27"/>
  <c r="A249" i="27"/>
  <c r="A362" i="27"/>
  <c r="A393" i="27"/>
  <c r="A379" i="27"/>
  <c r="A474" i="27"/>
  <c r="A367" i="27"/>
  <c r="A378" i="27"/>
  <c r="A713" i="27"/>
  <c r="A400" i="27"/>
  <c r="A365" i="27"/>
  <c r="A381" i="27"/>
  <c r="A398" i="27"/>
  <c r="A476" i="27"/>
  <c r="A369" i="27"/>
  <c r="A368" i="27"/>
  <c r="A383" i="27"/>
  <c r="A386" i="27"/>
  <c r="A401" i="27"/>
  <c r="A216" i="27"/>
  <c r="A469" i="27"/>
  <c r="A159" i="27"/>
  <c r="A471" i="27"/>
  <c r="A40" i="27"/>
  <c r="A212" i="27"/>
  <c r="A182" i="27"/>
  <c r="A213" i="27"/>
  <c r="A214" i="27"/>
  <c r="A467" i="27"/>
  <c r="A215" i="27"/>
  <c r="A232" i="27"/>
  <c r="A470" i="27"/>
  <c r="A473" i="27"/>
  <c r="A45" i="27"/>
  <c r="A203" i="27"/>
  <c r="A81" i="27"/>
  <c r="A47" i="27"/>
  <c r="A80" i="27"/>
  <c r="A461" i="27"/>
  <c r="A462" i="27"/>
  <c r="A211" i="27"/>
  <c r="A715" i="27"/>
  <c r="A464" i="27"/>
  <c r="A714" i="27"/>
  <c r="A396" i="27"/>
  <c r="A370" i="27"/>
  <c r="A364" i="27"/>
  <c r="A366" i="27"/>
  <c r="A702" i="27"/>
  <c r="A402" i="27"/>
  <c r="A36" i="27"/>
  <c r="A204" i="27"/>
  <c r="A228" i="27"/>
  <c r="A25" i="27"/>
  <c r="A63" i="27"/>
  <c r="A123" i="27"/>
  <c r="A227" i="27"/>
  <c r="A29" i="27"/>
  <c r="A191" i="27"/>
  <c r="A10" i="27"/>
  <c r="A46" i="27"/>
  <c r="A31" i="27"/>
  <c r="A68" i="27"/>
  <c r="A132" i="27"/>
  <c r="A288" i="27"/>
  <c r="A49" i="27"/>
  <c r="A217" i="27"/>
  <c r="A27" i="27"/>
  <c r="A75" i="27"/>
  <c r="A19" i="27"/>
  <c r="A35" i="27"/>
  <c r="A197" i="27"/>
  <c r="A198" i="27"/>
  <c r="A9" i="27"/>
  <c r="A185" i="27"/>
  <c r="A91" i="27"/>
  <c r="A186" i="27"/>
  <c r="A8" i="27"/>
  <c r="A77" i="27"/>
  <c r="A187" i="27"/>
  <c r="A62" i="27"/>
  <c r="A271" i="27"/>
  <c r="A270" i="27"/>
  <c r="A272" i="27"/>
  <c r="A287" i="27"/>
  <c r="A33" i="27"/>
  <c r="A118" i="27"/>
  <c r="A89" i="27"/>
  <c r="A107" i="27"/>
  <c r="A408" i="27"/>
  <c r="A663" i="27"/>
  <c r="A434" i="27"/>
  <c r="A665" i="27"/>
  <c r="A667" i="27"/>
  <c r="A458" i="27"/>
  <c r="A551" i="27"/>
  <c r="A620" i="27"/>
  <c r="A446" i="27"/>
  <c r="A666" i="27"/>
  <c r="A437" i="27"/>
  <c r="A452" i="27"/>
  <c r="A440" i="27"/>
  <c r="A426" i="27"/>
  <c r="A616" i="27"/>
  <c r="A668" i="27"/>
  <c r="A455" i="27"/>
  <c r="A443" i="27"/>
  <c r="A449" i="27"/>
  <c r="A661" i="27"/>
  <c r="A662" i="27"/>
  <c r="A664" i="27"/>
  <c r="A617" i="27"/>
  <c r="A595" i="27"/>
  <c r="A596" i="27"/>
  <c r="A685" i="27"/>
  <c r="A697" i="27"/>
  <c r="A608" i="27"/>
  <c r="A432" i="27"/>
  <c r="A444" i="27"/>
  <c r="A456" i="27"/>
  <c r="A480" i="27"/>
  <c r="A492" i="27"/>
  <c r="A481" i="27"/>
  <c r="A493" i="27"/>
  <c r="A435" i="27"/>
  <c r="A447" i="27"/>
  <c r="A459" i="27"/>
  <c r="A483" i="27"/>
  <c r="A495" i="27"/>
  <c r="A450" i="27"/>
  <c r="A482" i="27"/>
  <c r="A612" i="27"/>
  <c r="A484" i="27"/>
  <c r="A488" i="27"/>
  <c r="A441" i="27"/>
  <c r="A485" i="27"/>
  <c r="A644" i="27"/>
  <c r="A489" i="27"/>
  <c r="A438" i="27"/>
  <c r="A453" i="27"/>
  <c r="A486" i="27"/>
  <c r="A642" i="27"/>
  <c r="A487" i="27"/>
  <c r="A643" i="27"/>
  <c r="A618" i="27"/>
  <c r="A490" i="27"/>
  <c r="A494" i="27"/>
  <c r="A491" i="27"/>
  <c r="A634" i="27"/>
  <c r="A479" i="27"/>
  <c r="A496" i="27"/>
  <c r="A497" i="27"/>
  <c r="A300" i="27"/>
  <c r="A312" i="27"/>
  <c r="A301" i="27"/>
  <c r="A313" i="27"/>
  <c r="A303" i="27"/>
  <c r="A351" i="27"/>
  <c r="A306" i="27"/>
  <c r="A350" i="27"/>
  <c r="A308" i="27"/>
  <c r="A346" i="27"/>
  <c r="A302" i="27"/>
  <c r="A309" i="27"/>
  <c r="A310" i="27"/>
  <c r="A311" i="27"/>
  <c r="A354" i="27"/>
  <c r="A79" i="27"/>
  <c r="A352" i="27"/>
  <c r="A208" i="27"/>
  <c r="A299" i="27"/>
  <c r="A353" i="27"/>
  <c r="A209" i="27"/>
  <c r="A304" i="27"/>
  <c r="A305" i="27"/>
  <c r="A355" i="27"/>
  <c r="A330" i="27"/>
  <c r="A48" i="27"/>
  <c r="A156" i="27"/>
  <c r="A168" i="27"/>
  <c r="A207" i="27"/>
  <c r="A219" i="27"/>
  <c r="A155" i="27"/>
  <c r="A224" i="27"/>
  <c r="A221" i="27"/>
  <c r="A151" i="27"/>
  <c r="A218" i="27"/>
  <c r="A407" i="27"/>
  <c r="A222" i="27"/>
  <c r="A223" i="27"/>
  <c r="A66" i="27"/>
  <c r="A225" i="27"/>
  <c r="A196" i="27"/>
  <c r="A499" i="27"/>
  <c r="A671" i="27"/>
  <c r="A636" i="27"/>
  <c r="A598" i="27"/>
  <c r="A421" i="27"/>
  <c r="A423" i="27"/>
  <c r="A422" i="27"/>
  <c r="A414" i="27"/>
  <c r="A673" i="27"/>
  <c r="A276" i="27"/>
  <c r="A277" i="27"/>
  <c r="A171" i="27"/>
  <c r="A275" i="27"/>
  <c r="A472" i="27"/>
  <c r="A172" i="27"/>
  <c r="A240" i="27"/>
  <c r="A252" i="27"/>
  <c r="A264" i="27"/>
  <c r="A61" i="27"/>
  <c r="A181" i="27"/>
  <c r="A241" i="27"/>
  <c r="A253" i="27"/>
  <c r="A231" i="27"/>
  <c r="A243" i="27"/>
  <c r="A255" i="27"/>
  <c r="A267" i="27"/>
  <c r="A279" i="27"/>
  <c r="A363" i="27"/>
  <c r="A69" i="27"/>
  <c r="A179" i="27"/>
  <c r="A244" i="27"/>
  <c r="A259" i="27"/>
  <c r="A283" i="27"/>
  <c r="A245" i="27"/>
  <c r="A260" i="27"/>
  <c r="A246" i="27"/>
  <c r="A261" i="27"/>
  <c r="A74" i="27"/>
  <c r="A247" i="27"/>
  <c r="A262" i="27"/>
  <c r="A280" i="27"/>
  <c r="A201" i="27"/>
  <c r="A233" i="27"/>
  <c r="A248" i="27"/>
  <c r="A263" i="27"/>
  <c r="A281" i="27"/>
  <c r="A268" i="27"/>
  <c r="A238" i="27"/>
  <c r="A286" i="27"/>
  <c r="A282" i="27"/>
  <c r="A251" i="27"/>
  <c r="A237" i="27"/>
  <c r="A254" i="27"/>
  <c r="A257" i="27"/>
  <c r="A258" i="27"/>
  <c r="A239" i="27"/>
  <c r="A242" i="27"/>
  <c r="A28" i="27"/>
  <c r="A21" i="27"/>
  <c r="A6" i="27"/>
  <c r="A726" i="27"/>
  <c r="A206" i="27"/>
  <c r="A65" i="27"/>
  <c r="A190" i="27"/>
  <c r="A34" i="27"/>
  <c r="A273" i="27"/>
  <c r="A178" i="27"/>
  <c r="A516" i="27"/>
  <c r="A433" i="27"/>
  <c r="A445" i="27"/>
  <c r="A457" i="27"/>
  <c r="A517" i="27"/>
  <c r="A519" i="27"/>
  <c r="A513" i="27"/>
  <c r="A436" i="27"/>
  <c r="A451" i="27"/>
  <c r="A514" i="27"/>
  <c r="A613" i="27"/>
  <c r="A640" i="27"/>
  <c r="A522" i="27"/>
  <c r="A442" i="27"/>
  <c r="A515" i="27"/>
  <c r="A614" i="27"/>
  <c r="A641" i="27"/>
  <c r="A521" i="27"/>
  <c r="A460" i="27"/>
  <c r="A518" i="27"/>
  <c r="A439" i="27"/>
  <c r="A454" i="27"/>
  <c r="A520" i="27"/>
  <c r="A619" i="27"/>
  <c r="A523" i="27"/>
  <c r="A524" i="27"/>
  <c r="A525" i="27"/>
  <c r="A448" i="27"/>
  <c r="A512" i="27"/>
  <c r="A511" i="27"/>
  <c r="A526" i="27"/>
  <c r="A199" i="27"/>
  <c r="A17" i="27"/>
  <c r="A59" i="27"/>
  <c r="A54" i="27"/>
  <c r="A504" i="27"/>
  <c r="A505" i="27"/>
  <c r="A507" i="27"/>
  <c r="A500" i="27"/>
  <c r="A501" i="27"/>
  <c r="A502" i="27"/>
  <c r="A503" i="27"/>
  <c r="A506" i="27"/>
  <c r="A632" i="27"/>
  <c r="A510" i="27"/>
  <c r="A509" i="27"/>
  <c r="A508" i="27"/>
  <c r="A289" i="27"/>
  <c r="A96" i="27"/>
  <c r="A120" i="27"/>
  <c r="A265" i="27"/>
  <c r="A50" i="27"/>
  <c r="A30" i="27"/>
  <c r="A284" i="27"/>
  <c r="A615" i="27"/>
  <c r="A609" i="27"/>
  <c r="A169" i="27"/>
  <c r="A38" i="27"/>
  <c r="A674" i="27"/>
  <c r="A12" i="27"/>
  <c r="A24" i="27"/>
  <c r="A84" i="27"/>
  <c r="A108" i="27"/>
  <c r="A144" i="27"/>
  <c r="A192" i="27"/>
  <c r="A13" i="27"/>
  <c r="A85" i="27"/>
  <c r="A97" i="27"/>
  <c r="A109" i="27"/>
  <c r="A121" i="27"/>
  <c r="A145" i="27"/>
  <c r="A15" i="27"/>
  <c r="A51" i="27"/>
  <c r="A87" i="27"/>
  <c r="A99" i="27"/>
  <c r="A111" i="27"/>
  <c r="A135" i="27"/>
  <c r="A147" i="27"/>
  <c r="A86" i="27"/>
  <c r="A102" i="27"/>
  <c r="A149" i="27"/>
  <c r="A274" i="27"/>
  <c r="A93" i="27"/>
  <c r="A14" i="27"/>
  <c r="A129" i="27"/>
  <c r="A20" i="27"/>
  <c r="A88" i="27"/>
  <c r="A103" i="27"/>
  <c r="A134" i="27"/>
  <c r="A150" i="27"/>
  <c r="A110" i="27"/>
  <c r="A104" i="27"/>
  <c r="A119" i="27"/>
  <c r="A136" i="27"/>
  <c r="A184" i="27"/>
  <c r="A22" i="27"/>
  <c r="A105" i="27"/>
  <c r="A122" i="27"/>
  <c r="A137" i="27"/>
  <c r="A152" i="27"/>
  <c r="A23" i="27"/>
  <c r="A76" i="27"/>
  <c r="A106" i="27"/>
  <c r="A124" i="27"/>
  <c r="A138" i="27"/>
  <c r="A153" i="27"/>
  <c r="A26" i="27"/>
  <c r="A92" i="27"/>
  <c r="A125" i="27"/>
  <c r="A139" i="27"/>
  <c r="A202" i="27"/>
  <c r="A126" i="27"/>
  <c r="A140" i="27"/>
  <c r="A188" i="27"/>
  <c r="A114" i="27"/>
  <c r="A32" i="27"/>
  <c r="A98" i="27"/>
  <c r="A64" i="27"/>
  <c r="A94" i="27"/>
  <c r="A112" i="27"/>
  <c r="A127" i="27"/>
  <c r="A141" i="27"/>
  <c r="A174" i="27"/>
  <c r="A189" i="27"/>
  <c r="A11" i="27"/>
  <c r="A95" i="27"/>
  <c r="A113" i="27"/>
  <c r="A128" i="27"/>
  <c r="A142" i="27"/>
  <c r="A285" i="27"/>
  <c r="A177" i="27"/>
  <c r="A131" i="27"/>
  <c r="A146" i="27"/>
  <c r="A148" i="27"/>
  <c r="A100" i="27"/>
  <c r="A101" i="27"/>
  <c r="A82" i="27"/>
  <c r="A83" i="27"/>
  <c r="A115" i="27"/>
  <c r="A116" i="27"/>
  <c r="A130" i="27"/>
  <c r="A424" i="27"/>
  <c r="A425" i="27"/>
  <c r="A579" i="27"/>
  <c r="A591" i="27"/>
  <c r="A651" i="27"/>
  <c r="A573" i="27"/>
  <c r="A586" i="27"/>
  <c r="A652" i="27"/>
  <c r="A574" i="27"/>
  <c r="A587" i="27"/>
  <c r="A593" i="27"/>
  <c r="A658" i="27"/>
  <c r="A575" i="27"/>
  <c r="A588" i="27"/>
  <c r="A654" i="27"/>
  <c r="A578" i="27"/>
  <c r="A580" i="27"/>
  <c r="A583" i="27"/>
  <c r="A576" i="27"/>
  <c r="A589" i="27"/>
  <c r="A577" i="27"/>
  <c r="A590" i="27"/>
  <c r="A656" i="27"/>
  <c r="A592" i="27"/>
  <c r="A657" i="27"/>
  <c r="A412" i="27"/>
  <c r="A581" i="27"/>
  <c r="A594" i="27"/>
  <c r="A631" i="27"/>
  <c r="A659" i="27"/>
  <c r="A413" i="27"/>
  <c r="A582" i="27"/>
  <c r="A621" i="27"/>
  <c r="A660" i="27"/>
  <c r="A649" i="27"/>
  <c r="A650" i="27"/>
  <c r="A624" i="27"/>
  <c r="A635" i="27"/>
  <c r="A431" i="27"/>
  <c r="A623" i="27"/>
  <c r="A584" i="27"/>
  <c r="A415" i="27"/>
  <c r="A585" i="27"/>
  <c r="A430" i="27"/>
  <c r="A627" i="27"/>
  <c r="A625" i="27"/>
  <c r="A626" i="27"/>
  <c r="A628" i="27"/>
  <c r="A629" i="27"/>
  <c r="A630" i="27"/>
  <c r="A420" i="27"/>
  <c r="A417" i="27"/>
  <c r="A570" i="27"/>
  <c r="A418" i="27"/>
  <c r="A419" i="27"/>
  <c r="A568" i="27"/>
  <c r="A672" i="27"/>
  <c r="A556" i="27"/>
  <c r="A569" i="27"/>
  <c r="A557" i="27"/>
  <c r="A571" i="27"/>
  <c r="A416" i="27"/>
  <c r="J724" i="27"/>
  <c r="J723" i="27"/>
  <c r="J726" i="27"/>
  <c r="J719" i="27"/>
  <c r="J725" i="27"/>
  <c r="J722" i="27"/>
  <c r="J721" i="27"/>
  <c r="J720" i="27"/>
  <c r="J718" i="27"/>
  <c r="J717" i="27"/>
  <c r="J716" i="27"/>
  <c r="J715" i="27"/>
  <c r="J714" i="27"/>
  <c r="F103" i="27"/>
  <c r="F7" i="27"/>
  <c r="F91" i="27"/>
  <c r="F187" i="27"/>
  <c r="F259" i="27"/>
  <c r="F355" i="27"/>
  <c r="F43" i="27"/>
  <c r="F79" i="27"/>
  <c r="F127" i="27"/>
  <c r="F175" i="27"/>
  <c r="F199" i="27"/>
  <c r="F235" i="27"/>
  <c r="F283" i="27"/>
  <c r="F319" i="27"/>
  <c r="F367" i="27"/>
  <c r="F403" i="27"/>
  <c r="F439" i="27"/>
  <c r="F31" i="27"/>
  <c r="F55" i="27"/>
  <c r="F115" i="27"/>
  <c r="F151" i="27"/>
  <c r="F223" i="27"/>
  <c r="F271" i="27"/>
  <c r="F307" i="27"/>
  <c r="F391" i="27"/>
  <c r="F12" i="27"/>
  <c r="F24" i="27"/>
  <c r="F36" i="27"/>
  <c r="F48" i="27"/>
  <c r="F14" i="27"/>
  <c r="F26" i="27"/>
  <c r="F38" i="27"/>
  <c r="F15" i="27"/>
  <c r="F19" i="27"/>
  <c r="F67" i="27"/>
  <c r="F139" i="27"/>
  <c r="F163" i="27"/>
  <c r="F211" i="27"/>
  <c r="F247" i="27"/>
  <c r="F295" i="27"/>
  <c r="F331" i="27"/>
  <c r="F343" i="27"/>
  <c r="F379" i="27"/>
  <c r="F415" i="27"/>
  <c r="F427" i="27"/>
  <c r="F451" i="27"/>
  <c r="F463" i="27"/>
  <c r="F475" i="27"/>
  <c r="F487" i="27"/>
  <c r="F499" i="27"/>
  <c r="F511" i="27"/>
  <c r="F523" i="27"/>
  <c r="F535" i="27"/>
  <c r="F547" i="27"/>
  <c r="F559" i="27"/>
  <c r="F571" i="27"/>
  <c r="F583" i="27"/>
  <c r="F595" i="27"/>
  <c r="F607" i="27"/>
  <c r="F619" i="27"/>
  <c r="F631" i="27"/>
  <c r="F643" i="27"/>
  <c r="F655" i="27"/>
  <c r="F32" i="27"/>
  <c r="F68" i="27"/>
  <c r="F104" i="27"/>
  <c r="F152" i="27"/>
  <c r="F176" i="27"/>
  <c r="F200" i="27"/>
  <c r="F212" i="27"/>
  <c r="F224" i="27"/>
  <c r="F236" i="27"/>
  <c r="F248" i="27"/>
  <c r="F260" i="27"/>
  <c r="F272" i="27"/>
  <c r="F284" i="27"/>
  <c r="F296" i="27"/>
  <c r="F308" i="27"/>
  <c r="F320" i="27"/>
  <c r="F332" i="27"/>
  <c r="F344" i="27"/>
  <c r="F356" i="27"/>
  <c r="F368" i="27"/>
  <c r="F380" i="27"/>
  <c r="F392" i="27"/>
  <c r="F404" i="27"/>
  <c r="F416" i="27"/>
  <c r="F428" i="27"/>
  <c r="F440" i="27"/>
  <c r="F452" i="27"/>
  <c r="F464" i="27"/>
  <c r="F476" i="27"/>
  <c r="F488" i="27"/>
  <c r="F500" i="27"/>
  <c r="F512" i="27"/>
  <c r="F524" i="27"/>
  <c r="F536" i="27"/>
  <c r="F548" i="27"/>
  <c r="F560" i="27"/>
  <c r="F572" i="27"/>
  <c r="F584" i="27"/>
  <c r="F596" i="27"/>
  <c r="F608" i="27"/>
  <c r="F620" i="27"/>
  <c r="F632" i="27"/>
  <c r="F644" i="27"/>
  <c r="F656" i="27"/>
  <c r="F20" i="27"/>
  <c r="F56" i="27"/>
  <c r="F116" i="27"/>
  <c r="F9" i="27"/>
  <c r="F21" i="27"/>
  <c r="F33" i="27"/>
  <c r="F45" i="27"/>
  <c r="F57" i="27"/>
  <c r="F69" i="27"/>
  <c r="F81" i="27"/>
  <c r="F93" i="27"/>
  <c r="F105" i="27"/>
  <c r="F117" i="27"/>
  <c r="F129" i="27"/>
  <c r="F141" i="27"/>
  <c r="F153" i="27"/>
  <c r="F165" i="27"/>
  <c r="F177" i="27"/>
  <c r="F189" i="27"/>
  <c r="F201" i="27"/>
  <c r="F213" i="27"/>
  <c r="F225" i="27"/>
  <c r="F237" i="27"/>
  <c r="F249" i="27"/>
  <c r="F261" i="27"/>
  <c r="F273" i="27"/>
  <c r="F285" i="27"/>
  <c r="F297" i="27"/>
  <c r="F309" i="27"/>
  <c r="F321" i="27"/>
  <c r="F333" i="27"/>
  <c r="F345" i="27"/>
  <c r="F357" i="27"/>
  <c r="F369" i="27"/>
  <c r="F381" i="27"/>
  <c r="F393" i="27"/>
  <c r="F405" i="27"/>
  <c r="F417" i="27"/>
  <c r="F429" i="27"/>
  <c r="F441" i="27"/>
  <c r="F453" i="27"/>
  <c r="F465" i="27"/>
  <c r="F477" i="27"/>
  <c r="F489" i="27"/>
  <c r="F501" i="27"/>
  <c r="F513" i="27"/>
  <c r="F525" i="27"/>
  <c r="F537" i="27"/>
  <c r="F549" i="27"/>
  <c r="F561" i="27"/>
  <c r="F573" i="27"/>
  <c r="F585" i="27"/>
  <c r="F597" i="27"/>
  <c r="F609" i="27"/>
  <c r="F621" i="27"/>
  <c r="F633" i="27"/>
  <c r="F645" i="27"/>
  <c r="F657" i="27"/>
  <c r="F10" i="27"/>
  <c r="F22" i="27"/>
  <c r="F34" i="27"/>
  <c r="F46" i="27"/>
  <c r="F58" i="27"/>
  <c r="F70" i="27"/>
  <c r="F82" i="27"/>
  <c r="F94" i="27"/>
  <c r="F106" i="27"/>
  <c r="F118" i="27"/>
  <c r="F130" i="27"/>
  <c r="F142" i="27"/>
  <c r="F154" i="27"/>
  <c r="F166" i="27"/>
  <c r="F178" i="27"/>
  <c r="F190" i="27"/>
  <c r="F202" i="27"/>
  <c r="F214" i="27"/>
  <c r="F226" i="27"/>
  <c r="F238" i="27"/>
  <c r="F250" i="27"/>
  <c r="F262" i="27"/>
  <c r="F274" i="27"/>
  <c r="F286" i="27"/>
  <c r="F298" i="27"/>
  <c r="F310" i="27"/>
  <c r="F322" i="27"/>
  <c r="F334" i="27"/>
  <c r="F346" i="27"/>
  <c r="F358" i="27"/>
  <c r="F370" i="27"/>
  <c r="F382" i="27"/>
  <c r="F394" i="27"/>
  <c r="F406" i="27"/>
  <c r="F418" i="27"/>
  <c r="F430" i="27"/>
  <c r="F442" i="27"/>
  <c r="F454" i="27"/>
  <c r="F466" i="27"/>
  <c r="F478" i="27"/>
  <c r="F490" i="27"/>
  <c r="F502" i="27"/>
  <c r="F514" i="27"/>
  <c r="F526" i="27"/>
  <c r="F538" i="27"/>
  <c r="F550" i="27"/>
  <c r="F562" i="27"/>
  <c r="F574" i="27"/>
  <c r="F586" i="27"/>
  <c r="F598" i="27"/>
  <c r="F610" i="27"/>
  <c r="F622" i="27"/>
  <c r="F634" i="27"/>
  <c r="F646" i="27"/>
  <c r="F658" i="27"/>
  <c r="F8" i="27"/>
  <c r="F44" i="27"/>
  <c r="F80" i="27"/>
  <c r="F92" i="27"/>
  <c r="F128" i="27"/>
  <c r="F140" i="27"/>
  <c r="F164" i="27"/>
  <c r="F188" i="27"/>
  <c r="F717" i="27"/>
  <c r="F725" i="27"/>
  <c r="F726" i="27"/>
  <c r="F720" i="27"/>
  <c r="F722" i="27"/>
  <c r="F723" i="27"/>
  <c r="F718" i="27"/>
  <c r="F721" i="27"/>
  <c r="F716" i="27"/>
  <c r="F719" i="27"/>
  <c r="F724" i="27"/>
  <c r="F715" i="27"/>
  <c r="F714" i="27"/>
  <c r="F662" i="27"/>
  <c r="F713" i="27"/>
  <c r="F664" i="27"/>
  <c r="F693" i="27"/>
  <c r="F678" i="27"/>
  <c r="F688" i="27"/>
  <c r="F697" i="27"/>
  <c r="F695" i="27"/>
  <c r="F673" i="27"/>
  <c r="F696" i="27"/>
  <c r="F674" i="27"/>
  <c r="F679" i="27"/>
  <c r="F700" i="27"/>
  <c r="F668" i="27"/>
  <c r="F703" i="27"/>
  <c r="F709" i="27"/>
  <c r="F706" i="27"/>
  <c r="F669" i="27"/>
  <c r="F711" i="27"/>
  <c r="F667" i="27"/>
  <c r="F691" i="27"/>
  <c r="F708" i="27"/>
  <c r="F663" i="27"/>
  <c r="F676" i="27"/>
  <c r="F681" i="27"/>
  <c r="F686" i="27"/>
  <c r="F672" i="27"/>
  <c r="F704" i="27"/>
  <c r="F712" i="27"/>
  <c r="F665" i="27"/>
  <c r="F701" i="27"/>
  <c r="F707" i="27"/>
  <c r="F680" i="27"/>
  <c r="F690" i="27"/>
  <c r="F683" i="27"/>
  <c r="F692" i="27"/>
  <c r="F702" i="27"/>
  <c r="F677" i="27"/>
  <c r="F670" i="27"/>
  <c r="F687" i="27"/>
  <c r="F698" i="27"/>
  <c r="F699" i="27"/>
  <c r="F705" i="27"/>
  <c r="F682" i="27"/>
  <c r="F666" i="27"/>
  <c r="F710" i="27"/>
  <c r="F689" i="27"/>
  <c r="F685" i="27"/>
  <c r="F684" i="27"/>
  <c r="F675" i="27"/>
  <c r="F671" i="27"/>
  <c r="F694" i="27"/>
  <c r="F11" i="27"/>
  <c r="F23" i="27"/>
  <c r="F35" i="27"/>
  <c r="F47" i="27"/>
  <c r="F59" i="27"/>
  <c r="F71" i="27"/>
  <c r="F83" i="27"/>
  <c r="F95" i="27"/>
  <c r="F107" i="27"/>
  <c r="F119" i="27"/>
  <c r="F131" i="27"/>
  <c r="F143" i="27"/>
  <c r="F155" i="27"/>
  <c r="F167" i="27"/>
  <c r="F179" i="27"/>
  <c r="F191" i="27"/>
  <c r="F203" i="27"/>
  <c r="F215" i="27"/>
  <c r="F227" i="27"/>
  <c r="F239" i="27"/>
  <c r="F251" i="27"/>
  <c r="F263" i="27"/>
  <c r="F275" i="27"/>
  <c r="F287" i="27"/>
  <c r="F299" i="27"/>
  <c r="F311" i="27"/>
  <c r="F323" i="27"/>
  <c r="F335" i="27"/>
  <c r="F347" i="27"/>
  <c r="F359" i="27"/>
  <c r="F371" i="27"/>
  <c r="F383" i="27"/>
  <c r="F395" i="27"/>
  <c r="F407" i="27"/>
  <c r="F419" i="27"/>
  <c r="F431" i="27"/>
  <c r="F443" i="27"/>
  <c r="F455" i="27"/>
  <c r="F467" i="27"/>
  <c r="F479" i="27"/>
  <c r="F491" i="27"/>
  <c r="F503" i="27"/>
  <c r="F515" i="27"/>
  <c r="F527" i="27"/>
  <c r="F539" i="27"/>
  <c r="F551" i="27"/>
  <c r="F563" i="27"/>
  <c r="F575" i="27"/>
  <c r="F587" i="27"/>
  <c r="F599" i="27"/>
  <c r="F611" i="27"/>
  <c r="F623" i="27"/>
  <c r="F635" i="27"/>
  <c r="F647" i="27"/>
  <c r="F659" i="27"/>
  <c r="F60" i="27"/>
  <c r="F72" i="27"/>
  <c r="F84" i="27"/>
  <c r="F96" i="27"/>
  <c r="F108" i="27"/>
  <c r="F120" i="27"/>
  <c r="F132" i="27"/>
  <c r="F144" i="27"/>
  <c r="F156" i="27"/>
  <c r="F168" i="27"/>
  <c r="F180" i="27"/>
  <c r="F192" i="27"/>
  <c r="F204" i="27"/>
  <c r="F216" i="27"/>
  <c r="F228" i="27"/>
  <c r="F240" i="27"/>
  <c r="F252" i="27"/>
  <c r="F264" i="27"/>
  <c r="F276" i="27"/>
  <c r="F288" i="27"/>
  <c r="F300" i="27"/>
  <c r="F312" i="27"/>
  <c r="F324" i="27"/>
  <c r="F336" i="27"/>
  <c r="F348" i="27"/>
  <c r="F360" i="27"/>
  <c r="F372" i="27"/>
  <c r="F384" i="27"/>
  <c r="F396" i="27"/>
  <c r="F408" i="27"/>
  <c r="F420" i="27"/>
  <c r="F432" i="27"/>
  <c r="F444" i="27"/>
  <c r="F456" i="27"/>
  <c r="F468" i="27"/>
  <c r="F480" i="27"/>
  <c r="F492" i="27"/>
  <c r="F504" i="27"/>
  <c r="F516" i="27"/>
  <c r="F528" i="27"/>
  <c r="F540" i="27"/>
  <c r="F552" i="27"/>
  <c r="F564" i="27"/>
  <c r="F576" i="27"/>
  <c r="F588" i="27"/>
  <c r="F600" i="27"/>
  <c r="F612" i="27"/>
  <c r="F624" i="27"/>
  <c r="F636" i="27"/>
  <c r="F648" i="27"/>
  <c r="F660" i="27"/>
  <c r="F13" i="27"/>
  <c r="F25" i="27"/>
  <c r="F37" i="27"/>
  <c r="F49" i="27"/>
  <c r="F61" i="27"/>
  <c r="F73" i="27"/>
  <c r="F85" i="27"/>
  <c r="F97" i="27"/>
  <c r="F109" i="27"/>
  <c r="F121" i="27"/>
  <c r="F133" i="27"/>
  <c r="F145" i="27"/>
  <c r="F157" i="27"/>
  <c r="F169" i="27"/>
  <c r="F181" i="27"/>
  <c r="F193" i="27"/>
  <c r="F205" i="27"/>
  <c r="F217" i="27"/>
  <c r="F229" i="27"/>
  <c r="F241" i="27"/>
  <c r="F253" i="27"/>
  <c r="F265" i="27"/>
  <c r="F277" i="27"/>
  <c r="F289" i="27"/>
  <c r="F301" i="27"/>
  <c r="F313" i="27"/>
  <c r="F325" i="27"/>
  <c r="F337" i="27"/>
  <c r="F349" i="27"/>
  <c r="F361" i="27"/>
  <c r="F373" i="27"/>
  <c r="F385" i="27"/>
  <c r="F397" i="27"/>
  <c r="F409" i="27"/>
  <c r="F421" i="27"/>
  <c r="F433" i="27"/>
  <c r="F445" i="27"/>
  <c r="F457" i="27"/>
  <c r="F469" i="27"/>
  <c r="F481" i="27"/>
  <c r="F493" i="27"/>
  <c r="F505" i="27"/>
  <c r="F517" i="27"/>
  <c r="F529" i="27"/>
  <c r="F541" i="27"/>
  <c r="F553" i="27"/>
  <c r="F565" i="27"/>
  <c r="F577" i="27"/>
  <c r="F589" i="27"/>
  <c r="F601" i="27"/>
  <c r="F613" i="27"/>
  <c r="F625" i="27"/>
  <c r="F637" i="27"/>
  <c r="F649" i="27"/>
  <c r="F50" i="27"/>
  <c r="F62" i="27"/>
  <c r="F74" i="27"/>
  <c r="F86" i="27"/>
  <c r="F98" i="27"/>
  <c r="F110" i="27"/>
  <c r="F122" i="27"/>
  <c r="F134" i="27"/>
  <c r="F146" i="27"/>
  <c r="F158" i="27"/>
  <c r="F170" i="27"/>
  <c r="F182" i="27"/>
  <c r="F194" i="27"/>
  <c r="F206" i="27"/>
  <c r="F218" i="27"/>
  <c r="F230" i="27"/>
  <c r="F242" i="27"/>
  <c r="F254" i="27"/>
  <c r="F266" i="27"/>
  <c r="F278" i="27"/>
  <c r="F290" i="27"/>
  <c r="F302" i="27"/>
  <c r="F314" i="27"/>
  <c r="F326" i="27"/>
  <c r="F338" i="27"/>
  <c r="F350" i="27"/>
  <c r="F362" i="27"/>
  <c r="F374" i="27"/>
  <c r="F386" i="27"/>
  <c r="F398" i="27"/>
  <c r="F410" i="27"/>
  <c r="F422" i="27"/>
  <c r="F434" i="27"/>
  <c r="F446" i="27"/>
  <c r="F458" i="27"/>
  <c r="F470" i="27"/>
  <c r="F482" i="27"/>
  <c r="F494" i="27"/>
  <c r="F506" i="27"/>
  <c r="F518" i="27"/>
  <c r="F530" i="27"/>
  <c r="F542" i="27"/>
  <c r="F554" i="27"/>
  <c r="F566" i="27"/>
  <c r="F578" i="27"/>
  <c r="F590" i="27"/>
  <c r="F602" i="27"/>
  <c r="F614" i="27"/>
  <c r="F626" i="27"/>
  <c r="F638" i="27"/>
  <c r="F650" i="27"/>
  <c r="F27" i="27"/>
  <c r="F39" i="27"/>
  <c r="F51" i="27"/>
  <c r="F63" i="27"/>
  <c r="F75" i="27"/>
  <c r="F87" i="27"/>
  <c r="F99" i="27"/>
  <c r="F111" i="27"/>
  <c r="F123" i="27"/>
  <c r="F135" i="27"/>
  <c r="F147" i="27"/>
  <c r="F159" i="27"/>
  <c r="F171" i="27"/>
  <c r="F183" i="27"/>
  <c r="F195" i="27"/>
  <c r="F207" i="27"/>
  <c r="F219" i="27"/>
  <c r="F231" i="27"/>
  <c r="F243" i="27"/>
  <c r="F255" i="27"/>
  <c r="F267" i="27"/>
  <c r="F279" i="27"/>
  <c r="F291" i="27"/>
  <c r="F303" i="27"/>
  <c r="F315" i="27"/>
  <c r="F327" i="27"/>
  <c r="F339" i="27"/>
  <c r="F351" i="27"/>
  <c r="F363" i="27"/>
  <c r="F375" i="27"/>
  <c r="F387" i="27"/>
  <c r="F399" i="27"/>
  <c r="F411" i="27"/>
  <c r="F423" i="27"/>
  <c r="F435" i="27"/>
  <c r="F447" i="27"/>
  <c r="F459" i="27"/>
  <c r="F471" i="27"/>
  <c r="F483" i="27"/>
  <c r="F495" i="27"/>
  <c r="F507" i="27"/>
  <c r="F519" i="27"/>
  <c r="F531" i="27"/>
  <c r="F543" i="27"/>
  <c r="F555" i="27"/>
  <c r="F567" i="27"/>
  <c r="F579" i="27"/>
  <c r="F591" i="27"/>
  <c r="F603" i="27"/>
  <c r="F615" i="27"/>
  <c r="F627" i="27"/>
  <c r="F639" i="27"/>
  <c r="F651" i="27"/>
  <c r="F16" i="27"/>
  <c r="F52" i="27"/>
  <c r="F76" i="27"/>
  <c r="F112" i="27"/>
  <c r="F148" i="27"/>
  <c r="F172" i="27"/>
  <c r="F196" i="27"/>
  <c r="F208" i="27"/>
  <c r="F220" i="27"/>
  <c r="F232" i="27"/>
  <c r="F244" i="27"/>
  <c r="F256" i="27"/>
  <c r="F268" i="27"/>
  <c r="F280" i="27"/>
  <c r="F292" i="27"/>
  <c r="F304" i="27"/>
  <c r="F316" i="27"/>
  <c r="F328" i="27"/>
  <c r="F340" i="27"/>
  <c r="F352" i="27"/>
  <c r="F364" i="27"/>
  <c r="F376" i="27"/>
  <c r="F388" i="27"/>
  <c r="F400" i="27"/>
  <c r="F412" i="27"/>
  <c r="F424" i="27"/>
  <c r="F436" i="27"/>
  <c r="F448" i="27"/>
  <c r="F460" i="27"/>
  <c r="F472" i="27"/>
  <c r="F484" i="27"/>
  <c r="F496" i="27"/>
  <c r="F508" i="27"/>
  <c r="F520" i="27"/>
  <c r="F532" i="27"/>
  <c r="F544" i="27"/>
  <c r="F556" i="27"/>
  <c r="F568" i="27"/>
  <c r="F580" i="27"/>
  <c r="F592" i="27"/>
  <c r="F604" i="27"/>
  <c r="F616" i="27"/>
  <c r="F628" i="27"/>
  <c r="F640" i="27"/>
  <c r="F652" i="27"/>
  <c r="F28" i="27"/>
  <c r="F40" i="27"/>
  <c r="F64" i="27"/>
  <c r="F88" i="27"/>
  <c r="F100" i="27"/>
  <c r="F124" i="27"/>
  <c r="F136" i="27"/>
  <c r="F160" i="27"/>
  <c r="F184" i="27"/>
  <c r="F17" i="27"/>
  <c r="F29" i="27"/>
  <c r="F41" i="27"/>
  <c r="F53" i="27"/>
  <c r="F65" i="27"/>
  <c r="F77" i="27"/>
  <c r="F89" i="27"/>
  <c r="F101" i="27"/>
  <c r="F113" i="27"/>
  <c r="F125" i="27"/>
  <c r="F137" i="27"/>
  <c r="F149" i="27"/>
  <c r="F161" i="27"/>
  <c r="F173" i="27"/>
  <c r="F185" i="27"/>
  <c r="F197" i="27"/>
  <c r="F209" i="27"/>
  <c r="F221" i="27"/>
  <c r="F233" i="27"/>
  <c r="F245" i="27"/>
  <c r="F257" i="27"/>
  <c r="F269" i="27"/>
  <c r="F281" i="27"/>
  <c r="F293" i="27"/>
  <c r="F305" i="27"/>
  <c r="F317" i="27"/>
  <c r="F329" i="27"/>
  <c r="F341" i="27"/>
  <c r="F353" i="27"/>
  <c r="F365" i="27"/>
  <c r="F377" i="27"/>
  <c r="F389" i="27"/>
  <c r="F401" i="27"/>
  <c r="F413" i="27"/>
  <c r="F425" i="27"/>
  <c r="F437" i="27"/>
  <c r="F449" i="27"/>
  <c r="F461" i="27"/>
  <c r="F473" i="27"/>
  <c r="F485" i="27"/>
  <c r="F497" i="27"/>
  <c r="F509" i="27"/>
  <c r="F521" i="27"/>
  <c r="F533" i="27"/>
  <c r="F545" i="27"/>
  <c r="F557" i="27"/>
  <c r="F569" i="27"/>
  <c r="F581" i="27"/>
  <c r="F593" i="27"/>
  <c r="F605" i="27"/>
  <c r="F617" i="27"/>
  <c r="F629" i="27"/>
  <c r="F641" i="27"/>
  <c r="F653" i="27"/>
  <c r="F661" i="27"/>
  <c r="F6" i="27"/>
  <c r="F18" i="27"/>
  <c r="F30" i="27"/>
  <c r="F42" i="27"/>
  <c r="F54" i="27"/>
  <c r="F66" i="27"/>
  <c r="F78" i="27"/>
  <c r="F90" i="27"/>
  <c r="F102" i="27"/>
  <c r="F114" i="27"/>
  <c r="F126" i="27"/>
  <c r="F138" i="27"/>
  <c r="F150" i="27"/>
  <c r="F162" i="27"/>
  <c r="F174" i="27"/>
  <c r="F186" i="27"/>
  <c r="F198" i="27"/>
  <c r="F210" i="27"/>
  <c r="F222" i="27"/>
  <c r="F234" i="27"/>
  <c r="F246" i="27"/>
  <c r="F258" i="27"/>
  <c r="F270" i="27"/>
  <c r="F282" i="27"/>
  <c r="F294" i="27"/>
  <c r="F306" i="27"/>
  <c r="F318" i="27"/>
  <c r="F330" i="27"/>
  <c r="F342" i="27"/>
  <c r="F354" i="27"/>
  <c r="F366" i="27"/>
  <c r="F378" i="27"/>
  <c r="F390" i="27"/>
  <c r="F402" i="27"/>
  <c r="F414" i="27"/>
  <c r="F426" i="27"/>
  <c r="F438" i="27"/>
  <c r="F450" i="27"/>
  <c r="F462" i="27"/>
  <c r="F474" i="27"/>
  <c r="F486" i="27"/>
  <c r="F498" i="27"/>
  <c r="F510" i="27"/>
  <c r="F522" i="27"/>
  <c r="F534" i="27"/>
  <c r="F546" i="27"/>
  <c r="F558" i="27"/>
  <c r="F570" i="27"/>
  <c r="F582" i="27"/>
  <c r="F594" i="27"/>
  <c r="F606" i="27"/>
  <c r="F618" i="27"/>
  <c r="F630" i="27"/>
  <c r="F642" i="27"/>
  <c r="F654" i="27"/>
  <c r="E721" i="27"/>
  <c r="E715" i="27"/>
  <c r="E714" i="27"/>
  <c r="E697" i="27"/>
  <c r="E713" i="27"/>
  <c r="E668" i="27"/>
  <c r="E685" i="27"/>
  <c r="E700" i="27"/>
  <c r="E695" i="27"/>
  <c r="E673" i="27"/>
  <c r="E705" i="27"/>
  <c r="E674" i="27"/>
  <c r="E678" i="27"/>
  <c r="E708" i="27"/>
  <c r="E681" i="27"/>
  <c r="E712" i="27"/>
  <c r="E703" i="27"/>
  <c r="E663" i="27"/>
  <c r="E675" i="27"/>
  <c r="E706" i="27"/>
  <c r="E694" i="27"/>
  <c r="E711" i="27"/>
  <c r="E680" i="27"/>
  <c r="E709" i="27"/>
  <c r="E665" i="27"/>
  <c r="E672" i="27"/>
  <c r="E701" i="27"/>
  <c r="E677" i="27"/>
  <c r="E704" i="27"/>
  <c r="E683" i="27"/>
  <c r="E686" i="27"/>
  <c r="E693" i="27"/>
  <c r="E664" i="27"/>
  <c r="E702" i="27"/>
  <c r="E688" i="27"/>
  <c r="E671" i="27"/>
  <c r="E682" i="27"/>
  <c r="E707" i="27"/>
  <c r="E689" i="27"/>
  <c r="E696" i="27"/>
  <c r="E667" i="27"/>
  <c r="E698" i="27"/>
  <c r="E684" i="27"/>
  <c r="E669" i="27"/>
  <c r="E692" i="27"/>
  <c r="E687" i="27"/>
  <c r="E670" i="27"/>
  <c r="E662" i="27"/>
  <c r="E676" i="27"/>
  <c r="E690" i="27"/>
  <c r="E710" i="27"/>
  <c r="E699" i="27"/>
  <c r="E666" i="27"/>
  <c r="E679" i="27"/>
  <c r="E691" i="27"/>
  <c r="E12" i="27"/>
  <c r="E24" i="27"/>
  <c r="E716" i="27"/>
  <c r="E718" i="27"/>
  <c r="E725" i="27"/>
  <c r="E726" i="27"/>
  <c r="E717" i="27"/>
  <c r="E719" i="27"/>
  <c r="E720" i="27"/>
  <c r="E723" i="27"/>
  <c r="E724" i="27"/>
  <c r="E722" i="27"/>
  <c r="E7" i="27"/>
  <c r="E19" i="27"/>
  <c r="E31" i="27"/>
  <c r="E43" i="27"/>
  <c r="E55" i="27"/>
  <c r="E67" i="27"/>
  <c r="E79" i="27"/>
  <c r="E91" i="27"/>
  <c r="E103" i="27"/>
  <c r="E115" i="27"/>
  <c r="E127" i="27"/>
  <c r="E139" i="27"/>
  <c r="E151" i="27"/>
  <c r="E163" i="27"/>
  <c r="E175" i="27"/>
  <c r="E187" i="27"/>
  <c r="E199" i="27"/>
  <c r="E211" i="27"/>
  <c r="E223" i="27"/>
  <c r="E235" i="27"/>
  <c r="E247" i="27"/>
  <c r="E259" i="27"/>
  <c r="E271" i="27"/>
  <c r="E283" i="27"/>
  <c r="E295" i="27"/>
  <c r="E307" i="27"/>
  <c r="E319" i="27"/>
  <c r="E331" i="27"/>
  <c r="E343" i="27"/>
  <c r="E355" i="27"/>
  <c r="E367" i="27"/>
  <c r="E379" i="27"/>
  <c r="E391" i="27"/>
  <c r="E403" i="27"/>
  <c r="E415" i="27"/>
  <c r="E427" i="27"/>
  <c r="E439" i="27"/>
  <c r="E451" i="27"/>
  <c r="E463" i="27"/>
  <c r="E475" i="27"/>
  <c r="E487" i="27"/>
  <c r="E499" i="27"/>
  <c r="E511" i="27"/>
  <c r="E523" i="27"/>
  <c r="E535" i="27"/>
  <c r="E547" i="27"/>
  <c r="E559" i="27"/>
  <c r="E571" i="27"/>
  <c r="E583" i="27"/>
  <c r="E595" i="27"/>
  <c r="E607" i="27"/>
  <c r="E619" i="27"/>
  <c r="E631" i="27"/>
  <c r="E643" i="27"/>
  <c r="E655" i="27"/>
  <c r="E8" i="27"/>
  <c r="E56" i="27"/>
  <c r="E68" i="27"/>
  <c r="E80" i="27"/>
  <c r="E92" i="27"/>
  <c r="E104" i="27"/>
  <c r="E116" i="27"/>
  <c r="E128" i="27"/>
  <c r="E140" i="27"/>
  <c r="E152" i="27"/>
  <c r="E164" i="27"/>
  <c r="E176" i="27"/>
  <c r="E188" i="27"/>
  <c r="E200" i="27"/>
  <c r="E212" i="27"/>
  <c r="E224" i="27"/>
  <c r="E236" i="27"/>
  <c r="E248" i="27"/>
  <c r="E260" i="27"/>
  <c r="E272" i="27"/>
  <c r="E284" i="27"/>
  <c r="E296" i="27"/>
  <c r="E308" i="27"/>
  <c r="E320" i="27"/>
  <c r="E332" i="27"/>
  <c r="E344" i="27"/>
  <c r="E356" i="27"/>
  <c r="E368" i="27"/>
  <c r="E380" i="27"/>
  <c r="E392" i="27"/>
  <c r="E404" i="27"/>
  <c r="E416" i="27"/>
  <c r="E428" i="27"/>
  <c r="E440" i="27"/>
  <c r="E452" i="27"/>
  <c r="E464" i="27"/>
  <c r="E476" i="27"/>
  <c r="E488" i="27"/>
  <c r="E500" i="27"/>
  <c r="E512" i="27"/>
  <c r="E524" i="27"/>
  <c r="E536" i="27"/>
  <c r="E548" i="27"/>
  <c r="E560" i="27"/>
  <c r="E572" i="27"/>
  <c r="E584" i="27"/>
  <c r="E596" i="27"/>
  <c r="E608" i="27"/>
  <c r="E620" i="27"/>
  <c r="E632" i="27"/>
  <c r="E644" i="27"/>
  <c r="E656" i="27"/>
  <c r="E44" i="27"/>
  <c r="E21" i="27"/>
  <c r="E57" i="27"/>
  <c r="E81" i="27"/>
  <c r="E93" i="27"/>
  <c r="E105" i="27"/>
  <c r="E117" i="27"/>
  <c r="E129" i="27"/>
  <c r="E141" i="27"/>
  <c r="E153" i="27"/>
  <c r="E165" i="27"/>
  <c r="E177" i="27"/>
  <c r="E189" i="27"/>
  <c r="E201" i="27"/>
  <c r="E213" i="27"/>
  <c r="E225" i="27"/>
  <c r="E237" i="27"/>
  <c r="E249" i="27"/>
  <c r="E261" i="27"/>
  <c r="E273" i="27"/>
  <c r="E285" i="27"/>
  <c r="E297" i="27"/>
  <c r="E309" i="27"/>
  <c r="E321" i="27"/>
  <c r="E333" i="27"/>
  <c r="E345" i="27"/>
  <c r="E357" i="27"/>
  <c r="E369" i="27"/>
  <c r="E381" i="27"/>
  <c r="E393" i="27"/>
  <c r="E405" i="27"/>
  <c r="E417" i="27"/>
  <c r="E429" i="27"/>
  <c r="E441" i="27"/>
  <c r="E453" i="27"/>
  <c r="E465" i="27"/>
  <c r="E477" i="27"/>
  <c r="E489" i="27"/>
  <c r="E501" i="27"/>
  <c r="E513" i="27"/>
  <c r="E525" i="27"/>
  <c r="E537" i="27"/>
  <c r="E549" i="27"/>
  <c r="E561" i="27"/>
  <c r="E573" i="27"/>
  <c r="E585" i="27"/>
  <c r="E597" i="27"/>
  <c r="E609" i="27"/>
  <c r="E621" i="27"/>
  <c r="E633" i="27"/>
  <c r="E645" i="27"/>
  <c r="E657" i="27"/>
  <c r="E32" i="27"/>
  <c r="E33" i="27"/>
  <c r="E45" i="27"/>
  <c r="E69" i="27"/>
  <c r="E10" i="27"/>
  <c r="E22" i="27"/>
  <c r="E34" i="27"/>
  <c r="E46" i="27"/>
  <c r="E58" i="27"/>
  <c r="E70" i="27"/>
  <c r="E82" i="27"/>
  <c r="E94" i="27"/>
  <c r="E106" i="27"/>
  <c r="E118" i="27"/>
  <c r="E130" i="27"/>
  <c r="E142" i="27"/>
  <c r="E154" i="27"/>
  <c r="E166" i="27"/>
  <c r="E178" i="27"/>
  <c r="E190" i="27"/>
  <c r="E202" i="27"/>
  <c r="E214" i="27"/>
  <c r="E226" i="27"/>
  <c r="E238" i="27"/>
  <c r="E250" i="27"/>
  <c r="E262" i="27"/>
  <c r="E274" i="27"/>
  <c r="E286" i="27"/>
  <c r="E298" i="27"/>
  <c r="E310" i="27"/>
  <c r="E322" i="27"/>
  <c r="E334" i="27"/>
  <c r="E346" i="27"/>
  <c r="E358" i="27"/>
  <c r="E370" i="27"/>
  <c r="E382" i="27"/>
  <c r="E394" i="27"/>
  <c r="E406" i="27"/>
  <c r="E418" i="27"/>
  <c r="E430" i="27"/>
  <c r="E442" i="27"/>
  <c r="E454" i="27"/>
  <c r="E466" i="27"/>
  <c r="E478" i="27"/>
  <c r="E490" i="27"/>
  <c r="E502" i="27"/>
  <c r="E514" i="27"/>
  <c r="E526" i="27"/>
  <c r="E538" i="27"/>
  <c r="E550" i="27"/>
  <c r="E562" i="27"/>
  <c r="E574" i="27"/>
  <c r="E586" i="27"/>
  <c r="E598" i="27"/>
  <c r="E610" i="27"/>
  <c r="E622" i="27"/>
  <c r="E634" i="27"/>
  <c r="E646" i="27"/>
  <c r="E658" i="27"/>
  <c r="E20" i="27"/>
  <c r="E9" i="27"/>
  <c r="E11" i="27"/>
  <c r="E23" i="27"/>
  <c r="E35" i="27"/>
  <c r="E47" i="27"/>
  <c r="E59" i="27"/>
  <c r="E71" i="27"/>
  <c r="E83" i="27"/>
  <c r="E95" i="27"/>
  <c r="E107" i="27"/>
  <c r="E119" i="27"/>
  <c r="E131" i="27"/>
  <c r="E143" i="27"/>
  <c r="E155" i="27"/>
  <c r="E167" i="27"/>
  <c r="E179" i="27"/>
  <c r="E191" i="27"/>
  <c r="E203" i="27"/>
  <c r="E215" i="27"/>
  <c r="E227" i="27"/>
  <c r="E239" i="27"/>
  <c r="E251" i="27"/>
  <c r="E263" i="27"/>
  <c r="E275" i="27"/>
  <c r="E287" i="27"/>
  <c r="E299" i="27"/>
  <c r="E311" i="27"/>
  <c r="E323" i="27"/>
  <c r="E335" i="27"/>
  <c r="E347" i="27"/>
  <c r="E359" i="27"/>
  <c r="E371" i="27"/>
  <c r="E383" i="27"/>
  <c r="E395" i="27"/>
  <c r="E407" i="27"/>
  <c r="E419" i="27"/>
  <c r="E431" i="27"/>
  <c r="E443" i="27"/>
  <c r="E455" i="27"/>
  <c r="E467" i="27"/>
  <c r="E479" i="27"/>
  <c r="E491" i="27"/>
  <c r="E503" i="27"/>
  <c r="E515" i="27"/>
  <c r="E527" i="27"/>
  <c r="E539" i="27"/>
  <c r="E551" i="27"/>
  <c r="E563" i="27"/>
  <c r="E575" i="27"/>
  <c r="E587" i="27"/>
  <c r="E599" i="27"/>
  <c r="E611" i="27"/>
  <c r="E623" i="27"/>
  <c r="E635" i="27"/>
  <c r="E647" i="27"/>
  <c r="E659" i="27"/>
  <c r="E36" i="27"/>
  <c r="E48" i="27"/>
  <c r="E60" i="27"/>
  <c r="E72" i="27"/>
  <c r="E84" i="27"/>
  <c r="E96" i="27"/>
  <c r="E108" i="27"/>
  <c r="E120" i="27"/>
  <c r="E132" i="27"/>
  <c r="E144" i="27"/>
  <c r="E156" i="27"/>
  <c r="E168" i="27"/>
  <c r="E180" i="27"/>
  <c r="E192" i="27"/>
  <c r="E204" i="27"/>
  <c r="E216" i="27"/>
  <c r="E228" i="27"/>
  <c r="E240" i="27"/>
  <c r="E252" i="27"/>
  <c r="E264" i="27"/>
  <c r="E276" i="27"/>
  <c r="E288" i="27"/>
  <c r="E300" i="27"/>
  <c r="E312" i="27"/>
  <c r="E324" i="27"/>
  <c r="E336" i="27"/>
  <c r="E348" i="27"/>
  <c r="E360" i="27"/>
  <c r="E372" i="27"/>
  <c r="E384" i="27"/>
  <c r="E396" i="27"/>
  <c r="E408" i="27"/>
  <c r="E420" i="27"/>
  <c r="E432" i="27"/>
  <c r="E444" i="27"/>
  <c r="E456" i="27"/>
  <c r="E468" i="27"/>
  <c r="E480" i="27"/>
  <c r="E492" i="27"/>
  <c r="E504" i="27"/>
  <c r="E516" i="27"/>
  <c r="E528" i="27"/>
  <c r="E540" i="27"/>
  <c r="E552" i="27"/>
  <c r="E564" i="27"/>
  <c r="E576" i="27"/>
  <c r="E588" i="27"/>
  <c r="E600" i="27"/>
  <c r="E612" i="27"/>
  <c r="E624" i="27"/>
  <c r="E636" i="27"/>
  <c r="E648" i="27"/>
  <c r="E660" i="27"/>
  <c r="E13" i="27"/>
  <c r="E25" i="27"/>
  <c r="E37" i="27"/>
  <c r="E49" i="27"/>
  <c r="E61" i="27"/>
  <c r="E73" i="27"/>
  <c r="E85" i="27"/>
  <c r="E97" i="27"/>
  <c r="E109" i="27"/>
  <c r="E121" i="27"/>
  <c r="E133" i="27"/>
  <c r="E145" i="27"/>
  <c r="E157" i="27"/>
  <c r="E169" i="27"/>
  <c r="E181" i="27"/>
  <c r="E193" i="27"/>
  <c r="E205" i="27"/>
  <c r="E217" i="27"/>
  <c r="E229" i="27"/>
  <c r="E241" i="27"/>
  <c r="E253" i="27"/>
  <c r="E265" i="27"/>
  <c r="E277" i="27"/>
  <c r="E289" i="27"/>
  <c r="E301" i="27"/>
  <c r="E313" i="27"/>
  <c r="E325" i="27"/>
  <c r="E337" i="27"/>
  <c r="E349" i="27"/>
  <c r="E361" i="27"/>
  <c r="E373" i="27"/>
  <c r="E385" i="27"/>
  <c r="E397" i="27"/>
  <c r="E409" i="27"/>
  <c r="E421" i="27"/>
  <c r="E433" i="27"/>
  <c r="E445" i="27"/>
  <c r="E457" i="27"/>
  <c r="E469" i="27"/>
  <c r="E481" i="27"/>
  <c r="E493" i="27"/>
  <c r="E505" i="27"/>
  <c r="E517" i="27"/>
  <c r="E529" i="27"/>
  <c r="E541" i="27"/>
  <c r="E553" i="27"/>
  <c r="E565" i="27"/>
  <c r="E577" i="27"/>
  <c r="E589" i="27"/>
  <c r="E601" i="27"/>
  <c r="E613" i="27"/>
  <c r="E625" i="27"/>
  <c r="E637" i="27"/>
  <c r="E649" i="27"/>
  <c r="E14" i="27"/>
  <c r="E26" i="27"/>
  <c r="E38" i="27"/>
  <c r="E50" i="27"/>
  <c r="E62" i="27"/>
  <c r="E74" i="27"/>
  <c r="E86" i="27"/>
  <c r="E98" i="27"/>
  <c r="E110" i="27"/>
  <c r="E122" i="27"/>
  <c r="E134" i="27"/>
  <c r="E146" i="27"/>
  <c r="E158" i="27"/>
  <c r="E170" i="27"/>
  <c r="E182" i="27"/>
  <c r="E194" i="27"/>
  <c r="E206" i="27"/>
  <c r="E218" i="27"/>
  <c r="E230" i="27"/>
  <c r="E242" i="27"/>
  <c r="E254" i="27"/>
  <c r="E266" i="27"/>
  <c r="E278" i="27"/>
  <c r="E290" i="27"/>
  <c r="E302" i="27"/>
  <c r="E314" i="27"/>
  <c r="E326" i="27"/>
  <c r="E338" i="27"/>
  <c r="E350" i="27"/>
  <c r="E362" i="27"/>
  <c r="E374" i="27"/>
  <c r="E386" i="27"/>
  <c r="E398" i="27"/>
  <c r="E410" i="27"/>
  <c r="E422" i="27"/>
  <c r="E434" i="27"/>
  <c r="E446" i="27"/>
  <c r="E458" i="27"/>
  <c r="E470" i="27"/>
  <c r="E482" i="27"/>
  <c r="E494" i="27"/>
  <c r="E506" i="27"/>
  <c r="E518" i="27"/>
  <c r="E530" i="27"/>
  <c r="E542" i="27"/>
  <c r="E554" i="27"/>
  <c r="E566" i="27"/>
  <c r="E578" i="27"/>
  <c r="E590" i="27"/>
  <c r="E602" i="27"/>
  <c r="E614" i="27"/>
  <c r="E626" i="27"/>
  <c r="E638" i="27"/>
  <c r="E650" i="27"/>
  <c r="E15" i="27"/>
  <c r="E39" i="27"/>
  <c r="E51" i="27"/>
  <c r="E63" i="27"/>
  <c r="E75" i="27"/>
  <c r="E87" i="27"/>
  <c r="E99" i="27"/>
  <c r="E111" i="27"/>
  <c r="E123" i="27"/>
  <c r="E135" i="27"/>
  <c r="E147" i="27"/>
  <c r="E159" i="27"/>
  <c r="E171" i="27"/>
  <c r="E183" i="27"/>
  <c r="E195" i="27"/>
  <c r="E207" i="27"/>
  <c r="E219" i="27"/>
  <c r="E231" i="27"/>
  <c r="E243" i="27"/>
  <c r="E255" i="27"/>
  <c r="E267" i="27"/>
  <c r="E279" i="27"/>
  <c r="E291" i="27"/>
  <c r="E303" i="27"/>
  <c r="E315" i="27"/>
  <c r="E327" i="27"/>
  <c r="E339" i="27"/>
  <c r="E351" i="27"/>
  <c r="E363" i="27"/>
  <c r="E375" i="27"/>
  <c r="E387" i="27"/>
  <c r="E399" i="27"/>
  <c r="E411" i="27"/>
  <c r="E423" i="27"/>
  <c r="E435" i="27"/>
  <c r="E447" i="27"/>
  <c r="E459" i="27"/>
  <c r="E471" i="27"/>
  <c r="E483" i="27"/>
  <c r="E495" i="27"/>
  <c r="E507" i="27"/>
  <c r="E519" i="27"/>
  <c r="E531" i="27"/>
  <c r="E543" i="27"/>
  <c r="E555" i="27"/>
  <c r="E567" i="27"/>
  <c r="E579" i="27"/>
  <c r="E591" i="27"/>
  <c r="E603" i="27"/>
  <c r="E615" i="27"/>
  <c r="E627" i="27"/>
  <c r="E639" i="27"/>
  <c r="E651" i="27"/>
  <c r="E52" i="27"/>
  <c r="E76" i="27"/>
  <c r="E112" i="27"/>
  <c r="E136" i="27"/>
  <c r="E160" i="27"/>
  <c r="E172" i="27"/>
  <c r="E184" i="27"/>
  <c r="E196" i="27"/>
  <c r="E208" i="27"/>
  <c r="E220" i="27"/>
  <c r="E232" i="27"/>
  <c r="E244" i="27"/>
  <c r="E256" i="27"/>
  <c r="E268" i="27"/>
  <c r="E280" i="27"/>
  <c r="E292" i="27"/>
  <c r="E304" i="27"/>
  <c r="E316" i="27"/>
  <c r="E328" i="27"/>
  <c r="E340" i="27"/>
  <c r="E352" i="27"/>
  <c r="E364" i="27"/>
  <c r="E376" i="27"/>
  <c r="E388" i="27"/>
  <c r="E400" i="27"/>
  <c r="E412" i="27"/>
  <c r="E424" i="27"/>
  <c r="E436" i="27"/>
  <c r="E448" i="27"/>
  <c r="E460" i="27"/>
  <c r="E472" i="27"/>
  <c r="E484" i="27"/>
  <c r="E496" i="27"/>
  <c r="E508" i="27"/>
  <c r="E520" i="27"/>
  <c r="E532" i="27"/>
  <c r="E544" i="27"/>
  <c r="E556" i="27"/>
  <c r="E568" i="27"/>
  <c r="E580" i="27"/>
  <c r="E592" i="27"/>
  <c r="E604" i="27"/>
  <c r="E616" i="27"/>
  <c r="E628" i="27"/>
  <c r="E640" i="27"/>
  <c r="E652" i="27"/>
  <c r="E27" i="27"/>
  <c r="E28" i="27"/>
  <c r="E64" i="27"/>
  <c r="E100" i="27"/>
  <c r="E124" i="27"/>
  <c r="E148" i="27"/>
  <c r="E17" i="27"/>
  <c r="E29" i="27"/>
  <c r="E41" i="27"/>
  <c r="E53" i="27"/>
  <c r="E65" i="27"/>
  <c r="E77" i="27"/>
  <c r="E89" i="27"/>
  <c r="E101" i="27"/>
  <c r="E113" i="27"/>
  <c r="E125" i="27"/>
  <c r="E137" i="27"/>
  <c r="E149" i="27"/>
  <c r="E161" i="27"/>
  <c r="E173" i="27"/>
  <c r="E185" i="27"/>
  <c r="E197" i="27"/>
  <c r="E209" i="27"/>
  <c r="E221" i="27"/>
  <c r="E233" i="27"/>
  <c r="E245" i="27"/>
  <c r="E257" i="27"/>
  <c r="E269" i="27"/>
  <c r="E281" i="27"/>
  <c r="E293" i="27"/>
  <c r="E305" i="27"/>
  <c r="E317" i="27"/>
  <c r="E329" i="27"/>
  <c r="E341" i="27"/>
  <c r="E353" i="27"/>
  <c r="E365" i="27"/>
  <c r="E377" i="27"/>
  <c r="E389" i="27"/>
  <c r="E401" i="27"/>
  <c r="E413" i="27"/>
  <c r="E425" i="27"/>
  <c r="E437" i="27"/>
  <c r="E449" i="27"/>
  <c r="E461" i="27"/>
  <c r="E473" i="27"/>
  <c r="E485" i="27"/>
  <c r="E497" i="27"/>
  <c r="E509" i="27"/>
  <c r="E521" i="27"/>
  <c r="E533" i="27"/>
  <c r="E545" i="27"/>
  <c r="E557" i="27"/>
  <c r="E569" i="27"/>
  <c r="E581" i="27"/>
  <c r="E593" i="27"/>
  <c r="E605" i="27"/>
  <c r="E617" i="27"/>
  <c r="E629" i="27"/>
  <c r="E641" i="27"/>
  <c r="E653" i="27"/>
  <c r="E661" i="27"/>
  <c r="E16" i="27"/>
  <c r="E40" i="27"/>
  <c r="E88" i="27"/>
  <c r="E6" i="27"/>
  <c r="E18" i="27"/>
  <c r="E30" i="27"/>
  <c r="E42" i="27"/>
  <c r="E54" i="27"/>
  <c r="E66" i="27"/>
  <c r="E78" i="27"/>
  <c r="E90" i="27"/>
  <c r="E102" i="27"/>
  <c r="E114" i="27"/>
  <c r="E126" i="27"/>
  <c r="E138" i="27"/>
  <c r="E150" i="27"/>
  <c r="E162" i="27"/>
  <c r="E174" i="27"/>
  <c r="E186" i="27"/>
  <c r="E198" i="27"/>
  <c r="E210" i="27"/>
  <c r="E222" i="27"/>
  <c r="E234" i="27"/>
  <c r="E246" i="27"/>
  <c r="E258" i="27"/>
  <c r="E270" i="27"/>
  <c r="E282" i="27"/>
  <c r="E294" i="27"/>
  <c r="E306" i="27"/>
  <c r="E318" i="27"/>
  <c r="E330" i="27"/>
  <c r="E342" i="27"/>
  <c r="E354" i="27"/>
  <c r="E366" i="27"/>
  <c r="E378" i="27"/>
  <c r="E390" i="27"/>
  <c r="E402" i="27"/>
  <c r="E414" i="27"/>
  <c r="E426" i="27"/>
  <c r="E438" i="27"/>
  <c r="E450" i="27"/>
  <c r="E462" i="27"/>
  <c r="E474" i="27"/>
  <c r="E486" i="27"/>
  <c r="E498" i="27"/>
  <c r="E510" i="27"/>
  <c r="E522" i="27"/>
  <c r="E534" i="27"/>
  <c r="E546" i="27"/>
  <c r="E558" i="27"/>
  <c r="E570" i="27"/>
  <c r="E582" i="27"/>
  <c r="E594" i="27"/>
  <c r="E606" i="27"/>
  <c r="E618" i="27"/>
  <c r="E630" i="27"/>
  <c r="E642" i="27"/>
  <c r="E654" i="27"/>
  <c r="B71" i="27"/>
  <c r="D71" i="27"/>
  <c r="B167" i="27"/>
  <c r="D167" i="27"/>
  <c r="B299" i="27"/>
  <c r="D299" i="27"/>
  <c r="B419" i="27"/>
  <c r="D419" i="27"/>
  <c r="B563" i="27"/>
  <c r="D563" i="27"/>
  <c r="B48" i="27"/>
  <c r="D48" i="27"/>
  <c r="B156" i="27"/>
  <c r="D156" i="27"/>
  <c r="B264" i="27"/>
  <c r="D264" i="27"/>
  <c r="B396" i="27"/>
  <c r="D396" i="27"/>
  <c r="B648" i="27"/>
  <c r="D648" i="27"/>
  <c r="B25" i="27"/>
  <c r="D25" i="27"/>
  <c r="B133" i="27"/>
  <c r="D133" i="27"/>
  <c r="B205" i="27"/>
  <c r="D205" i="27"/>
  <c r="B325" i="27"/>
  <c r="D325" i="27"/>
  <c r="B481" i="27"/>
  <c r="D481" i="27"/>
  <c r="B7" i="27"/>
  <c r="D7" i="27"/>
  <c r="B19" i="27"/>
  <c r="D19" i="27"/>
  <c r="B31" i="27"/>
  <c r="D31" i="27"/>
  <c r="B43" i="27"/>
  <c r="D43" i="27"/>
  <c r="B55" i="27"/>
  <c r="D55" i="27"/>
  <c r="B67" i="27"/>
  <c r="D67" i="27"/>
  <c r="B79" i="27"/>
  <c r="D79" i="27"/>
  <c r="B91" i="27"/>
  <c r="D91" i="27"/>
  <c r="B103" i="27"/>
  <c r="D103" i="27"/>
  <c r="B115" i="27"/>
  <c r="D115" i="27"/>
  <c r="B127" i="27"/>
  <c r="D127" i="27"/>
  <c r="B139" i="27"/>
  <c r="D139" i="27"/>
  <c r="B151" i="27"/>
  <c r="D151" i="27"/>
  <c r="B163" i="27"/>
  <c r="D163" i="27"/>
  <c r="B175" i="27"/>
  <c r="D175" i="27"/>
  <c r="B187" i="27"/>
  <c r="D187" i="27"/>
  <c r="B199" i="27"/>
  <c r="D199" i="27"/>
  <c r="B211" i="27"/>
  <c r="D211" i="27"/>
  <c r="B223" i="27"/>
  <c r="D223" i="27"/>
  <c r="B235" i="27"/>
  <c r="D235" i="27"/>
  <c r="B247" i="27"/>
  <c r="D247" i="27"/>
  <c r="B259" i="27"/>
  <c r="D259" i="27"/>
  <c r="B271" i="27"/>
  <c r="D271" i="27"/>
  <c r="B283" i="27"/>
  <c r="D283" i="27"/>
  <c r="B295" i="27"/>
  <c r="D295" i="27"/>
  <c r="B307" i="27"/>
  <c r="D307" i="27"/>
  <c r="B319" i="27"/>
  <c r="D319" i="27"/>
  <c r="B331" i="27"/>
  <c r="D331" i="27"/>
  <c r="B343" i="27"/>
  <c r="D343" i="27"/>
  <c r="B355" i="27"/>
  <c r="D355" i="27"/>
  <c r="B367" i="27"/>
  <c r="D367" i="27"/>
  <c r="B379" i="27"/>
  <c r="D379" i="27"/>
  <c r="B391" i="27"/>
  <c r="D391" i="27"/>
  <c r="B403" i="27"/>
  <c r="D403" i="27"/>
  <c r="B415" i="27"/>
  <c r="D415" i="27"/>
  <c r="B427" i="27"/>
  <c r="D427" i="27"/>
  <c r="B439" i="27"/>
  <c r="D439" i="27"/>
  <c r="B451" i="27"/>
  <c r="D451" i="27"/>
  <c r="B463" i="27"/>
  <c r="D463" i="27"/>
  <c r="B475" i="27"/>
  <c r="D475" i="27"/>
  <c r="B487" i="27"/>
  <c r="D487" i="27"/>
  <c r="B499" i="27"/>
  <c r="D499" i="27"/>
  <c r="B511" i="27"/>
  <c r="D511" i="27"/>
  <c r="B523" i="27"/>
  <c r="D523" i="27"/>
  <c r="B535" i="27"/>
  <c r="D535" i="27"/>
  <c r="B547" i="27"/>
  <c r="D547" i="27"/>
  <c r="B559" i="27"/>
  <c r="D559" i="27"/>
  <c r="B571" i="27"/>
  <c r="D571" i="27"/>
  <c r="B583" i="27"/>
  <c r="D583" i="27"/>
  <c r="B595" i="27"/>
  <c r="D595" i="27"/>
  <c r="B607" i="27"/>
  <c r="D607" i="27"/>
  <c r="B619" i="27"/>
  <c r="D619" i="27"/>
  <c r="B631" i="27"/>
  <c r="D631" i="27"/>
  <c r="B643" i="27"/>
  <c r="D643" i="27"/>
  <c r="B655" i="27"/>
  <c r="D655" i="27"/>
  <c r="B95" i="27"/>
  <c r="D95" i="27"/>
  <c r="B203" i="27"/>
  <c r="D203" i="27"/>
  <c r="B287" i="27"/>
  <c r="D287" i="27"/>
  <c r="B383" i="27"/>
  <c r="D383" i="27"/>
  <c r="B491" i="27"/>
  <c r="D491" i="27"/>
  <c r="B623" i="27"/>
  <c r="D623" i="27"/>
  <c r="B96" i="27"/>
  <c r="D96" i="27"/>
  <c r="B180" i="27"/>
  <c r="D180" i="27"/>
  <c r="B276" i="27"/>
  <c r="D276" i="27"/>
  <c r="B372" i="27"/>
  <c r="D372" i="27"/>
  <c r="B456" i="27"/>
  <c r="D456" i="27"/>
  <c r="B528" i="27"/>
  <c r="D528" i="27"/>
  <c r="B612" i="27"/>
  <c r="D612" i="27"/>
  <c r="B85" i="27"/>
  <c r="D85" i="27"/>
  <c r="B301" i="27"/>
  <c r="D301" i="27"/>
  <c r="B8" i="27"/>
  <c r="D8" i="27"/>
  <c r="D44" i="27"/>
  <c r="B44" i="27"/>
  <c r="B80" i="27"/>
  <c r="D80" i="27"/>
  <c r="B104" i="27"/>
  <c r="D104" i="27"/>
  <c r="D116" i="27"/>
  <c r="B116" i="27"/>
  <c r="B128" i="27"/>
  <c r="D128" i="27"/>
  <c r="B164" i="27"/>
  <c r="D164" i="27"/>
  <c r="B176" i="27"/>
  <c r="D176" i="27"/>
  <c r="B188" i="27"/>
  <c r="D188" i="27"/>
  <c r="B200" i="27"/>
  <c r="D200" i="27"/>
  <c r="B212" i="27"/>
  <c r="D212" i="27"/>
  <c r="B224" i="27"/>
  <c r="D224" i="27"/>
  <c r="D236" i="27"/>
  <c r="B236" i="27"/>
  <c r="B248" i="27"/>
  <c r="D248" i="27"/>
  <c r="B260" i="27"/>
  <c r="D260" i="27"/>
  <c r="B272" i="27"/>
  <c r="D272" i="27"/>
  <c r="B284" i="27"/>
  <c r="D284" i="27"/>
  <c r="B296" i="27"/>
  <c r="D296" i="27"/>
  <c r="B308" i="27"/>
  <c r="D308" i="27"/>
  <c r="D320" i="27"/>
  <c r="B320" i="27"/>
  <c r="D332" i="27"/>
  <c r="B332" i="27"/>
  <c r="B344" i="27"/>
  <c r="D344" i="27"/>
  <c r="B356" i="27"/>
  <c r="D356" i="27"/>
  <c r="B368" i="27"/>
  <c r="D368" i="27"/>
  <c r="B380" i="27"/>
  <c r="D380" i="27"/>
  <c r="B392" i="27"/>
  <c r="D392" i="27"/>
  <c r="B404" i="27"/>
  <c r="D404" i="27"/>
  <c r="D416" i="27"/>
  <c r="B416" i="27"/>
  <c r="B428" i="27"/>
  <c r="D428" i="27"/>
  <c r="D440" i="27"/>
  <c r="B440" i="27"/>
  <c r="B452" i="27"/>
  <c r="D452" i="27"/>
  <c r="D464" i="27"/>
  <c r="B464" i="27"/>
  <c r="B476" i="27"/>
  <c r="D476" i="27"/>
  <c r="B488" i="27"/>
  <c r="D488" i="27"/>
  <c r="B500" i="27"/>
  <c r="D500" i="27"/>
  <c r="B512" i="27"/>
  <c r="D512" i="27"/>
  <c r="D524" i="27"/>
  <c r="B524" i="27"/>
  <c r="B536" i="27"/>
  <c r="D536" i="27"/>
  <c r="B548" i="27"/>
  <c r="D548" i="27"/>
  <c r="D560" i="27"/>
  <c r="B560" i="27"/>
  <c r="B572" i="27"/>
  <c r="D572" i="27"/>
  <c r="B584" i="27"/>
  <c r="D584" i="27"/>
  <c r="B596" i="27"/>
  <c r="D596" i="27"/>
  <c r="D608" i="27"/>
  <c r="B608" i="27"/>
  <c r="B620" i="27"/>
  <c r="D620" i="27"/>
  <c r="B632" i="27"/>
  <c r="D632" i="27"/>
  <c r="B644" i="27"/>
  <c r="D644" i="27"/>
  <c r="B656" i="27"/>
  <c r="D656" i="27"/>
  <c r="B11" i="27"/>
  <c r="D11" i="27"/>
  <c r="B119" i="27"/>
  <c r="D119" i="27"/>
  <c r="B215" i="27"/>
  <c r="D215" i="27"/>
  <c r="B347" i="27"/>
  <c r="D347" i="27"/>
  <c r="B527" i="27"/>
  <c r="D527" i="27"/>
  <c r="B84" i="27"/>
  <c r="D84" i="27"/>
  <c r="B192" i="27"/>
  <c r="D192" i="27"/>
  <c r="B300" i="27"/>
  <c r="D300" i="27"/>
  <c r="B408" i="27"/>
  <c r="D408" i="27"/>
  <c r="B492" i="27"/>
  <c r="D492" i="27"/>
  <c r="B540" i="27"/>
  <c r="D540" i="27"/>
  <c r="B636" i="27"/>
  <c r="D636" i="27"/>
  <c r="B109" i="27"/>
  <c r="D109" i="27"/>
  <c r="B361" i="27"/>
  <c r="D361" i="27"/>
  <c r="B32" i="27"/>
  <c r="D32" i="27"/>
  <c r="D68" i="27"/>
  <c r="B68" i="27"/>
  <c r="B152" i="27"/>
  <c r="D152" i="27"/>
  <c r="D9" i="27"/>
  <c r="B9" i="27"/>
  <c r="D21" i="27"/>
  <c r="B21" i="27"/>
  <c r="D33" i="27"/>
  <c r="B33" i="27"/>
  <c r="D45" i="27"/>
  <c r="B45" i="27"/>
  <c r="D57" i="27"/>
  <c r="B57" i="27"/>
  <c r="D69" i="27"/>
  <c r="B69" i="27"/>
  <c r="D81" i="27"/>
  <c r="B81" i="27"/>
  <c r="D93" i="27"/>
  <c r="B93" i="27"/>
  <c r="D105" i="27"/>
  <c r="B105" i="27"/>
  <c r="D117" i="27"/>
  <c r="B117" i="27"/>
  <c r="D129" i="27"/>
  <c r="B129" i="27"/>
  <c r="D141" i="27"/>
  <c r="B141" i="27"/>
  <c r="D153" i="27"/>
  <c r="B153" i="27"/>
  <c r="D165" i="27"/>
  <c r="B165" i="27"/>
  <c r="D177" i="27"/>
  <c r="B177" i="27"/>
  <c r="D189" i="27"/>
  <c r="B189" i="27"/>
  <c r="D201" i="27"/>
  <c r="B201" i="27"/>
  <c r="D213" i="27"/>
  <c r="B213" i="27"/>
  <c r="D225" i="27"/>
  <c r="B225" i="27"/>
  <c r="D237" i="27"/>
  <c r="B237" i="27"/>
  <c r="D249" i="27"/>
  <c r="B249" i="27"/>
  <c r="D261" i="27"/>
  <c r="B261" i="27"/>
  <c r="D273" i="27"/>
  <c r="B273" i="27"/>
  <c r="D285" i="27"/>
  <c r="B285" i="27"/>
  <c r="D297" i="27"/>
  <c r="B297" i="27"/>
  <c r="D309" i="27"/>
  <c r="B309" i="27"/>
  <c r="B321" i="27"/>
  <c r="D321" i="27"/>
  <c r="D333" i="27"/>
  <c r="B333" i="27"/>
  <c r="D345" i="27"/>
  <c r="B345" i="27"/>
  <c r="D357" i="27"/>
  <c r="B357" i="27"/>
  <c r="D369" i="27"/>
  <c r="B369" i="27"/>
  <c r="D381" i="27"/>
  <c r="B381" i="27"/>
  <c r="D393" i="27"/>
  <c r="B393" i="27"/>
  <c r="D405" i="27"/>
  <c r="B405" i="27"/>
  <c r="D417" i="27"/>
  <c r="B417" i="27"/>
  <c r="D429" i="27"/>
  <c r="B429" i="27"/>
  <c r="D441" i="27"/>
  <c r="B441" i="27"/>
  <c r="D453" i="27"/>
  <c r="B453" i="27"/>
  <c r="B465" i="27"/>
  <c r="D465" i="27"/>
  <c r="D477" i="27"/>
  <c r="B477" i="27"/>
  <c r="D489" i="27"/>
  <c r="B489" i="27"/>
  <c r="D501" i="27"/>
  <c r="B501" i="27"/>
  <c r="D513" i="27"/>
  <c r="B513" i="27"/>
  <c r="D525" i="27"/>
  <c r="B525" i="27"/>
  <c r="D537" i="27"/>
  <c r="B537" i="27"/>
  <c r="D549" i="27"/>
  <c r="B549" i="27"/>
  <c r="D561" i="27"/>
  <c r="B561" i="27"/>
  <c r="D573" i="27"/>
  <c r="B573" i="27"/>
  <c r="D585" i="27"/>
  <c r="B585" i="27"/>
  <c r="D597" i="27"/>
  <c r="B597" i="27"/>
  <c r="B609" i="27"/>
  <c r="D609" i="27"/>
  <c r="D621" i="27"/>
  <c r="B621" i="27"/>
  <c r="D633" i="27"/>
  <c r="B633" i="27"/>
  <c r="D645" i="27"/>
  <c r="B645" i="27"/>
  <c r="D657" i="27"/>
  <c r="B657" i="27"/>
  <c r="B83" i="27"/>
  <c r="D83" i="27"/>
  <c r="B179" i="27"/>
  <c r="D179" i="27"/>
  <c r="B263" i="27"/>
  <c r="D263" i="27"/>
  <c r="B371" i="27"/>
  <c r="D371" i="27"/>
  <c r="B479" i="27"/>
  <c r="D479" i="27"/>
  <c r="B635" i="27"/>
  <c r="D635" i="27"/>
  <c r="B108" i="27"/>
  <c r="D108" i="27"/>
  <c r="B240" i="27"/>
  <c r="D240" i="27"/>
  <c r="B360" i="27"/>
  <c r="D360" i="27"/>
  <c r="B468" i="27"/>
  <c r="D468" i="27"/>
  <c r="B600" i="27"/>
  <c r="D600" i="27"/>
  <c r="B217" i="27"/>
  <c r="D217" i="27"/>
  <c r="B20" i="27"/>
  <c r="D20" i="27"/>
  <c r="B56" i="27"/>
  <c r="D56" i="27"/>
  <c r="B92" i="27"/>
  <c r="D92" i="27"/>
  <c r="D140" i="27"/>
  <c r="B140" i="27"/>
  <c r="D10" i="27"/>
  <c r="B10" i="27"/>
  <c r="D22" i="27"/>
  <c r="B22" i="27"/>
  <c r="D34" i="27"/>
  <c r="B34" i="27"/>
  <c r="D46" i="27"/>
  <c r="B46" i="27"/>
  <c r="D58" i="27"/>
  <c r="B58" i="27"/>
  <c r="D70" i="27"/>
  <c r="B70" i="27"/>
  <c r="D82" i="27"/>
  <c r="B82" i="27"/>
  <c r="D94" i="27"/>
  <c r="B94" i="27"/>
  <c r="D106" i="27"/>
  <c r="B106" i="27"/>
  <c r="D118" i="27"/>
  <c r="B118" i="27"/>
  <c r="D130" i="27"/>
  <c r="B130" i="27"/>
  <c r="D142" i="27"/>
  <c r="B142" i="27"/>
  <c r="D154" i="27"/>
  <c r="B154" i="27"/>
  <c r="D166" i="27"/>
  <c r="B166" i="27"/>
  <c r="D178" i="27"/>
  <c r="B178" i="27"/>
  <c r="D190" i="27"/>
  <c r="B190" i="27"/>
  <c r="D202" i="27"/>
  <c r="B202" i="27"/>
  <c r="D214" i="27"/>
  <c r="B214" i="27"/>
  <c r="D226" i="27"/>
  <c r="B226" i="27"/>
  <c r="B238" i="27"/>
  <c r="D238" i="27"/>
  <c r="D250" i="27"/>
  <c r="B250" i="27"/>
  <c r="D262" i="27"/>
  <c r="B262" i="27"/>
  <c r="D274" i="27"/>
  <c r="B274" i="27"/>
  <c r="D286" i="27"/>
  <c r="B286" i="27"/>
  <c r="D298" i="27"/>
  <c r="B298" i="27"/>
  <c r="D310" i="27"/>
  <c r="B310" i="27"/>
  <c r="B322" i="27"/>
  <c r="D322" i="27"/>
  <c r="D334" i="27"/>
  <c r="B334" i="27"/>
  <c r="D346" i="27"/>
  <c r="B346" i="27"/>
  <c r="D358" i="27"/>
  <c r="B358" i="27"/>
  <c r="D370" i="27"/>
  <c r="B370" i="27"/>
  <c r="B382" i="27"/>
  <c r="D382" i="27"/>
  <c r="D394" i="27"/>
  <c r="B394" i="27"/>
  <c r="D406" i="27"/>
  <c r="B406" i="27"/>
  <c r="D418" i="27"/>
  <c r="B418" i="27"/>
  <c r="D430" i="27"/>
  <c r="B430" i="27"/>
  <c r="D442" i="27"/>
  <c r="B442" i="27"/>
  <c r="D454" i="27"/>
  <c r="B454" i="27"/>
  <c r="B466" i="27"/>
  <c r="D466" i="27"/>
  <c r="D478" i="27"/>
  <c r="B478" i="27"/>
  <c r="D490" i="27"/>
  <c r="B490" i="27"/>
  <c r="D502" i="27"/>
  <c r="B502" i="27"/>
  <c r="D514" i="27"/>
  <c r="B514" i="27"/>
  <c r="B526" i="27"/>
  <c r="D526" i="27"/>
  <c r="D538" i="27"/>
  <c r="B538" i="27"/>
  <c r="D550" i="27"/>
  <c r="B550" i="27"/>
  <c r="D562" i="27"/>
  <c r="B562" i="27"/>
  <c r="D574" i="27"/>
  <c r="B574" i="27"/>
  <c r="D586" i="27"/>
  <c r="B586" i="27"/>
  <c r="D598" i="27"/>
  <c r="B598" i="27"/>
  <c r="B610" i="27"/>
  <c r="D610" i="27"/>
  <c r="D622" i="27"/>
  <c r="B622" i="27"/>
  <c r="D634" i="27"/>
  <c r="B634" i="27"/>
  <c r="D646" i="27"/>
  <c r="B646" i="27"/>
  <c r="D658" i="27"/>
  <c r="B658" i="27"/>
  <c r="B59" i="27"/>
  <c r="D59" i="27"/>
  <c r="B143" i="27"/>
  <c r="D143" i="27"/>
  <c r="B251" i="27"/>
  <c r="D251" i="27"/>
  <c r="B335" i="27"/>
  <c r="D335" i="27"/>
  <c r="B407" i="27"/>
  <c r="D407" i="27"/>
  <c r="B467" i="27"/>
  <c r="D467" i="27"/>
  <c r="B539" i="27"/>
  <c r="D539" i="27"/>
  <c r="B575" i="27"/>
  <c r="D575" i="27"/>
  <c r="B599" i="27"/>
  <c r="D599" i="27"/>
  <c r="B647" i="27"/>
  <c r="D647" i="27"/>
  <c r="B24" i="27"/>
  <c r="D24" i="27"/>
  <c r="B132" i="27"/>
  <c r="D132" i="27"/>
  <c r="B216" i="27"/>
  <c r="D216" i="27"/>
  <c r="B324" i="27"/>
  <c r="D324" i="27"/>
  <c r="B432" i="27"/>
  <c r="D432" i="27"/>
  <c r="B576" i="27"/>
  <c r="D576" i="27"/>
  <c r="B37" i="27"/>
  <c r="D37" i="27"/>
  <c r="B121" i="27"/>
  <c r="D121" i="27"/>
  <c r="B193" i="27"/>
  <c r="D193" i="27"/>
  <c r="B277" i="27"/>
  <c r="D277" i="27"/>
  <c r="B373" i="27"/>
  <c r="D373" i="27"/>
  <c r="B433" i="27"/>
  <c r="D433" i="27"/>
  <c r="B493" i="27"/>
  <c r="D493" i="27"/>
  <c r="B553" i="27"/>
  <c r="D553" i="27"/>
  <c r="B601" i="27"/>
  <c r="D601" i="27"/>
  <c r="B14" i="27"/>
  <c r="D14" i="27"/>
  <c r="B26" i="27"/>
  <c r="D26" i="27"/>
  <c r="B38" i="27"/>
  <c r="D38" i="27"/>
  <c r="B50" i="27"/>
  <c r="D50" i="27"/>
  <c r="B62" i="27"/>
  <c r="D62" i="27"/>
  <c r="B74" i="27"/>
  <c r="D74" i="27"/>
  <c r="B86" i="27"/>
  <c r="D86" i="27"/>
  <c r="B98" i="27"/>
  <c r="D98" i="27"/>
  <c r="B110" i="27"/>
  <c r="D110" i="27"/>
  <c r="B122" i="27"/>
  <c r="D122" i="27"/>
  <c r="B134" i="27"/>
  <c r="D134" i="27"/>
  <c r="B146" i="27"/>
  <c r="D146" i="27"/>
  <c r="B158" i="27"/>
  <c r="D158" i="27"/>
  <c r="B170" i="27"/>
  <c r="D170" i="27"/>
  <c r="B182" i="27"/>
  <c r="D182" i="27"/>
  <c r="B194" i="27"/>
  <c r="D194" i="27"/>
  <c r="B206" i="27"/>
  <c r="D206" i="27"/>
  <c r="B218" i="27"/>
  <c r="D218" i="27"/>
  <c r="B230" i="27"/>
  <c r="D230" i="27"/>
  <c r="B242" i="27"/>
  <c r="D242" i="27"/>
  <c r="B254" i="27"/>
  <c r="D254" i="27"/>
  <c r="B266" i="27"/>
  <c r="D266" i="27"/>
  <c r="B278" i="27"/>
  <c r="D278" i="27"/>
  <c r="B290" i="27"/>
  <c r="D290" i="27"/>
  <c r="B302" i="27"/>
  <c r="D302" i="27"/>
  <c r="B314" i="27"/>
  <c r="D314" i="27"/>
  <c r="B326" i="27"/>
  <c r="D326" i="27"/>
  <c r="B338" i="27"/>
  <c r="D338" i="27"/>
  <c r="B350" i="27"/>
  <c r="D350" i="27"/>
  <c r="B362" i="27"/>
  <c r="D362" i="27"/>
  <c r="B374" i="27"/>
  <c r="D374" i="27"/>
  <c r="B386" i="27"/>
  <c r="D386" i="27"/>
  <c r="B398" i="27"/>
  <c r="D398" i="27"/>
  <c r="B410" i="27"/>
  <c r="D410" i="27"/>
  <c r="B422" i="27"/>
  <c r="D422" i="27"/>
  <c r="B434" i="27"/>
  <c r="D434" i="27"/>
  <c r="B446" i="27"/>
  <c r="D446" i="27"/>
  <c r="B458" i="27"/>
  <c r="D458" i="27"/>
  <c r="B470" i="27"/>
  <c r="D470" i="27"/>
  <c r="B482" i="27"/>
  <c r="D482" i="27"/>
  <c r="B494" i="27"/>
  <c r="D494" i="27"/>
  <c r="B506" i="27"/>
  <c r="D506" i="27"/>
  <c r="B518" i="27"/>
  <c r="D518" i="27"/>
  <c r="B530" i="27"/>
  <c r="D530" i="27"/>
  <c r="B542" i="27"/>
  <c r="D542" i="27"/>
  <c r="B554" i="27"/>
  <c r="D554" i="27"/>
  <c r="B566" i="27"/>
  <c r="D566" i="27"/>
  <c r="B578" i="27"/>
  <c r="D578" i="27"/>
  <c r="B590" i="27"/>
  <c r="D590" i="27"/>
  <c r="B602" i="27"/>
  <c r="D602" i="27"/>
  <c r="B614" i="27"/>
  <c r="D614" i="27"/>
  <c r="B626" i="27"/>
  <c r="D626" i="27"/>
  <c r="B638" i="27"/>
  <c r="D638" i="27"/>
  <c r="B650" i="27"/>
  <c r="D650" i="27"/>
  <c r="B35" i="27"/>
  <c r="D35" i="27"/>
  <c r="B191" i="27"/>
  <c r="D191" i="27"/>
  <c r="B311" i="27"/>
  <c r="D311" i="27"/>
  <c r="B503" i="27"/>
  <c r="D503" i="27"/>
  <c r="B724" i="27"/>
  <c r="B717" i="27"/>
  <c r="B725" i="27"/>
  <c r="B726" i="27"/>
  <c r="B718" i="27"/>
  <c r="B716" i="27"/>
  <c r="B721" i="27"/>
  <c r="B719" i="27"/>
  <c r="B722" i="27"/>
  <c r="B720" i="27"/>
  <c r="B723" i="27"/>
  <c r="B715" i="27"/>
  <c r="B714" i="27"/>
  <c r="B698" i="27"/>
  <c r="B683" i="27"/>
  <c r="B691" i="27"/>
  <c r="B686" i="27"/>
  <c r="B697" i="27"/>
  <c r="B703" i="27"/>
  <c r="B669" i="27"/>
  <c r="B690" i="27"/>
  <c r="B705" i="27"/>
  <c r="B694" i="27"/>
  <c r="B695" i="27"/>
  <c r="B692" i="27"/>
  <c r="B700" i="27"/>
  <c r="B667" i="27"/>
  <c r="B672" i="27"/>
  <c r="B713" i="27"/>
  <c r="B701" i="27"/>
  <c r="B708" i="27"/>
  <c r="B712" i="27"/>
  <c r="B704" i="27"/>
  <c r="B668" i="27"/>
  <c r="B676" i="27"/>
  <c r="B663" i="27"/>
  <c r="B693" i="27"/>
  <c r="B689" i="27"/>
  <c r="B677" i="27"/>
  <c r="B673" i="27"/>
  <c r="B682" i="27"/>
  <c r="B684" i="27"/>
  <c r="B675" i="27"/>
  <c r="B670" i="27"/>
  <c r="B685" i="27"/>
  <c r="B674" i="27"/>
  <c r="B699" i="27"/>
  <c r="B681" i="27"/>
  <c r="B706" i="27"/>
  <c r="B666" i="27"/>
  <c r="B707" i="27"/>
  <c r="B709" i="27"/>
  <c r="B687" i="27"/>
  <c r="B680" i="27"/>
  <c r="B710" i="27"/>
  <c r="B671" i="27"/>
  <c r="B679" i="27"/>
  <c r="B711" i="27"/>
  <c r="B665" i="27"/>
  <c r="B678" i="27"/>
  <c r="B702" i="27"/>
  <c r="B688" i="27"/>
  <c r="B662" i="27"/>
  <c r="B664" i="27"/>
  <c r="B696" i="27"/>
  <c r="B60" i="27"/>
  <c r="D60" i="27"/>
  <c r="B168" i="27"/>
  <c r="D168" i="27"/>
  <c r="B288" i="27"/>
  <c r="D288" i="27"/>
  <c r="B384" i="27"/>
  <c r="D384" i="27"/>
  <c r="B564" i="27"/>
  <c r="D564" i="27"/>
  <c r="B61" i="27"/>
  <c r="D61" i="27"/>
  <c r="B169" i="27"/>
  <c r="D169" i="27"/>
  <c r="B265" i="27"/>
  <c r="D265" i="27"/>
  <c r="B349" i="27"/>
  <c r="D349" i="27"/>
  <c r="B421" i="27"/>
  <c r="D421" i="27"/>
  <c r="B517" i="27"/>
  <c r="D517" i="27"/>
  <c r="B589" i="27"/>
  <c r="D589" i="27"/>
  <c r="B637" i="27"/>
  <c r="D637" i="27"/>
  <c r="B15" i="27"/>
  <c r="D15" i="27"/>
  <c r="B27" i="27"/>
  <c r="D27" i="27"/>
  <c r="B39" i="27"/>
  <c r="D39" i="27"/>
  <c r="B51" i="27"/>
  <c r="D51" i="27"/>
  <c r="B63" i="27"/>
  <c r="D63" i="27"/>
  <c r="B75" i="27"/>
  <c r="D75" i="27"/>
  <c r="B87" i="27"/>
  <c r="D87" i="27"/>
  <c r="D99" i="27"/>
  <c r="B99" i="27"/>
  <c r="B111" i="27"/>
  <c r="D111" i="27"/>
  <c r="B123" i="27"/>
  <c r="D123" i="27"/>
  <c r="B135" i="27"/>
  <c r="D135" i="27"/>
  <c r="D147" i="27"/>
  <c r="B147" i="27"/>
  <c r="B159" i="27"/>
  <c r="D159" i="27"/>
  <c r="B171" i="27"/>
  <c r="D171" i="27"/>
  <c r="B183" i="27"/>
  <c r="D183" i="27"/>
  <c r="D195" i="27"/>
  <c r="B195" i="27"/>
  <c r="B207" i="27"/>
  <c r="D207" i="27"/>
  <c r="B219" i="27"/>
  <c r="D219" i="27"/>
  <c r="B231" i="27"/>
  <c r="D231" i="27"/>
  <c r="B243" i="27"/>
  <c r="D243" i="27"/>
  <c r="B255" i="27"/>
  <c r="D255" i="27"/>
  <c r="B267" i="27"/>
  <c r="D267" i="27"/>
  <c r="D279" i="27"/>
  <c r="B279" i="27"/>
  <c r="B291" i="27"/>
  <c r="D291" i="27"/>
  <c r="B303" i="27"/>
  <c r="D303" i="27"/>
  <c r="B315" i="27"/>
  <c r="D315" i="27"/>
  <c r="B327" i="27"/>
  <c r="D327" i="27"/>
  <c r="B339" i="27"/>
  <c r="D339" i="27"/>
  <c r="B351" i="27"/>
  <c r="D351" i="27"/>
  <c r="D363" i="27"/>
  <c r="B363" i="27"/>
  <c r="B375" i="27"/>
  <c r="D375" i="27"/>
  <c r="B387" i="27"/>
  <c r="D387" i="27"/>
  <c r="B399" i="27"/>
  <c r="D399" i="27"/>
  <c r="B411" i="27"/>
  <c r="D411" i="27"/>
  <c r="B423" i="27"/>
  <c r="D423" i="27"/>
  <c r="B435" i="27"/>
  <c r="D435" i="27"/>
  <c r="B447" i="27"/>
  <c r="D447" i="27"/>
  <c r="D459" i="27"/>
  <c r="B459" i="27"/>
  <c r="B471" i="27"/>
  <c r="D471" i="27"/>
  <c r="D483" i="27"/>
  <c r="B483" i="27"/>
  <c r="B495" i="27"/>
  <c r="D495" i="27"/>
  <c r="B507" i="27"/>
  <c r="D507" i="27"/>
  <c r="B519" i="27"/>
  <c r="D519" i="27"/>
  <c r="B531" i="27"/>
  <c r="D531" i="27"/>
  <c r="B543" i="27"/>
  <c r="D543" i="27"/>
  <c r="B555" i="27"/>
  <c r="D555" i="27"/>
  <c r="D567" i="27"/>
  <c r="B567" i="27"/>
  <c r="B579" i="27"/>
  <c r="D579" i="27"/>
  <c r="B591" i="27"/>
  <c r="D591" i="27"/>
  <c r="B603" i="27"/>
  <c r="D603" i="27"/>
  <c r="B615" i="27"/>
  <c r="D615" i="27"/>
  <c r="B627" i="27"/>
  <c r="D627" i="27"/>
  <c r="B639" i="27"/>
  <c r="D639" i="27"/>
  <c r="B651" i="27"/>
  <c r="D651" i="27"/>
  <c r="B23" i="27"/>
  <c r="D23" i="27"/>
  <c r="B155" i="27"/>
  <c r="D155" i="27"/>
  <c r="B275" i="27"/>
  <c r="D275" i="27"/>
  <c r="B359" i="27"/>
  <c r="D359" i="27"/>
  <c r="B443" i="27"/>
  <c r="D443" i="27"/>
  <c r="B587" i="27"/>
  <c r="D587" i="27"/>
  <c r="B72" i="27"/>
  <c r="D72" i="27"/>
  <c r="B204" i="27"/>
  <c r="D204" i="27"/>
  <c r="B336" i="27"/>
  <c r="D336" i="27"/>
  <c r="B480" i="27"/>
  <c r="D480" i="27"/>
  <c r="B624" i="27"/>
  <c r="D624" i="27"/>
  <c r="B13" i="27"/>
  <c r="D13" i="27"/>
  <c r="B97" i="27"/>
  <c r="D97" i="27"/>
  <c r="B181" i="27"/>
  <c r="D181" i="27"/>
  <c r="B253" i="27"/>
  <c r="D253" i="27"/>
  <c r="B337" i="27"/>
  <c r="D337" i="27"/>
  <c r="B409" i="27"/>
  <c r="D409" i="27"/>
  <c r="B469" i="27"/>
  <c r="D469" i="27"/>
  <c r="B529" i="27"/>
  <c r="D529" i="27"/>
  <c r="B577" i="27"/>
  <c r="D577" i="27"/>
  <c r="B613" i="27"/>
  <c r="D613" i="27"/>
  <c r="B16" i="27"/>
  <c r="D16" i="27"/>
  <c r="B28" i="27"/>
  <c r="D28" i="27"/>
  <c r="B40" i="27"/>
  <c r="D40" i="27"/>
  <c r="B52" i="27"/>
  <c r="D52" i="27"/>
  <c r="B64" i="27"/>
  <c r="D64" i="27"/>
  <c r="B76" i="27"/>
  <c r="D76" i="27"/>
  <c r="B88" i="27"/>
  <c r="D88" i="27"/>
  <c r="B100" i="27"/>
  <c r="D100" i="27"/>
  <c r="B112" i="27"/>
  <c r="D112" i="27"/>
  <c r="B124" i="27"/>
  <c r="D124" i="27"/>
  <c r="B136" i="27"/>
  <c r="D136" i="27"/>
  <c r="B148" i="27"/>
  <c r="D148" i="27"/>
  <c r="B160" i="27"/>
  <c r="D160" i="27"/>
  <c r="B172" i="27"/>
  <c r="D172" i="27"/>
  <c r="B184" i="27"/>
  <c r="D184" i="27"/>
  <c r="D196" i="27"/>
  <c r="B196" i="27"/>
  <c r="B208" i="27"/>
  <c r="D208" i="27"/>
  <c r="B220" i="27"/>
  <c r="D220" i="27"/>
  <c r="D232" i="27"/>
  <c r="B232" i="27"/>
  <c r="B244" i="27"/>
  <c r="D244" i="27"/>
  <c r="B256" i="27"/>
  <c r="D256" i="27"/>
  <c r="D268" i="27"/>
  <c r="B268" i="27"/>
  <c r="B280" i="27"/>
  <c r="D280" i="27"/>
  <c r="B292" i="27"/>
  <c r="D292" i="27"/>
  <c r="B304" i="27"/>
  <c r="D304" i="27"/>
  <c r="B316" i="27"/>
  <c r="D316" i="27"/>
  <c r="B328" i="27"/>
  <c r="D328" i="27"/>
  <c r="D340" i="27"/>
  <c r="B340" i="27"/>
  <c r="B352" i="27"/>
  <c r="D352" i="27"/>
  <c r="B364" i="27"/>
  <c r="D364" i="27"/>
  <c r="D376" i="27"/>
  <c r="B376" i="27"/>
  <c r="B388" i="27"/>
  <c r="D388" i="27"/>
  <c r="B400" i="27"/>
  <c r="D400" i="27"/>
  <c r="D412" i="27"/>
  <c r="B412" i="27"/>
  <c r="B424" i="27"/>
  <c r="D424" i="27"/>
  <c r="B436" i="27"/>
  <c r="D436" i="27"/>
  <c r="B448" i="27"/>
  <c r="D448" i="27"/>
  <c r="B460" i="27"/>
  <c r="D460" i="27"/>
  <c r="B472" i="27"/>
  <c r="D472" i="27"/>
  <c r="D484" i="27"/>
  <c r="B484" i="27"/>
  <c r="B496" i="27"/>
  <c r="D496" i="27"/>
  <c r="B508" i="27"/>
  <c r="D508" i="27"/>
  <c r="B520" i="27"/>
  <c r="D520" i="27"/>
  <c r="B532" i="27"/>
  <c r="D532" i="27"/>
  <c r="B544" i="27"/>
  <c r="D544" i="27"/>
  <c r="B556" i="27"/>
  <c r="D556" i="27"/>
  <c r="B568" i="27"/>
  <c r="D568" i="27"/>
  <c r="D580" i="27"/>
  <c r="B580" i="27"/>
  <c r="B592" i="27"/>
  <c r="D592" i="27"/>
  <c r="B604" i="27"/>
  <c r="D604" i="27"/>
  <c r="B616" i="27"/>
  <c r="D616" i="27"/>
  <c r="B628" i="27"/>
  <c r="D628" i="27"/>
  <c r="B640" i="27"/>
  <c r="D640" i="27"/>
  <c r="B652" i="27"/>
  <c r="D652" i="27"/>
  <c r="B47" i="27"/>
  <c r="D47" i="27"/>
  <c r="B131" i="27"/>
  <c r="D131" i="27"/>
  <c r="B239" i="27"/>
  <c r="D239" i="27"/>
  <c r="B323" i="27"/>
  <c r="D323" i="27"/>
  <c r="B395" i="27"/>
  <c r="D395" i="27"/>
  <c r="B455" i="27"/>
  <c r="D455" i="27"/>
  <c r="B515" i="27"/>
  <c r="D515" i="27"/>
  <c r="B551" i="27"/>
  <c r="D551" i="27"/>
  <c r="B611" i="27"/>
  <c r="D611" i="27"/>
  <c r="B659" i="27"/>
  <c r="D659" i="27"/>
  <c r="B36" i="27"/>
  <c r="D36" i="27"/>
  <c r="B144" i="27"/>
  <c r="D144" i="27"/>
  <c r="B252" i="27"/>
  <c r="D252" i="27"/>
  <c r="B348" i="27"/>
  <c r="D348" i="27"/>
  <c r="B444" i="27"/>
  <c r="D444" i="27"/>
  <c r="B516" i="27"/>
  <c r="D516" i="27"/>
  <c r="B588" i="27"/>
  <c r="D588" i="27"/>
  <c r="B73" i="27"/>
  <c r="D73" i="27"/>
  <c r="B157" i="27"/>
  <c r="D157" i="27"/>
  <c r="D724" i="27"/>
  <c r="D726" i="27"/>
  <c r="D718" i="27"/>
  <c r="D717" i="27"/>
  <c r="D723" i="27"/>
  <c r="D725" i="27"/>
  <c r="D721" i="27"/>
  <c r="D716" i="27"/>
  <c r="D719" i="27"/>
  <c r="D720" i="27"/>
  <c r="D722" i="27"/>
  <c r="D715" i="27"/>
  <c r="D714" i="27"/>
  <c r="D669" i="27"/>
  <c r="D690" i="27"/>
  <c r="D705" i="27"/>
  <c r="D700" i="27"/>
  <c r="D665" i="27"/>
  <c r="D663" i="27"/>
  <c r="D676" i="27"/>
  <c r="D698" i="27"/>
  <c r="D683" i="27"/>
  <c r="D691" i="27"/>
  <c r="D686" i="27"/>
  <c r="D689" i="27"/>
  <c r="D673" i="27"/>
  <c r="D707" i="27"/>
  <c r="D667" i="27"/>
  <c r="D693" i="27"/>
  <c r="D672" i="27"/>
  <c r="D713" i="27"/>
  <c r="D701" i="27"/>
  <c r="D708" i="27"/>
  <c r="D712" i="27"/>
  <c r="D697" i="27"/>
  <c r="D666" i="27"/>
  <c r="D704" i="27"/>
  <c r="D668" i="27"/>
  <c r="D699" i="27"/>
  <c r="D681" i="27"/>
  <c r="D706" i="27"/>
  <c r="D703" i="27"/>
  <c r="D684" i="27"/>
  <c r="D675" i="27"/>
  <c r="D670" i="27"/>
  <c r="D685" i="27"/>
  <c r="D674" i="27"/>
  <c r="D662" i="27"/>
  <c r="D695" i="27"/>
  <c r="D702" i="27"/>
  <c r="D688" i="27"/>
  <c r="D664" i="27"/>
  <c r="D682" i="27"/>
  <c r="D678" i="27"/>
  <c r="D709" i="27"/>
  <c r="D687" i="27"/>
  <c r="D680" i="27"/>
  <c r="D710" i="27"/>
  <c r="D671" i="27"/>
  <c r="D679" i="27"/>
  <c r="D711" i="27"/>
  <c r="D694" i="27"/>
  <c r="D677" i="27"/>
  <c r="D692" i="27"/>
  <c r="D696" i="27"/>
  <c r="B229" i="27"/>
  <c r="D229" i="27"/>
  <c r="B289" i="27"/>
  <c r="D289" i="27"/>
  <c r="B385" i="27"/>
  <c r="D385" i="27"/>
  <c r="B445" i="27"/>
  <c r="D445" i="27"/>
  <c r="B505" i="27"/>
  <c r="D505" i="27"/>
  <c r="B565" i="27"/>
  <c r="D565" i="27"/>
  <c r="B625" i="27"/>
  <c r="D625" i="27"/>
  <c r="B17" i="27"/>
  <c r="D17" i="27"/>
  <c r="B29" i="27"/>
  <c r="D29" i="27"/>
  <c r="B41" i="27"/>
  <c r="D41" i="27"/>
  <c r="D53" i="27"/>
  <c r="B53" i="27"/>
  <c r="B65" i="27"/>
  <c r="D65" i="27"/>
  <c r="B77" i="27"/>
  <c r="D77" i="27"/>
  <c r="B89" i="27"/>
  <c r="D89" i="27"/>
  <c r="D101" i="27"/>
  <c r="B101" i="27"/>
  <c r="D113" i="27"/>
  <c r="B113" i="27"/>
  <c r="B125" i="27"/>
  <c r="D125" i="27"/>
  <c r="B137" i="27"/>
  <c r="D137" i="27"/>
  <c r="D149" i="27"/>
  <c r="B149" i="27"/>
  <c r="D161" i="27"/>
  <c r="B161" i="27"/>
  <c r="B173" i="27"/>
  <c r="D173" i="27"/>
  <c r="B185" i="27"/>
  <c r="D185" i="27"/>
  <c r="D197" i="27"/>
  <c r="B197" i="27"/>
  <c r="D209" i="27"/>
  <c r="B209" i="27"/>
  <c r="B221" i="27"/>
  <c r="D221" i="27"/>
  <c r="B233" i="27"/>
  <c r="D233" i="27"/>
  <c r="B245" i="27"/>
  <c r="D245" i="27"/>
  <c r="B257" i="27"/>
  <c r="D257" i="27"/>
  <c r="B269" i="27"/>
  <c r="D269" i="27"/>
  <c r="B281" i="27"/>
  <c r="D281" i="27"/>
  <c r="D293" i="27"/>
  <c r="B293" i="27"/>
  <c r="B305" i="27"/>
  <c r="D305" i="27"/>
  <c r="D317" i="27"/>
  <c r="B317" i="27"/>
  <c r="D329" i="27"/>
  <c r="B329" i="27"/>
  <c r="D341" i="27"/>
  <c r="B341" i="27"/>
  <c r="B353" i="27"/>
  <c r="D353" i="27"/>
  <c r="B365" i="27"/>
  <c r="D365" i="27"/>
  <c r="B377" i="27"/>
  <c r="D377" i="27"/>
  <c r="B389" i="27"/>
  <c r="D389" i="27"/>
  <c r="D401" i="27"/>
  <c r="B401" i="27"/>
  <c r="B413" i="27"/>
  <c r="D413" i="27"/>
  <c r="B425" i="27"/>
  <c r="D425" i="27"/>
  <c r="B437" i="27"/>
  <c r="D437" i="27"/>
  <c r="B449" i="27"/>
  <c r="D449" i="27"/>
  <c r="B461" i="27"/>
  <c r="D461" i="27"/>
  <c r="B473" i="27"/>
  <c r="D473" i="27"/>
  <c r="B485" i="27"/>
  <c r="D485" i="27"/>
  <c r="D497" i="27"/>
  <c r="B497" i="27"/>
  <c r="B509" i="27"/>
  <c r="D509" i="27"/>
  <c r="B521" i="27"/>
  <c r="D521" i="27"/>
  <c r="B533" i="27"/>
  <c r="D533" i="27"/>
  <c r="B545" i="27"/>
  <c r="D545" i="27"/>
  <c r="B557" i="27"/>
  <c r="D557" i="27"/>
  <c r="B569" i="27"/>
  <c r="D569" i="27"/>
  <c r="D581" i="27"/>
  <c r="B581" i="27"/>
  <c r="B593" i="27"/>
  <c r="D593" i="27"/>
  <c r="D605" i="27"/>
  <c r="B605" i="27"/>
  <c r="B617" i="27"/>
  <c r="D617" i="27"/>
  <c r="B629" i="27"/>
  <c r="D629" i="27"/>
  <c r="D641" i="27"/>
  <c r="B641" i="27"/>
  <c r="B653" i="27"/>
  <c r="D653" i="27"/>
  <c r="B661" i="27"/>
  <c r="D661" i="27"/>
  <c r="B107" i="27"/>
  <c r="D107" i="27"/>
  <c r="B227" i="27"/>
  <c r="D227" i="27"/>
  <c r="B431" i="27"/>
  <c r="D431" i="27"/>
  <c r="B12" i="27"/>
  <c r="D12" i="27"/>
  <c r="B120" i="27"/>
  <c r="D120" i="27"/>
  <c r="B228" i="27"/>
  <c r="D228" i="27"/>
  <c r="B312" i="27"/>
  <c r="D312" i="27"/>
  <c r="B420" i="27"/>
  <c r="D420" i="27"/>
  <c r="B504" i="27"/>
  <c r="D504" i="27"/>
  <c r="B552" i="27"/>
  <c r="D552" i="27"/>
  <c r="B660" i="27"/>
  <c r="D660" i="27"/>
  <c r="B49" i="27"/>
  <c r="D49" i="27"/>
  <c r="B145" i="27"/>
  <c r="D145" i="27"/>
  <c r="B241" i="27"/>
  <c r="D241" i="27"/>
  <c r="B313" i="27"/>
  <c r="D313" i="27"/>
  <c r="B397" i="27"/>
  <c r="D397" i="27"/>
  <c r="B457" i="27"/>
  <c r="D457" i="27"/>
  <c r="B541" i="27"/>
  <c r="D541" i="27"/>
  <c r="B649" i="27"/>
  <c r="D649" i="27"/>
  <c r="B6" i="27"/>
  <c r="D6" i="27"/>
  <c r="B18" i="27"/>
  <c r="D18" i="27"/>
  <c r="B30" i="27"/>
  <c r="D30" i="27"/>
  <c r="B42" i="27"/>
  <c r="D42" i="27"/>
  <c r="D54" i="27"/>
  <c r="B54" i="27"/>
  <c r="B66" i="27"/>
  <c r="D66" i="27"/>
  <c r="B78" i="27"/>
  <c r="D78" i="27"/>
  <c r="B90" i="27"/>
  <c r="D90" i="27"/>
  <c r="B102" i="27"/>
  <c r="D102" i="27"/>
  <c r="B114" i="27"/>
  <c r="D114" i="27"/>
  <c r="B126" i="27"/>
  <c r="D126" i="27"/>
  <c r="B138" i="27"/>
  <c r="D138" i="27"/>
  <c r="B150" i="27"/>
  <c r="D150" i="27"/>
  <c r="B162" i="27"/>
  <c r="D162" i="27"/>
  <c r="B174" i="27"/>
  <c r="D174" i="27"/>
  <c r="B186" i="27"/>
  <c r="D186" i="27"/>
  <c r="B198" i="27"/>
  <c r="D198" i="27"/>
  <c r="D210" i="27"/>
  <c r="B210" i="27"/>
  <c r="B222" i="27"/>
  <c r="D222" i="27"/>
  <c r="D234" i="27"/>
  <c r="B234" i="27"/>
  <c r="B246" i="27"/>
  <c r="D246" i="27"/>
  <c r="B258" i="27"/>
  <c r="D258" i="27"/>
  <c r="D270" i="27"/>
  <c r="B270" i="27"/>
  <c r="B282" i="27"/>
  <c r="D282" i="27"/>
  <c r="B294" i="27"/>
  <c r="D294" i="27"/>
  <c r="B306" i="27"/>
  <c r="D306" i="27"/>
  <c r="D318" i="27"/>
  <c r="B318" i="27"/>
  <c r="B330" i="27"/>
  <c r="D330" i="27"/>
  <c r="B342" i="27"/>
  <c r="D342" i="27"/>
  <c r="B354" i="27"/>
  <c r="D354" i="27"/>
  <c r="B366" i="27"/>
  <c r="D366" i="27"/>
  <c r="B378" i="27"/>
  <c r="D378" i="27"/>
  <c r="B390" i="27"/>
  <c r="D390" i="27"/>
  <c r="B402" i="27"/>
  <c r="D402" i="27"/>
  <c r="D414" i="27"/>
  <c r="B414" i="27"/>
  <c r="B426" i="27"/>
  <c r="D426" i="27"/>
  <c r="B438" i="27"/>
  <c r="D438" i="27"/>
  <c r="B450" i="27"/>
  <c r="D450" i="27"/>
  <c r="B462" i="27"/>
  <c r="D462" i="27"/>
  <c r="B474" i="27"/>
  <c r="D474" i="27"/>
  <c r="B486" i="27"/>
  <c r="D486" i="27"/>
  <c r="D498" i="27"/>
  <c r="B498" i="27"/>
  <c r="B510" i="27"/>
  <c r="D510" i="27"/>
  <c r="D522" i="27"/>
  <c r="B522" i="27"/>
  <c r="D534" i="27"/>
  <c r="B534" i="27"/>
  <c r="B546" i="27"/>
  <c r="D546" i="27"/>
  <c r="B558" i="27"/>
  <c r="D558" i="27"/>
  <c r="B570" i="27"/>
  <c r="D570" i="27"/>
  <c r="B582" i="27"/>
  <c r="D582" i="27"/>
  <c r="B594" i="27"/>
  <c r="D594" i="27"/>
  <c r="D606" i="27"/>
  <c r="B606" i="27"/>
  <c r="B618" i="27"/>
  <c r="D618" i="27"/>
  <c r="B630" i="27"/>
  <c r="D630" i="27"/>
  <c r="D642" i="27"/>
  <c r="B642" i="27"/>
  <c r="B654" i="27"/>
  <c r="D654" i="27"/>
  <c r="C718" i="27"/>
  <c r="C721" i="27"/>
  <c r="C717" i="27"/>
  <c r="C720" i="27"/>
  <c r="C716" i="27"/>
  <c r="C726" i="27"/>
  <c r="C725" i="27"/>
  <c r="C723" i="27"/>
  <c r="C722" i="27"/>
  <c r="C724" i="27"/>
  <c r="C719" i="27"/>
  <c r="C715" i="27"/>
  <c r="C714" i="27"/>
  <c r="C672" i="27"/>
  <c r="C713" i="27"/>
  <c r="C701" i="27"/>
  <c r="C673" i="27"/>
  <c r="C669" i="27"/>
  <c r="C705" i="27"/>
  <c r="C676" i="27"/>
  <c r="C674" i="27"/>
  <c r="C703" i="27"/>
  <c r="C678" i="27"/>
  <c r="C683" i="27"/>
  <c r="C681" i="27"/>
  <c r="C686" i="27"/>
  <c r="C709" i="27"/>
  <c r="C677" i="27"/>
  <c r="C695" i="27"/>
  <c r="C704" i="27"/>
  <c r="C708" i="27"/>
  <c r="C679" i="27"/>
  <c r="C706" i="27"/>
  <c r="C682" i="27"/>
  <c r="C663" i="27"/>
  <c r="C707" i="27"/>
  <c r="C685" i="27"/>
  <c r="C693" i="27"/>
  <c r="C662" i="27"/>
  <c r="C671" i="27"/>
  <c r="C694" i="27"/>
  <c r="C711" i="27"/>
  <c r="C684" i="27"/>
  <c r="C675" i="27"/>
  <c r="C688" i="27"/>
  <c r="C696" i="27"/>
  <c r="C668" i="27"/>
  <c r="C666" i="27"/>
  <c r="C670" i="27"/>
  <c r="C680" i="27"/>
  <c r="C692" i="27"/>
  <c r="C687" i="27"/>
  <c r="C710" i="27"/>
  <c r="C691" i="27"/>
  <c r="C699" i="27"/>
  <c r="C667" i="27"/>
  <c r="C689" i="27"/>
  <c r="C697" i="27"/>
  <c r="C700" i="27"/>
  <c r="C698" i="27"/>
  <c r="C665" i="27"/>
  <c r="C664" i="27"/>
  <c r="C702" i="27"/>
  <c r="C690" i="27"/>
  <c r="C712" i="27"/>
  <c r="C107" i="27"/>
  <c r="C239" i="27"/>
  <c r="C359" i="27"/>
  <c r="C443" i="27"/>
  <c r="C479" i="27"/>
  <c r="C527" i="27"/>
  <c r="C563" i="27"/>
  <c r="C36" i="27"/>
  <c r="C156" i="27"/>
  <c r="C288" i="27"/>
  <c r="C600" i="27"/>
  <c r="C19" i="27"/>
  <c r="C31" i="27"/>
  <c r="C67" i="27"/>
  <c r="C79" i="27"/>
  <c r="C91" i="27"/>
  <c r="C103" i="27"/>
  <c r="C115" i="27"/>
  <c r="C127" i="27"/>
  <c r="C139" i="27"/>
  <c r="C151" i="27"/>
  <c r="C163" i="27"/>
  <c r="C175" i="27"/>
  <c r="C187" i="27"/>
  <c r="C199" i="27"/>
  <c r="C211" i="27"/>
  <c r="C223" i="27"/>
  <c r="C235" i="27"/>
  <c r="C247" i="27"/>
  <c r="C259" i="27"/>
  <c r="C271" i="27"/>
  <c r="C283" i="27"/>
  <c r="C295" i="27"/>
  <c r="C307" i="27"/>
  <c r="C319" i="27"/>
  <c r="C331" i="27"/>
  <c r="C343" i="27"/>
  <c r="C355" i="27"/>
  <c r="C367" i="27"/>
  <c r="C379" i="27"/>
  <c r="C391" i="27"/>
  <c r="C403" i="27"/>
  <c r="C415" i="27"/>
  <c r="C427" i="27"/>
  <c r="C439" i="27"/>
  <c r="C451" i="27"/>
  <c r="C463" i="27"/>
  <c r="C475" i="27"/>
  <c r="C487" i="27"/>
  <c r="C499" i="27"/>
  <c r="C511" i="27"/>
  <c r="C523" i="27"/>
  <c r="C535" i="27"/>
  <c r="C547" i="27"/>
  <c r="C559" i="27"/>
  <c r="C571" i="27"/>
  <c r="C583" i="27"/>
  <c r="C595" i="27"/>
  <c r="C607" i="27"/>
  <c r="C619" i="27"/>
  <c r="C631" i="27"/>
  <c r="C643" i="27"/>
  <c r="C655" i="27"/>
  <c r="C11" i="27"/>
  <c r="C131" i="27"/>
  <c r="C251" i="27"/>
  <c r="C383" i="27"/>
  <c r="C467" i="27"/>
  <c r="C611" i="27"/>
  <c r="C72" i="27"/>
  <c r="C204" i="27"/>
  <c r="C372" i="27"/>
  <c r="C624" i="27"/>
  <c r="C8" i="27"/>
  <c r="C20" i="27"/>
  <c r="C32" i="27"/>
  <c r="C44" i="27"/>
  <c r="C56" i="27"/>
  <c r="C68" i="27"/>
  <c r="C80" i="27"/>
  <c r="C92" i="27"/>
  <c r="C104" i="27"/>
  <c r="C116" i="27"/>
  <c r="C128" i="27"/>
  <c r="C140" i="27"/>
  <c r="C152" i="27"/>
  <c r="C164" i="27"/>
  <c r="C176" i="27"/>
  <c r="C188" i="27"/>
  <c r="C200" i="27"/>
  <c r="C212" i="27"/>
  <c r="C224" i="27"/>
  <c r="C236" i="27"/>
  <c r="C248" i="27"/>
  <c r="C260" i="27"/>
  <c r="C272" i="27"/>
  <c r="C284" i="27"/>
  <c r="C296" i="27"/>
  <c r="C308" i="27"/>
  <c r="C320" i="27"/>
  <c r="C332" i="27"/>
  <c r="C344" i="27"/>
  <c r="C356" i="27"/>
  <c r="C368" i="27"/>
  <c r="C380" i="27"/>
  <c r="C392" i="27"/>
  <c r="C404" i="27"/>
  <c r="C416" i="27"/>
  <c r="C428" i="27"/>
  <c r="C440" i="27"/>
  <c r="C452" i="27"/>
  <c r="C464" i="27"/>
  <c r="C476" i="27"/>
  <c r="C488" i="27"/>
  <c r="C500" i="27"/>
  <c r="C512" i="27"/>
  <c r="C524" i="27"/>
  <c r="C536" i="27"/>
  <c r="C548" i="27"/>
  <c r="C560" i="27"/>
  <c r="C572" i="27"/>
  <c r="C584" i="27"/>
  <c r="C596" i="27"/>
  <c r="C608" i="27"/>
  <c r="C620" i="27"/>
  <c r="C632" i="27"/>
  <c r="C644" i="27"/>
  <c r="C656" i="27"/>
  <c r="C35" i="27"/>
  <c r="C167" i="27"/>
  <c r="C275" i="27"/>
  <c r="C395" i="27"/>
  <c r="C575" i="27"/>
  <c r="C12" i="27"/>
  <c r="C144" i="27"/>
  <c r="C276" i="27"/>
  <c r="C552" i="27"/>
  <c r="C43" i="27"/>
  <c r="C9" i="27"/>
  <c r="C21" i="27"/>
  <c r="C33" i="27"/>
  <c r="C45" i="27"/>
  <c r="C57" i="27"/>
  <c r="C69" i="27"/>
  <c r="C81" i="27"/>
  <c r="C93" i="27"/>
  <c r="C105" i="27"/>
  <c r="C117" i="27"/>
  <c r="C129" i="27"/>
  <c r="C141" i="27"/>
  <c r="C153" i="27"/>
  <c r="C165" i="27"/>
  <c r="C177" i="27"/>
  <c r="C189" i="27"/>
  <c r="C201" i="27"/>
  <c r="C213" i="27"/>
  <c r="C225" i="27"/>
  <c r="C237" i="27"/>
  <c r="C249" i="27"/>
  <c r="C261" i="27"/>
  <c r="C273" i="27"/>
  <c r="C285" i="27"/>
  <c r="C297" i="27"/>
  <c r="C309" i="27"/>
  <c r="C321" i="27"/>
  <c r="C333" i="27"/>
  <c r="C345" i="27"/>
  <c r="C357" i="27"/>
  <c r="C369" i="27"/>
  <c r="C381" i="27"/>
  <c r="C393" i="27"/>
  <c r="C405" i="27"/>
  <c r="C417" i="27"/>
  <c r="C429" i="27"/>
  <c r="C441" i="27"/>
  <c r="C453" i="27"/>
  <c r="C465" i="27"/>
  <c r="C477" i="27"/>
  <c r="C489" i="27"/>
  <c r="C501" i="27"/>
  <c r="C513" i="27"/>
  <c r="C525" i="27"/>
  <c r="C537" i="27"/>
  <c r="C549" i="27"/>
  <c r="C561" i="27"/>
  <c r="C573" i="27"/>
  <c r="C585" i="27"/>
  <c r="C597" i="27"/>
  <c r="C609" i="27"/>
  <c r="C621" i="27"/>
  <c r="C633" i="27"/>
  <c r="C645" i="27"/>
  <c r="C657" i="27"/>
  <c r="C95" i="27"/>
  <c r="C215" i="27"/>
  <c r="C299" i="27"/>
  <c r="C431" i="27"/>
  <c r="C587" i="27"/>
  <c r="C96" i="27"/>
  <c r="C228" i="27"/>
  <c r="C336" i="27"/>
  <c r="C444" i="27"/>
  <c r="C564" i="27"/>
  <c r="C7" i="27"/>
  <c r="C55" i="27"/>
  <c r="C10" i="27"/>
  <c r="C22" i="27"/>
  <c r="C34" i="27"/>
  <c r="C46" i="27"/>
  <c r="C58" i="27"/>
  <c r="C70" i="27"/>
  <c r="C82" i="27"/>
  <c r="C94" i="27"/>
  <c r="C106" i="27"/>
  <c r="C118" i="27"/>
  <c r="C130" i="27"/>
  <c r="C142" i="27"/>
  <c r="C154" i="27"/>
  <c r="C166" i="27"/>
  <c r="C178" i="27"/>
  <c r="C190" i="27"/>
  <c r="C202" i="27"/>
  <c r="C214" i="27"/>
  <c r="C226" i="27"/>
  <c r="C238" i="27"/>
  <c r="C250" i="27"/>
  <c r="C262" i="27"/>
  <c r="C274" i="27"/>
  <c r="C286" i="27"/>
  <c r="C298" i="27"/>
  <c r="C310" i="27"/>
  <c r="C322" i="27"/>
  <c r="C334" i="27"/>
  <c r="C346" i="27"/>
  <c r="C358" i="27"/>
  <c r="C370" i="27"/>
  <c r="C382" i="27"/>
  <c r="C394" i="27"/>
  <c r="C406" i="27"/>
  <c r="C418" i="27"/>
  <c r="C430" i="27"/>
  <c r="C442" i="27"/>
  <c r="C454" i="27"/>
  <c r="C466" i="27"/>
  <c r="C478" i="27"/>
  <c r="C490" i="27"/>
  <c r="C502" i="27"/>
  <c r="C514" i="27"/>
  <c r="C526" i="27"/>
  <c r="C538" i="27"/>
  <c r="C550" i="27"/>
  <c r="C562" i="27"/>
  <c r="C574" i="27"/>
  <c r="C586" i="27"/>
  <c r="C598" i="27"/>
  <c r="C610" i="27"/>
  <c r="C622" i="27"/>
  <c r="C634" i="27"/>
  <c r="C646" i="27"/>
  <c r="C658" i="27"/>
  <c r="C119" i="27"/>
  <c r="C227" i="27"/>
  <c r="C311" i="27"/>
  <c r="C407" i="27"/>
  <c r="C491" i="27"/>
  <c r="C659" i="27"/>
  <c r="C108" i="27"/>
  <c r="C216" i="27"/>
  <c r="C312" i="27"/>
  <c r="C408" i="27"/>
  <c r="C480" i="27"/>
  <c r="C492" i="27"/>
  <c r="C540" i="27"/>
  <c r="C612" i="27"/>
  <c r="C13" i="27"/>
  <c r="C25" i="27"/>
  <c r="C37" i="27"/>
  <c r="C49" i="27"/>
  <c r="C61" i="27"/>
  <c r="C73" i="27"/>
  <c r="C85" i="27"/>
  <c r="C97" i="27"/>
  <c r="C109" i="27"/>
  <c r="C121" i="27"/>
  <c r="C133" i="27"/>
  <c r="C145" i="27"/>
  <c r="C157" i="27"/>
  <c r="C169" i="27"/>
  <c r="C181" i="27"/>
  <c r="C193" i="27"/>
  <c r="C205" i="27"/>
  <c r="C217" i="27"/>
  <c r="C229" i="27"/>
  <c r="C241" i="27"/>
  <c r="C253" i="27"/>
  <c r="C265" i="27"/>
  <c r="C277" i="27"/>
  <c r="C289" i="27"/>
  <c r="C301" i="27"/>
  <c r="C313" i="27"/>
  <c r="C325" i="27"/>
  <c r="C337" i="27"/>
  <c r="C349" i="27"/>
  <c r="C361" i="27"/>
  <c r="C373" i="27"/>
  <c r="C385" i="27"/>
  <c r="C397" i="27"/>
  <c r="C409" i="27"/>
  <c r="C421" i="27"/>
  <c r="C433" i="27"/>
  <c r="C445" i="27"/>
  <c r="C457" i="27"/>
  <c r="C469" i="27"/>
  <c r="C481" i="27"/>
  <c r="C493" i="27"/>
  <c r="C505" i="27"/>
  <c r="C517" i="27"/>
  <c r="C529" i="27"/>
  <c r="C541" i="27"/>
  <c r="C553" i="27"/>
  <c r="C565" i="27"/>
  <c r="C577" i="27"/>
  <c r="C589" i="27"/>
  <c r="C601" i="27"/>
  <c r="C613" i="27"/>
  <c r="C625" i="27"/>
  <c r="C637" i="27"/>
  <c r="C649" i="27"/>
  <c r="C23" i="27"/>
  <c r="C143" i="27"/>
  <c r="C263" i="27"/>
  <c r="C371" i="27"/>
  <c r="C455" i="27"/>
  <c r="C503" i="27"/>
  <c r="C539" i="27"/>
  <c r="C551" i="27"/>
  <c r="C623" i="27"/>
  <c r="C24" i="27"/>
  <c r="C132" i="27"/>
  <c r="C252" i="27"/>
  <c r="C384" i="27"/>
  <c r="C588" i="27"/>
  <c r="C50" i="27"/>
  <c r="C98" i="27"/>
  <c r="C146" i="27"/>
  <c r="C206" i="27"/>
  <c r="C254" i="27"/>
  <c r="C266" i="27"/>
  <c r="C278" i="27"/>
  <c r="C314" i="27"/>
  <c r="C326" i="27"/>
  <c r="C338" i="27"/>
  <c r="C350" i="27"/>
  <c r="C362" i="27"/>
  <c r="C374" i="27"/>
  <c r="C386" i="27"/>
  <c r="C398" i="27"/>
  <c r="C410" i="27"/>
  <c r="C422" i="27"/>
  <c r="C434" i="27"/>
  <c r="C446" i="27"/>
  <c r="C458" i="27"/>
  <c r="C470" i="27"/>
  <c r="C482" i="27"/>
  <c r="C494" i="27"/>
  <c r="C506" i="27"/>
  <c r="C518" i="27"/>
  <c r="C530" i="27"/>
  <c r="C542" i="27"/>
  <c r="C554" i="27"/>
  <c r="C566" i="27"/>
  <c r="C578" i="27"/>
  <c r="C590" i="27"/>
  <c r="C602" i="27"/>
  <c r="C614" i="27"/>
  <c r="C626" i="27"/>
  <c r="C638" i="27"/>
  <c r="C650" i="27"/>
  <c r="C71" i="27"/>
  <c r="C191" i="27"/>
  <c r="C287" i="27"/>
  <c r="C515" i="27"/>
  <c r="C48" i="27"/>
  <c r="C180" i="27"/>
  <c r="C324" i="27"/>
  <c r="C420" i="27"/>
  <c r="C576" i="27"/>
  <c r="C38" i="27"/>
  <c r="C86" i="27"/>
  <c r="C122" i="27"/>
  <c r="C170" i="27"/>
  <c r="C194" i="27"/>
  <c r="C242" i="27"/>
  <c r="C302" i="27"/>
  <c r="C15" i="27"/>
  <c r="C27" i="27"/>
  <c r="C39" i="27"/>
  <c r="C51" i="27"/>
  <c r="C63" i="27"/>
  <c r="C75" i="27"/>
  <c r="C87" i="27"/>
  <c r="C99" i="27"/>
  <c r="C111" i="27"/>
  <c r="C123" i="27"/>
  <c r="C135" i="27"/>
  <c r="C147" i="27"/>
  <c r="C159" i="27"/>
  <c r="C171" i="27"/>
  <c r="C183" i="27"/>
  <c r="C195" i="27"/>
  <c r="C207" i="27"/>
  <c r="C219" i="27"/>
  <c r="C231" i="27"/>
  <c r="C243" i="27"/>
  <c r="C255" i="27"/>
  <c r="C267" i="27"/>
  <c r="C279" i="27"/>
  <c r="C291" i="27"/>
  <c r="C303" i="27"/>
  <c r="C315" i="27"/>
  <c r="C327" i="27"/>
  <c r="C339" i="27"/>
  <c r="C351" i="27"/>
  <c r="C363" i="27"/>
  <c r="C375" i="27"/>
  <c r="C387" i="27"/>
  <c r="C399" i="27"/>
  <c r="C411" i="27"/>
  <c r="C423" i="27"/>
  <c r="C435" i="27"/>
  <c r="C447" i="27"/>
  <c r="C459" i="27"/>
  <c r="C471" i="27"/>
  <c r="C483" i="27"/>
  <c r="C495" i="27"/>
  <c r="C507" i="27"/>
  <c r="C519" i="27"/>
  <c r="C531" i="27"/>
  <c r="C543" i="27"/>
  <c r="C555" i="27"/>
  <c r="C567" i="27"/>
  <c r="C579" i="27"/>
  <c r="C591" i="27"/>
  <c r="C603" i="27"/>
  <c r="C615" i="27"/>
  <c r="C627" i="27"/>
  <c r="C639" i="27"/>
  <c r="C651" i="27"/>
  <c r="C59" i="27"/>
  <c r="C179" i="27"/>
  <c r="C323" i="27"/>
  <c r="C647" i="27"/>
  <c r="C120" i="27"/>
  <c r="C240" i="27"/>
  <c r="C360" i="27"/>
  <c r="C456" i="27"/>
  <c r="C528" i="27"/>
  <c r="C660" i="27"/>
  <c r="C26" i="27"/>
  <c r="C74" i="27"/>
  <c r="C134" i="27"/>
  <c r="C158" i="27"/>
  <c r="C182" i="27"/>
  <c r="C230" i="27"/>
  <c r="C290" i="27"/>
  <c r="C16" i="27"/>
  <c r="C28" i="27"/>
  <c r="C40" i="27"/>
  <c r="C52" i="27"/>
  <c r="C64" i="27"/>
  <c r="C76" i="27"/>
  <c r="C88" i="27"/>
  <c r="C100" i="27"/>
  <c r="C112" i="27"/>
  <c r="C124" i="27"/>
  <c r="C136" i="27"/>
  <c r="C148" i="27"/>
  <c r="C160" i="27"/>
  <c r="C172" i="27"/>
  <c r="C184" i="27"/>
  <c r="C196" i="27"/>
  <c r="C208" i="27"/>
  <c r="C220" i="27"/>
  <c r="C232" i="27"/>
  <c r="C244" i="27"/>
  <c r="C256" i="27"/>
  <c r="C268" i="27"/>
  <c r="C280" i="27"/>
  <c r="C292" i="27"/>
  <c r="C304" i="27"/>
  <c r="C316" i="27"/>
  <c r="C328" i="27"/>
  <c r="C340" i="27"/>
  <c r="C352" i="27"/>
  <c r="C364" i="27"/>
  <c r="C376" i="27"/>
  <c r="C388" i="27"/>
  <c r="C400" i="27"/>
  <c r="C412" i="27"/>
  <c r="C424" i="27"/>
  <c r="C436" i="27"/>
  <c r="C448" i="27"/>
  <c r="C460" i="27"/>
  <c r="C472" i="27"/>
  <c r="C484" i="27"/>
  <c r="C496" i="27"/>
  <c r="C508" i="27"/>
  <c r="C520" i="27"/>
  <c r="C532" i="27"/>
  <c r="C544" i="27"/>
  <c r="C556" i="27"/>
  <c r="C568" i="27"/>
  <c r="C580" i="27"/>
  <c r="C592" i="27"/>
  <c r="C604" i="27"/>
  <c r="C616" i="27"/>
  <c r="C628" i="27"/>
  <c r="C640" i="27"/>
  <c r="C652" i="27"/>
  <c r="C83" i="27"/>
  <c r="C203" i="27"/>
  <c r="C335" i="27"/>
  <c r="C419" i="27"/>
  <c r="C599" i="27"/>
  <c r="C60" i="27"/>
  <c r="C168" i="27"/>
  <c r="C264" i="27"/>
  <c r="C348" i="27"/>
  <c r="C432" i="27"/>
  <c r="C504" i="27"/>
  <c r="C636" i="27"/>
  <c r="C14" i="27"/>
  <c r="C62" i="27"/>
  <c r="C110" i="27"/>
  <c r="C218" i="27"/>
  <c r="C17" i="27"/>
  <c r="C29" i="27"/>
  <c r="C41" i="27"/>
  <c r="C53" i="27"/>
  <c r="C65" i="27"/>
  <c r="C77" i="27"/>
  <c r="C89" i="27"/>
  <c r="C101" i="27"/>
  <c r="C113" i="27"/>
  <c r="C125" i="27"/>
  <c r="C137" i="27"/>
  <c r="C149" i="27"/>
  <c r="C161" i="27"/>
  <c r="C173" i="27"/>
  <c r="C185" i="27"/>
  <c r="C197" i="27"/>
  <c r="C209" i="27"/>
  <c r="C221" i="27"/>
  <c r="C233" i="27"/>
  <c r="C245" i="27"/>
  <c r="C257" i="27"/>
  <c r="C269" i="27"/>
  <c r="C281" i="27"/>
  <c r="C293" i="27"/>
  <c r="C305" i="27"/>
  <c r="C317" i="27"/>
  <c r="C329" i="27"/>
  <c r="C341" i="27"/>
  <c r="C353" i="27"/>
  <c r="C365" i="27"/>
  <c r="C377" i="27"/>
  <c r="C389" i="27"/>
  <c r="C401" i="27"/>
  <c r="C413" i="27"/>
  <c r="C425" i="27"/>
  <c r="C437" i="27"/>
  <c r="C449" i="27"/>
  <c r="C461" i="27"/>
  <c r="C473" i="27"/>
  <c r="C485" i="27"/>
  <c r="C497" i="27"/>
  <c r="C509" i="27"/>
  <c r="C521" i="27"/>
  <c r="C533" i="27"/>
  <c r="C545" i="27"/>
  <c r="C557" i="27"/>
  <c r="C569" i="27"/>
  <c r="C581" i="27"/>
  <c r="C593" i="27"/>
  <c r="C605" i="27"/>
  <c r="C617" i="27"/>
  <c r="C629" i="27"/>
  <c r="C641" i="27"/>
  <c r="C653" i="27"/>
  <c r="C661" i="27"/>
  <c r="C47" i="27"/>
  <c r="C155" i="27"/>
  <c r="C347" i="27"/>
  <c r="C635" i="27"/>
  <c r="C84" i="27"/>
  <c r="C192" i="27"/>
  <c r="C300" i="27"/>
  <c r="C396" i="27"/>
  <c r="C468" i="27"/>
  <c r="C516" i="27"/>
  <c r="C648" i="27"/>
  <c r="C6" i="27"/>
  <c r="C18" i="27"/>
  <c r="C30" i="27"/>
  <c r="C42" i="27"/>
  <c r="C54" i="27"/>
  <c r="C66" i="27"/>
  <c r="C78" i="27"/>
  <c r="C90" i="27"/>
  <c r="C102" i="27"/>
  <c r="C114" i="27"/>
  <c r="C126" i="27"/>
  <c r="C138" i="27"/>
  <c r="C150" i="27"/>
  <c r="C162" i="27"/>
  <c r="C174" i="27"/>
  <c r="C186" i="27"/>
  <c r="C198" i="27"/>
  <c r="C210" i="27"/>
  <c r="C222" i="27"/>
  <c r="C234" i="27"/>
  <c r="C246" i="27"/>
  <c r="C258" i="27"/>
  <c r="C270" i="27"/>
  <c r="C282" i="27"/>
  <c r="C294" i="27"/>
  <c r="C306" i="27"/>
  <c r="C318" i="27"/>
  <c r="C330" i="27"/>
  <c r="C342" i="27"/>
  <c r="C354" i="27"/>
  <c r="C366" i="27"/>
  <c r="C378" i="27"/>
  <c r="C390" i="27"/>
  <c r="C402" i="27"/>
  <c r="C414" i="27"/>
  <c r="C426" i="27"/>
  <c r="C438" i="27"/>
  <c r="C450" i="27"/>
  <c r="C462" i="27"/>
  <c r="C474" i="27"/>
  <c r="C486" i="27"/>
  <c r="C498" i="27"/>
  <c r="C510" i="27"/>
  <c r="C522" i="27"/>
  <c r="C534" i="27"/>
  <c r="C546" i="27"/>
  <c r="C558" i="27"/>
  <c r="C570" i="27"/>
  <c r="C582" i="27"/>
  <c r="C594" i="27"/>
  <c r="C606" i="27"/>
  <c r="C618" i="27"/>
  <c r="C630" i="27"/>
  <c r="C642" i="27"/>
  <c r="C654" i="27"/>
  <c r="J711" i="27"/>
  <c r="J712" i="27"/>
  <c r="J713" i="27"/>
  <c r="J710" i="27"/>
  <c r="J709" i="27"/>
  <c r="J708" i="27"/>
  <c r="J701" i="27"/>
  <c r="J696" i="27"/>
  <c r="J704" i="27"/>
  <c r="J694" i="27"/>
  <c r="J700" i="27"/>
  <c r="J702" i="27"/>
  <c r="J703" i="27"/>
  <c r="J699" i="27"/>
  <c r="J698" i="27"/>
  <c r="J695" i="27"/>
  <c r="J697" i="27"/>
  <c r="J693" i="27"/>
  <c r="J706" i="27"/>
  <c r="J707" i="27"/>
  <c r="J705" i="27"/>
  <c r="J676" i="27"/>
  <c r="J692" i="27"/>
  <c r="J690" i="27"/>
  <c r="J679" i="27"/>
  <c r="J691" i="27"/>
  <c r="J674" i="27"/>
  <c r="J686" i="27"/>
  <c r="J671" i="27"/>
  <c r="J689" i="27"/>
  <c r="J684" i="27"/>
  <c r="J668" i="27"/>
  <c r="J682" i="27"/>
  <c r="J667" i="27"/>
  <c r="J678" i="27"/>
  <c r="J666" i="27"/>
  <c r="J675" i="27"/>
  <c r="J673" i="27"/>
  <c r="J688" i="27"/>
  <c r="J680" i="27"/>
  <c r="J681" i="27"/>
  <c r="J687" i="27"/>
  <c r="J669" i="27"/>
  <c r="J683" i="27"/>
  <c r="J685" i="27"/>
  <c r="J670" i="27"/>
  <c r="J677" i="27"/>
  <c r="J672" i="27"/>
  <c r="J663" i="27"/>
  <c r="J665" i="27"/>
  <c r="J664" i="27"/>
  <c r="J662" i="27"/>
  <c r="J343" i="27"/>
  <c r="J351" i="27"/>
  <c r="J359" i="27"/>
  <c r="J367" i="27"/>
  <c r="J375" i="27"/>
  <c r="J391" i="27"/>
  <c r="J403" i="27"/>
  <c r="J411" i="27"/>
  <c r="J439" i="27"/>
  <c r="J447" i="27"/>
  <c r="J455" i="27"/>
  <c r="J463" i="27"/>
  <c r="J471" i="27"/>
  <c r="J479" i="27"/>
  <c r="J487" i="27"/>
  <c r="J495" i="27"/>
  <c r="J503" i="27"/>
  <c r="J511" i="27"/>
  <c r="J519" i="27"/>
  <c r="J523" i="27"/>
  <c r="J535" i="27"/>
  <c r="J539" i="27"/>
  <c r="J547" i="27"/>
  <c r="J555" i="27"/>
  <c r="J563" i="27"/>
  <c r="J571" i="27"/>
  <c r="J579" i="27"/>
  <c r="J587" i="27"/>
  <c r="J595" i="27"/>
  <c r="J603" i="27"/>
  <c r="J611" i="27"/>
  <c r="J619" i="27"/>
  <c r="J631" i="27"/>
  <c r="J639" i="27"/>
  <c r="J647" i="27"/>
  <c r="J655" i="27"/>
  <c r="J19" i="27"/>
  <c r="J35" i="27"/>
  <c r="J51" i="27"/>
  <c r="J67" i="27"/>
  <c r="J83" i="27"/>
  <c r="J99" i="27"/>
  <c r="J115" i="27"/>
  <c r="J131" i="27"/>
  <c r="J147" i="27"/>
  <c r="J163" i="27"/>
  <c r="J179" i="27"/>
  <c r="J195" i="27"/>
  <c r="J211" i="27"/>
  <c r="J223" i="27"/>
  <c r="J239" i="27"/>
  <c r="J251" i="27"/>
  <c r="J263" i="27"/>
  <c r="J275" i="27"/>
  <c r="J287" i="27"/>
  <c r="J295" i="27"/>
  <c r="J307" i="27"/>
  <c r="J319" i="27"/>
  <c r="J327" i="27"/>
  <c r="J335" i="27"/>
  <c r="J339" i="27"/>
  <c r="J347" i="27"/>
  <c r="J355" i="27"/>
  <c r="J363" i="27"/>
  <c r="J371" i="27"/>
  <c r="J379" i="27"/>
  <c r="J387" i="27"/>
  <c r="J407" i="27"/>
  <c r="J415" i="27"/>
  <c r="J435" i="27"/>
  <c r="J443" i="27"/>
  <c r="J451" i="27"/>
  <c r="J459" i="27"/>
  <c r="J467" i="27"/>
  <c r="J475" i="27"/>
  <c r="J483" i="27"/>
  <c r="J491" i="27"/>
  <c r="J499" i="27"/>
  <c r="J507" i="27"/>
  <c r="J515" i="27"/>
  <c r="J527" i="27"/>
  <c r="J531" i="27"/>
  <c r="J543" i="27"/>
  <c r="J551" i="27"/>
  <c r="J559" i="27"/>
  <c r="J567" i="27"/>
  <c r="J575" i="27"/>
  <c r="J583" i="27"/>
  <c r="J591" i="27"/>
  <c r="J599" i="27"/>
  <c r="J607" i="27"/>
  <c r="J615" i="27"/>
  <c r="J623" i="27"/>
  <c r="J627" i="27"/>
  <c r="J635" i="27"/>
  <c r="J643" i="27"/>
  <c r="J659" i="27"/>
  <c r="J15" i="27"/>
  <c r="J31" i="27"/>
  <c r="J55" i="27"/>
  <c r="J71" i="27"/>
  <c r="J91" i="27"/>
  <c r="J107" i="27"/>
  <c r="J119" i="27"/>
  <c r="J135" i="27"/>
  <c r="J155" i="27"/>
  <c r="J171" i="27"/>
  <c r="J191" i="27"/>
  <c r="J207" i="27"/>
  <c r="J219" i="27"/>
  <c r="J235" i="27"/>
  <c r="J247" i="27"/>
  <c r="J259" i="27"/>
  <c r="J271" i="27"/>
  <c r="J279" i="27"/>
  <c r="J291" i="27"/>
  <c r="J299" i="27"/>
  <c r="J315" i="27"/>
  <c r="J383" i="27"/>
  <c r="J52" i="27"/>
  <c r="J11" i="27"/>
  <c r="J27" i="27"/>
  <c r="J43" i="27"/>
  <c r="J59" i="27"/>
  <c r="J75" i="27"/>
  <c r="J87" i="27"/>
  <c r="J103" i="27"/>
  <c r="J123" i="27"/>
  <c r="J139" i="27"/>
  <c r="J151" i="27"/>
  <c r="J159" i="27"/>
  <c r="J175" i="27"/>
  <c r="J187" i="27"/>
  <c r="J203" i="27"/>
  <c r="J215" i="27"/>
  <c r="J231" i="27"/>
  <c r="J243" i="27"/>
  <c r="J255" i="27"/>
  <c r="J267" i="27"/>
  <c r="J283" i="27"/>
  <c r="J323" i="27"/>
  <c r="J331" i="27"/>
  <c r="J395" i="27"/>
  <c r="J44" i="27"/>
  <c r="J7" i="27"/>
  <c r="J23" i="27"/>
  <c r="J47" i="27"/>
  <c r="J63" i="27"/>
  <c r="J79" i="27"/>
  <c r="J95" i="27"/>
  <c r="J111" i="27"/>
  <c r="J127" i="27"/>
  <c r="J143" i="27"/>
  <c r="J167" i="27"/>
  <c r="J183" i="27"/>
  <c r="J199" i="27"/>
  <c r="J227" i="27"/>
  <c r="J303" i="27"/>
  <c r="Q2" i="3"/>
  <c r="P2" i="3"/>
  <c r="F2" i="3"/>
  <c r="K2" i="3"/>
  <c r="O2" i="3"/>
  <c r="J48" i="27"/>
  <c r="J12" i="27"/>
  <c r="J20" i="27"/>
  <c r="J32" i="27"/>
  <c r="J24" i="27"/>
  <c r="J192" i="27"/>
  <c r="J8" i="27"/>
  <c r="J16" i="27"/>
  <c r="J28" i="27"/>
  <c r="J36" i="27"/>
  <c r="J6" i="27"/>
  <c r="J10" i="27"/>
  <c r="J14" i="27"/>
  <c r="J18" i="27"/>
  <c r="J22" i="27"/>
  <c r="J26" i="27"/>
  <c r="J30" i="27"/>
  <c r="J34" i="27"/>
  <c r="J38" i="27"/>
  <c r="J42" i="27"/>
  <c r="J46" i="27"/>
  <c r="J50" i="27"/>
  <c r="J66" i="27"/>
  <c r="J70" i="27"/>
  <c r="J74" i="27"/>
  <c r="J78" i="27"/>
  <c r="J314" i="27"/>
  <c r="J318" i="27"/>
  <c r="J322" i="27"/>
  <c r="J326" i="27"/>
  <c r="J330" i="27"/>
  <c r="J334" i="27"/>
  <c r="J338" i="27"/>
  <c r="J342" i="27"/>
  <c r="J346" i="27"/>
  <c r="J350" i="27"/>
  <c r="J354" i="27"/>
  <c r="J358" i="27"/>
  <c r="J366" i="27"/>
  <c r="J370" i="27"/>
  <c r="J378" i="27"/>
  <c r="J382" i="27"/>
  <c r="J386" i="27"/>
  <c r="J390" i="27"/>
  <c r="J394" i="27"/>
  <c r="J398" i="27"/>
  <c r="J402" i="27"/>
  <c r="J406" i="27"/>
  <c r="J410" i="27"/>
  <c r="J414" i="27"/>
  <c r="J418" i="27"/>
  <c r="J430" i="27"/>
  <c r="J434" i="27"/>
  <c r="J438" i="27"/>
  <c r="J442" i="27"/>
  <c r="J446" i="27"/>
  <c r="J450" i="27"/>
  <c r="J454" i="27"/>
  <c r="J458" i="27"/>
  <c r="J462" i="27"/>
  <c r="J466" i="27"/>
  <c r="J470" i="27"/>
  <c r="J474" i="27"/>
  <c r="J478" i="27"/>
  <c r="J482" i="27"/>
  <c r="J486" i="27"/>
  <c r="J490" i="27"/>
  <c r="J494" i="27"/>
  <c r="J498" i="27"/>
  <c r="J502" i="27"/>
  <c r="J506" i="27"/>
  <c r="J510" i="27"/>
  <c r="J514" i="27"/>
  <c r="J518" i="27"/>
  <c r="J522" i="27"/>
  <c r="J526" i="27"/>
  <c r="J530" i="27"/>
  <c r="J534" i="27"/>
  <c r="J538" i="27"/>
  <c r="J64" i="27"/>
  <c r="J80" i="27"/>
  <c r="J96" i="27"/>
  <c r="J112" i="27"/>
  <c r="J128" i="27"/>
  <c r="J144" i="27"/>
  <c r="J160" i="27"/>
  <c r="J184" i="27"/>
  <c r="J208" i="27"/>
  <c r="J224" i="27"/>
  <c r="J240" i="27"/>
  <c r="J256" i="27"/>
  <c r="J272" i="27"/>
  <c r="J288" i="27"/>
  <c r="J312" i="27"/>
  <c r="J332" i="27"/>
  <c r="J356" i="27"/>
  <c r="J376" i="27"/>
  <c r="J392" i="27"/>
  <c r="J416" i="27"/>
  <c r="J436" i="27"/>
  <c r="J460" i="27"/>
  <c r="J488" i="27"/>
  <c r="J540" i="27"/>
  <c r="J648" i="27"/>
  <c r="J68" i="27"/>
  <c r="J84" i="27"/>
  <c r="J100" i="27"/>
  <c r="J116" i="27"/>
  <c r="J132" i="27"/>
  <c r="J148" i="27"/>
  <c r="J164" i="27"/>
  <c r="J176" i="27"/>
  <c r="J196" i="27"/>
  <c r="J216" i="27"/>
  <c r="J232" i="27"/>
  <c r="J244" i="27"/>
  <c r="J260" i="27"/>
  <c r="J276" i="27"/>
  <c r="J296" i="27"/>
  <c r="J308" i="27"/>
  <c r="J324" i="27"/>
  <c r="J340" i="27"/>
  <c r="J352" i="27"/>
  <c r="J372" i="27"/>
  <c r="J388" i="27"/>
  <c r="J404" i="27"/>
  <c r="J424" i="27"/>
  <c r="J440" i="27"/>
  <c r="J452" i="27"/>
  <c r="J468" i="27"/>
  <c r="J476" i="27"/>
  <c r="J492" i="27"/>
  <c r="J504" i="27"/>
  <c r="J516" i="27"/>
  <c r="J528" i="27"/>
  <c r="J548" i="27"/>
  <c r="J560" i="27"/>
  <c r="J572" i="27"/>
  <c r="J584" i="27"/>
  <c r="J600" i="27"/>
  <c r="J612" i="27"/>
  <c r="J628" i="27"/>
  <c r="J652" i="27"/>
  <c r="J72" i="27"/>
  <c r="J88" i="27"/>
  <c r="J104" i="27"/>
  <c r="J120" i="27"/>
  <c r="J136" i="27"/>
  <c r="J152" i="27"/>
  <c r="J168" i="27"/>
  <c r="J180" i="27"/>
  <c r="J200" i="27"/>
  <c r="J220" i="27"/>
  <c r="J236" i="27"/>
  <c r="J252" i="27"/>
  <c r="J268" i="27"/>
  <c r="J284" i="27"/>
  <c r="J300" i="27"/>
  <c r="J316" i="27"/>
  <c r="J328" i="27"/>
  <c r="J344" i="27"/>
  <c r="J364" i="27"/>
  <c r="J380" i="27"/>
  <c r="J396" i="27"/>
  <c r="J408" i="27"/>
  <c r="J432" i="27"/>
  <c r="J448" i="27"/>
  <c r="J464" i="27"/>
  <c r="J480" i="27"/>
  <c r="J500" i="27"/>
  <c r="J512" i="27"/>
  <c r="J524" i="27"/>
  <c r="J536" i="27"/>
  <c r="J552" i="27"/>
  <c r="J568" i="27"/>
  <c r="J580" i="27"/>
  <c r="J592" i="27"/>
  <c r="J604" i="27"/>
  <c r="J616" i="27"/>
  <c r="J624" i="27"/>
  <c r="J640" i="27"/>
  <c r="J660" i="27"/>
  <c r="J636" i="27"/>
  <c r="J76" i="27"/>
  <c r="J92" i="27"/>
  <c r="J108" i="27"/>
  <c r="J124" i="27"/>
  <c r="J140" i="27"/>
  <c r="J156" i="27"/>
  <c r="J172" i="27"/>
  <c r="J188" i="27"/>
  <c r="J204" i="27"/>
  <c r="J228" i="27"/>
  <c r="J248" i="27"/>
  <c r="J264" i="27"/>
  <c r="J280" i="27"/>
  <c r="J292" i="27"/>
  <c r="J304" i="27"/>
  <c r="J320" i="27"/>
  <c r="J336" i="27"/>
  <c r="J348" i="27"/>
  <c r="J368" i="27"/>
  <c r="J384" i="27"/>
  <c r="J400" i="27"/>
  <c r="J412" i="27"/>
  <c r="J428" i="27"/>
  <c r="J444" i="27"/>
  <c r="J456" i="27"/>
  <c r="J472" i="27"/>
  <c r="J484" i="27"/>
  <c r="J496" i="27"/>
  <c r="J508" i="27"/>
  <c r="J520" i="27"/>
  <c r="J532" i="27"/>
  <c r="J544" i="27"/>
  <c r="J556" i="27"/>
  <c r="J564" i="27"/>
  <c r="J576" i="27"/>
  <c r="J588" i="27"/>
  <c r="J596" i="27"/>
  <c r="J608" i="27"/>
  <c r="J620" i="27"/>
  <c r="J632" i="27"/>
  <c r="J644" i="27"/>
  <c r="J656" i="27"/>
  <c r="J542" i="27"/>
  <c r="J546" i="27"/>
  <c r="J550" i="27"/>
  <c r="J554" i="27"/>
  <c r="J558" i="27"/>
  <c r="J562" i="27"/>
  <c r="J566" i="27"/>
  <c r="J570" i="27"/>
  <c r="J574" i="27"/>
  <c r="J578" i="27"/>
  <c r="J582" i="27"/>
  <c r="J586" i="27"/>
  <c r="J590" i="27"/>
  <c r="J594" i="27"/>
  <c r="J598" i="27"/>
  <c r="J602" i="27"/>
  <c r="J606" i="27"/>
  <c r="J610" i="27"/>
  <c r="J614" i="27"/>
  <c r="J618" i="27"/>
  <c r="J622" i="27"/>
  <c r="J626" i="27"/>
  <c r="J630" i="27"/>
  <c r="J634" i="27"/>
  <c r="J638" i="27"/>
  <c r="J642" i="27"/>
  <c r="J646" i="27"/>
  <c r="J650" i="27"/>
  <c r="J654" i="27"/>
  <c r="J658" i="27"/>
  <c r="J9" i="27"/>
  <c r="J13" i="27"/>
  <c r="J17" i="27"/>
  <c r="J21" i="27"/>
  <c r="J25" i="27"/>
  <c r="J29" i="27"/>
  <c r="J33" i="27"/>
  <c r="J37" i="27"/>
  <c r="J41" i="27"/>
  <c r="J45" i="27"/>
  <c r="J49" i="27"/>
  <c r="J53" i="27"/>
  <c r="J57" i="27"/>
  <c r="J61" i="27"/>
  <c r="J65" i="27"/>
  <c r="J69" i="27"/>
  <c r="J73" i="27"/>
  <c r="J77" i="27"/>
  <c r="J313" i="27"/>
  <c r="J317" i="27"/>
  <c r="J321" i="27"/>
  <c r="J325" i="27"/>
  <c r="J329" i="27"/>
  <c r="J333" i="27"/>
  <c r="J337" i="27"/>
  <c r="J341" i="27"/>
  <c r="J345" i="27"/>
  <c r="J349" i="27"/>
  <c r="J353" i="27"/>
  <c r="J357" i="27"/>
  <c r="J361" i="27"/>
  <c r="J365" i="27"/>
  <c r="J369" i="27"/>
  <c r="J373" i="27"/>
  <c r="J377" i="27"/>
  <c r="J381" i="27"/>
  <c r="J385" i="27"/>
  <c r="J389" i="27"/>
  <c r="J393" i="27"/>
  <c r="J405" i="27"/>
  <c r="J409" i="27"/>
  <c r="J413" i="27"/>
  <c r="J417" i="27"/>
  <c r="J433" i="27"/>
  <c r="J437" i="27"/>
  <c r="J441" i="27"/>
  <c r="J445" i="27"/>
  <c r="J449" i="27"/>
  <c r="J453" i="27"/>
  <c r="J457" i="27"/>
  <c r="J461" i="27"/>
  <c r="J465" i="27"/>
  <c r="J469" i="27"/>
  <c r="J473" i="27"/>
  <c r="J477" i="27"/>
  <c r="J481" i="27"/>
  <c r="J485" i="27"/>
  <c r="J489" i="27"/>
  <c r="J493" i="27"/>
  <c r="J497" i="27"/>
  <c r="J501" i="27"/>
  <c r="J505" i="27"/>
  <c r="J509" i="27"/>
  <c r="J513" i="27"/>
  <c r="J517" i="27"/>
  <c r="J521" i="27"/>
  <c r="J81" i="27"/>
  <c r="J85" i="27"/>
  <c r="J89" i="27"/>
  <c r="J93" i="27"/>
  <c r="J97" i="27"/>
  <c r="J101" i="27"/>
  <c r="J105" i="27"/>
  <c r="J109" i="27"/>
  <c r="J113" i="27"/>
  <c r="J117" i="27"/>
  <c r="J121" i="27"/>
  <c r="J125" i="27"/>
  <c r="J129" i="27"/>
  <c r="J133" i="27"/>
  <c r="J137" i="27"/>
  <c r="J141" i="27"/>
  <c r="J149" i="27"/>
  <c r="J153" i="27"/>
  <c r="J157" i="27"/>
  <c r="J161" i="27"/>
  <c r="J165" i="27"/>
  <c r="J169" i="27"/>
  <c r="J173" i="27"/>
  <c r="J177" i="27"/>
  <c r="J181" i="27"/>
  <c r="J185" i="27"/>
  <c r="J189" i="27"/>
  <c r="J193" i="27"/>
  <c r="J197" i="27"/>
  <c r="J201" i="27"/>
  <c r="J205" i="27"/>
  <c r="J209" i="27"/>
  <c r="J213" i="27"/>
  <c r="J217" i="27"/>
  <c r="J221" i="27"/>
  <c r="J225" i="27"/>
  <c r="J229" i="27"/>
  <c r="J233" i="27"/>
  <c r="J237" i="27"/>
  <c r="J241" i="27"/>
  <c r="J245" i="27"/>
  <c r="J249" i="27"/>
  <c r="J253" i="27"/>
  <c r="J257" i="27"/>
  <c r="J261" i="27"/>
  <c r="J265" i="27"/>
  <c r="J269" i="27"/>
  <c r="J273" i="27"/>
  <c r="J277" i="27"/>
  <c r="J281" i="27"/>
  <c r="J285" i="27"/>
  <c r="J289" i="27"/>
  <c r="J293" i="27"/>
  <c r="J297" i="27"/>
  <c r="J301" i="27"/>
  <c r="J305" i="27"/>
  <c r="J309" i="27"/>
  <c r="J525" i="27"/>
  <c r="J529" i="27"/>
  <c r="J533" i="27"/>
  <c r="J537" i="27"/>
  <c r="J541" i="27"/>
  <c r="J545" i="27"/>
  <c r="J549" i="27"/>
  <c r="J553" i="27"/>
  <c r="J557" i="27"/>
  <c r="J561" i="27"/>
  <c r="J565" i="27"/>
  <c r="J569" i="27"/>
  <c r="J573" i="27"/>
  <c r="J577" i="27"/>
  <c r="J581" i="27"/>
  <c r="J585" i="27"/>
  <c r="J589" i="27"/>
  <c r="J593" i="27"/>
  <c r="J597" i="27"/>
  <c r="J601" i="27"/>
  <c r="J605" i="27"/>
  <c r="J609" i="27"/>
  <c r="J613" i="27"/>
  <c r="J617" i="27"/>
  <c r="J621" i="27"/>
  <c r="J629" i="27"/>
  <c r="J633" i="27"/>
  <c r="J637" i="27"/>
  <c r="J641" i="27"/>
  <c r="J645" i="27"/>
  <c r="J649" i="27"/>
  <c r="J653" i="27"/>
  <c r="J657" i="27"/>
  <c r="J82" i="27"/>
  <c r="J86" i="27"/>
  <c r="J90" i="27"/>
  <c r="J94" i="27"/>
  <c r="J98" i="27"/>
  <c r="J102" i="27"/>
  <c r="J106" i="27"/>
  <c r="J110" i="27"/>
  <c r="J114" i="27"/>
  <c r="J118" i="27"/>
  <c r="J122" i="27"/>
  <c r="J126" i="27"/>
  <c r="J130" i="27"/>
  <c r="J134" i="27"/>
  <c r="J138" i="27"/>
  <c r="J142" i="27"/>
  <c r="J146" i="27"/>
  <c r="J150" i="27"/>
  <c r="J154" i="27"/>
  <c r="J158" i="27"/>
  <c r="J162" i="27"/>
  <c r="J166" i="27"/>
  <c r="J170" i="27"/>
  <c r="J174" i="27"/>
  <c r="J178" i="27"/>
  <c r="J182" i="27"/>
  <c r="J186" i="27"/>
  <c r="J190" i="27"/>
  <c r="J194" i="27"/>
  <c r="J198" i="27"/>
  <c r="J206" i="27"/>
  <c r="J210" i="27"/>
  <c r="J214" i="27"/>
  <c r="J218" i="27"/>
  <c r="J222" i="27"/>
  <c r="J226" i="27"/>
  <c r="J230" i="27"/>
  <c r="J234" i="27"/>
  <c r="J238" i="27"/>
  <c r="J242" i="27"/>
  <c r="J246" i="27"/>
  <c r="J254" i="27"/>
  <c r="J258" i="27"/>
  <c r="J262" i="27"/>
  <c r="J266" i="27"/>
  <c r="J270" i="27"/>
  <c r="J274" i="27"/>
  <c r="J278" i="27"/>
  <c r="J282" i="27"/>
  <c r="J286" i="27"/>
  <c r="J290" i="27"/>
  <c r="J294" i="27"/>
  <c r="J298" i="27"/>
  <c r="J302" i="27"/>
  <c r="J306" i="27"/>
  <c r="J310" i="27"/>
  <c r="J661" i="27"/>
  <c r="P3" i="13"/>
  <c r="C3" i="13" s="1"/>
  <c r="J399" i="27"/>
  <c r="J425" i="27"/>
  <c r="J401" i="27"/>
  <c r="J250" i="27"/>
  <c r="J421" i="27"/>
  <c r="J62" i="27"/>
  <c r="J362" i="27"/>
  <c r="J374" i="27"/>
  <c r="J397" i="27"/>
  <c r="J419" i="27"/>
  <c r="J145" i="27"/>
  <c r="J58" i="27"/>
  <c r="J360" i="27"/>
  <c r="J431" i="27"/>
  <c r="J427" i="27"/>
  <c r="J311" i="27"/>
  <c r="J422" i="27"/>
  <c r="L3" i="27"/>
  <c r="J429" i="27"/>
  <c r="J39" i="27"/>
  <c r="J423" i="27"/>
  <c r="M3" i="27"/>
  <c r="J420" i="27"/>
  <c r="J212" i="27"/>
  <c r="J202" i="27"/>
  <c r="C2" i="3"/>
  <c r="D2" i="3"/>
  <c r="J40" i="27"/>
  <c r="J60" i="27"/>
  <c r="J426" i="27"/>
  <c r="K3" i="27"/>
  <c r="J56" i="27"/>
  <c r="J54" i="27"/>
  <c r="J651" i="27"/>
  <c r="J625" i="27"/>
  <c r="N3" i="3"/>
  <c r="N25" i="13"/>
  <c r="P25" i="13" s="1"/>
  <c r="B2" i="3"/>
  <c r="W18" i="2" a="1"/>
  <c r="W18" i="2" s="1"/>
  <c r="W20" i="2" a="1"/>
  <c r="W20" i="2" s="1"/>
  <c r="W9" i="2" a="1"/>
  <c r="W9" i="2" s="1"/>
  <c r="W19" i="2" a="1"/>
  <c r="W19" i="2" s="1"/>
  <c r="W21" i="2" a="1"/>
  <c r="W21" i="2" s="1"/>
  <c r="W10" i="2" a="1"/>
  <c r="W10" i="2" s="1"/>
  <c r="W11" i="2" a="1"/>
  <c r="W11" i="2" s="1"/>
  <c r="W12" i="2" a="1"/>
  <c r="W12" i="2" s="1"/>
  <c r="W13" i="2" a="1"/>
  <c r="W13" i="2" s="1"/>
  <c r="W3" i="2" a="1"/>
  <c r="W3" i="2" s="1"/>
  <c r="W16" i="2" a="1"/>
  <c r="W16" i="2" s="1"/>
  <c r="W4" i="2" a="1"/>
  <c r="W4" i="2" s="1"/>
  <c r="W7" i="2" a="1"/>
  <c r="W7" i="2" s="1"/>
  <c r="W8" i="2" a="1"/>
  <c r="W8" i="2" s="1"/>
  <c r="W14" i="2" a="1"/>
  <c r="W14" i="2" s="1"/>
  <c r="W15" i="2" a="1"/>
  <c r="W15" i="2" s="1"/>
  <c r="W5" i="2" a="1"/>
  <c r="W5" i="2" s="1"/>
  <c r="W6" i="2" a="1"/>
  <c r="W6" i="2" s="1"/>
  <c r="W17" i="2" a="1"/>
  <c r="W17" i="2" s="1"/>
  <c r="G772" i="27" l="1"/>
  <c r="H772" i="27"/>
  <c r="G771" i="27"/>
  <c r="H771" i="27"/>
  <c r="H757" i="27"/>
  <c r="G770" i="27"/>
  <c r="H770" i="27"/>
  <c r="G769" i="27"/>
  <c r="H769" i="27"/>
  <c r="G768" i="27"/>
  <c r="H768" i="27"/>
  <c r="G767" i="27"/>
  <c r="H767" i="27"/>
  <c r="G766" i="27"/>
  <c r="H766" i="27"/>
  <c r="G765" i="27"/>
  <c r="H765" i="27"/>
  <c r="G764" i="27"/>
  <c r="H764" i="27"/>
  <c r="G763" i="27"/>
  <c r="H763" i="27"/>
  <c r="G762" i="27"/>
  <c r="H762" i="27"/>
  <c r="H758" i="27"/>
  <c r="G757" i="27"/>
  <c r="G761" i="27"/>
  <c r="H761" i="27"/>
  <c r="G758" i="27"/>
  <c r="H760" i="27"/>
  <c r="G760" i="27"/>
  <c r="H759" i="27"/>
  <c r="G759" i="27"/>
  <c r="G756" i="27"/>
  <c r="H756" i="27"/>
  <c r="G755" i="27"/>
  <c r="H755" i="27"/>
  <c r="G754" i="27"/>
  <c r="H754" i="27"/>
  <c r="G753" i="27"/>
  <c r="H753" i="27"/>
  <c r="G752" i="27"/>
  <c r="H752" i="27"/>
  <c r="G751" i="27"/>
  <c r="H751" i="27"/>
  <c r="G750" i="27"/>
  <c r="H750" i="27"/>
  <c r="G749" i="27"/>
  <c r="H749" i="27"/>
  <c r="G748" i="27"/>
  <c r="H748" i="27"/>
  <c r="G747" i="27"/>
  <c r="H747" i="27"/>
  <c r="G746" i="27"/>
  <c r="H746" i="27"/>
  <c r="G745" i="27"/>
  <c r="H745" i="27"/>
  <c r="N31" i="13"/>
  <c r="P31" i="13" s="1"/>
  <c r="N41" i="13"/>
  <c r="O41" i="13" s="1"/>
  <c r="N68" i="13"/>
  <c r="P68" i="13" s="1"/>
  <c r="N93" i="13"/>
  <c r="P93" i="13" s="1"/>
  <c r="G744" i="27"/>
  <c r="H744" i="27"/>
  <c r="G743" i="27"/>
  <c r="H743" i="27"/>
  <c r="G359" i="27"/>
  <c r="N19" i="13"/>
  <c r="P19" i="13" s="1"/>
  <c r="H728" i="27"/>
  <c r="H727" i="27"/>
  <c r="H730" i="27"/>
  <c r="H741" i="27"/>
  <c r="H729" i="27"/>
  <c r="H416" i="27"/>
  <c r="H630" i="27"/>
  <c r="H635" i="27"/>
  <c r="H412" i="27"/>
  <c r="H588" i="27"/>
  <c r="H425" i="27"/>
  <c r="H146" i="27"/>
  <c r="H174" i="27"/>
  <c r="H202" i="27"/>
  <c r="H152" i="27"/>
  <c r="H103" i="27"/>
  <c r="H109" i="27"/>
  <c r="H674" i="27"/>
  <c r="H509" i="27"/>
  <c r="H59" i="27"/>
  <c r="H454" i="27"/>
  <c r="H514" i="27"/>
  <c r="H34" i="27"/>
  <c r="H242" i="27"/>
  <c r="H233" i="27"/>
  <c r="H252" i="27"/>
  <c r="H422" i="27"/>
  <c r="H407" i="27"/>
  <c r="H355" i="27"/>
  <c r="H309" i="27"/>
  <c r="H497" i="27"/>
  <c r="H453" i="27"/>
  <c r="H483" i="27"/>
  <c r="H697" i="27"/>
  <c r="H616" i="27"/>
  <c r="H434" i="27"/>
  <c r="H9" i="27"/>
  <c r="H68" i="27"/>
  <c r="H228" i="27"/>
  <c r="H470" i="27"/>
  <c r="H182" i="27"/>
  <c r="H475" i="27"/>
  <c r="H372" i="27"/>
  <c r="H70" i="27"/>
  <c r="H534" i="27"/>
  <c r="H688" i="27"/>
  <c r="H695" i="27"/>
  <c r="H693" i="27"/>
  <c r="H547" i="27"/>
  <c r="H256" i="27"/>
  <c r="H42" i="27"/>
  <c r="H67" i="27"/>
  <c r="H56" i="27"/>
  <c r="H610" i="27"/>
  <c r="H565" i="27"/>
  <c r="H338" i="27"/>
  <c r="H478" i="27"/>
  <c r="H670" i="27"/>
  <c r="H296" i="27"/>
  <c r="H318" i="27"/>
  <c r="H572" i="27"/>
  <c r="H162" i="27"/>
  <c r="H44" i="27"/>
  <c r="H571" i="27"/>
  <c r="H629" i="27"/>
  <c r="H624" i="27"/>
  <c r="H657" i="27"/>
  <c r="H575" i="27"/>
  <c r="H424" i="27"/>
  <c r="H141" i="27"/>
  <c r="H139" i="27"/>
  <c r="H137" i="27"/>
  <c r="H88" i="27"/>
  <c r="H147" i="27"/>
  <c r="H97" i="27"/>
  <c r="H30" i="27"/>
  <c r="H510" i="27"/>
  <c r="H17" i="27"/>
  <c r="H439" i="27"/>
  <c r="H451" i="27"/>
  <c r="H190" i="27"/>
  <c r="H239" i="27"/>
  <c r="H201" i="27"/>
  <c r="H260" i="27"/>
  <c r="H240" i="27"/>
  <c r="H423" i="27"/>
  <c r="H218" i="27"/>
  <c r="H305" i="27"/>
  <c r="H302" i="27"/>
  <c r="H496" i="27"/>
  <c r="H438" i="27"/>
  <c r="H459" i="27"/>
  <c r="H685" i="27"/>
  <c r="H426" i="27"/>
  <c r="H663" i="27"/>
  <c r="H198" i="27"/>
  <c r="H31" i="27"/>
  <c r="H204" i="27"/>
  <c r="H464" i="27"/>
  <c r="H232" i="27"/>
  <c r="H471" i="27"/>
  <c r="H400" i="27"/>
  <c r="H391" i="27"/>
  <c r="H380" i="27"/>
  <c r="H266" i="27"/>
  <c r="H73" i="27"/>
  <c r="H533" i="27"/>
  <c r="H677" i="27"/>
  <c r="H604" i="27"/>
  <c r="H705" i="27"/>
  <c r="H269" i="27"/>
  <c r="H723" i="27"/>
  <c r="H71" i="27"/>
  <c r="H210" i="27"/>
  <c r="H55" i="27"/>
  <c r="H600" i="27"/>
  <c r="H563" i="27"/>
  <c r="H669" i="27"/>
  <c r="H347" i="27"/>
  <c r="H307" i="27"/>
  <c r="H410" i="27"/>
  <c r="H292" i="27"/>
  <c r="H158" i="27"/>
  <c r="H360" i="27"/>
  <c r="H235" i="27"/>
  <c r="H359" i="27"/>
  <c r="H557" i="27"/>
  <c r="H628" i="27"/>
  <c r="H650" i="27"/>
  <c r="H592" i="27"/>
  <c r="H658" i="27"/>
  <c r="H131" i="27"/>
  <c r="H127" i="27"/>
  <c r="H125" i="27"/>
  <c r="H122" i="27"/>
  <c r="H20" i="27"/>
  <c r="H135" i="27"/>
  <c r="H85" i="27"/>
  <c r="H50" i="27"/>
  <c r="H632" i="27"/>
  <c r="H199" i="27"/>
  <c r="H518" i="27"/>
  <c r="H436" i="27"/>
  <c r="H65" i="27"/>
  <c r="H258" i="27"/>
  <c r="H245" i="27"/>
  <c r="H421" i="27"/>
  <c r="H151" i="27"/>
  <c r="H304" i="27"/>
  <c r="H346" i="27"/>
  <c r="H479" i="27"/>
  <c r="H489" i="27"/>
  <c r="H447" i="27"/>
  <c r="H596" i="27"/>
  <c r="H440" i="27"/>
  <c r="H271" i="27"/>
  <c r="H197" i="27"/>
  <c r="H46" i="27"/>
  <c r="H36" i="27"/>
  <c r="H715" i="27"/>
  <c r="H215" i="27"/>
  <c r="H159" i="27"/>
  <c r="H401" i="27"/>
  <c r="H713" i="27"/>
  <c r="H376" i="27"/>
  <c r="H394" i="27"/>
  <c r="H200" i="27"/>
  <c r="H542" i="27"/>
  <c r="H538" i="27"/>
  <c r="H690" i="27"/>
  <c r="H707" i="27"/>
  <c r="H691" i="27"/>
  <c r="H41" i="27"/>
  <c r="H7" i="27"/>
  <c r="H52" i="27"/>
  <c r="H549" i="27"/>
  <c r="H562" i="27"/>
  <c r="H324" i="27"/>
  <c r="H334" i="27"/>
  <c r="H356" i="27"/>
  <c r="H345" i="27"/>
  <c r="H133" i="27"/>
  <c r="H648" i="27"/>
  <c r="H732" i="27"/>
  <c r="H569" i="27"/>
  <c r="H626" i="27"/>
  <c r="H649" i="27"/>
  <c r="H656" i="27"/>
  <c r="H593" i="27"/>
  <c r="H130" i="27"/>
  <c r="H112" i="27"/>
  <c r="H92" i="27"/>
  <c r="H105" i="27"/>
  <c r="H111" i="27"/>
  <c r="H13" i="27"/>
  <c r="H265" i="27"/>
  <c r="H506" i="27"/>
  <c r="H526" i="27"/>
  <c r="H460" i="27"/>
  <c r="H513" i="27"/>
  <c r="H206" i="27"/>
  <c r="H282" i="27"/>
  <c r="H253" i="27"/>
  <c r="H598" i="27"/>
  <c r="H221" i="27"/>
  <c r="H209" i="27"/>
  <c r="H308" i="27"/>
  <c r="H634" i="27"/>
  <c r="H644" i="27"/>
  <c r="H435" i="27"/>
  <c r="H595" i="27"/>
  <c r="H452" i="27"/>
  <c r="H408" i="27"/>
  <c r="H62" i="27"/>
  <c r="H35" i="27"/>
  <c r="H10" i="27"/>
  <c r="H402" i="27"/>
  <c r="H211" i="27"/>
  <c r="H386" i="27"/>
  <c r="H378" i="27"/>
  <c r="H477" i="27"/>
  <c r="H403" i="27"/>
  <c r="H637" i="27"/>
  <c r="H544" i="27"/>
  <c r="H532" i="27"/>
  <c r="H701" i="27"/>
  <c r="H694" i="27"/>
  <c r="H599" i="27"/>
  <c r="H704" i="27"/>
  <c r="H721" i="27"/>
  <c r="H39" i="27"/>
  <c r="H90" i="27"/>
  <c r="H170" i="27"/>
  <c r="H703" i="27"/>
  <c r="H561" i="27"/>
  <c r="H297" i="27"/>
  <c r="H321" i="27"/>
  <c r="H337" i="27"/>
  <c r="H333" i="27"/>
  <c r="H411" i="27"/>
  <c r="H553" i="27"/>
  <c r="H230" i="27"/>
  <c r="H731" i="27"/>
  <c r="H556" i="27"/>
  <c r="H625" i="27"/>
  <c r="H660" i="27"/>
  <c r="H590" i="27"/>
  <c r="H587" i="27"/>
  <c r="H116" i="27"/>
  <c r="H177" i="27"/>
  <c r="H94" i="27"/>
  <c r="H26" i="27"/>
  <c r="H22" i="27"/>
  <c r="H129" i="27"/>
  <c r="H99" i="27"/>
  <c r="H120" i="27"/>
  <c r="H503" i="27"/>
  <c r="H511" i="27"/>
  <c r="H521" i="27"/>
  <c r="H519" i="27"/>
  <c r="H726" i="27"/>
  <c r="H257" i="27"/>
  <c r="H286" i="27"/>
  <c r="H363" i="27"/>
  <c r="H241" i="27"/>
  <c r="H172" i="27"/>
  <c r="H636" i="27"/>
  <c r="H224" i="27"/>
  <c r="H353" i="27"/>
  <c r="H350" i="27"/>
  <c r="H491" i="27"/>
  <c r="H485" i="27"/>
  <c r="H493" i="27"/>
  <c r="H617" i="27"/>
  <c r="H437" i="27"/>
  <c r="H107" i="27"/>
  <c r="H187" i="27"/>
  <c r="H19" i="27"/>
  <c r="H191" i="27"/>
  <c r="H702" i="27"/>
  <c r="H81" i="27"/>
  <c r="H467" i="27"/>
  <c r="H469" i="27"/>
  <c r="H383" i="27"/>
  <c r="H367" i="27"/>
  <c r="H382" i="27"/>
  <c r="H388" i="27"/>
  <c r="H638" i="27"/>
  <c r="H539" i="27"/>
  <c r="H543" i="27"/>
  <c r="H689" i="27"/>
  <c r="H681" i="27"/>
  <c r="H530" i="27"/>
  <c r="H720" i="27"/>
  <c r="H468" i="27"/>
  <c r="H157" i="27"/>
  <c r="H278" i="27"/>
  <c r="H194" i="27"/>
  <c r="H560" i="27"/>
  <c r="H342" i="27"/>
  <c r="H295" i="27"/>
  <c r="H298" i="27"/>
  <c r="H320" i="27"/>
  <c r="H220" i="27"/>
  <c r="H546" i="27"/>
  <c r="H229" i="27"/>
  <c r="H409" i="27"/>
  <c r="H734" i="27"/>
  <c r="H672" i="27"/>
  <c r="H627" i="27"/>
  <c r="H621" i="27"/>
  <c r="H577" i="27"/>
  <c r="H574" i="27"/>
  <c r="H115" i="27"/>
  <c r="H285" i="27"/>
  <c r="H64" i="27"/>
  <c r="H184" i="27"/>
  <c r="H14" i="27"/>
  <c r="H87" i="27"/>
  <c r="H192" i="27"/>
  <c r="H38" i="27"/>
  <c r="H96" i="27"/>
  <c r="H502" i="27"/>
  <c r="H512" i="27"/>
  <c r="H641" i="27"/>
  <c r="H517" i="27"/>
  <c r="H6" i="27"/>
  <c r="H238" i="27"/>
  <c r="H280" i="27"/>
  <c r="H283" i="27"/>
  <c r="H279" i="27"/>
  <c r="H181" i="27"/>
  <c r="H472" i="27"/>
  <c r="H671" i="27"/>
  <c r="H155" i="27"/>
  <c r="H299" i="27"/>
  <c r="H306" i="27"/>
  <c r="H494" i="27"/>
  <c r="H441" i="27"/>
  <c r="H481" i="27"/>
  <c r="H664" i="27"/>
  <c r="H666" i="27"/>
  <c r="H89" i="27"/>
  <c r="H77" i="27"/>
  <c r="H29" i="27"/>
  <c r="H366" i="27"/>
  <c r="H203" i="27"/>
  <c r="H214" i="27"/>
  <c r="H368" i="27"/>
  <c r="H474" i="27"/>
  <c r="H395" i="27"/>
  <c r="H399" i="27"/>
  <c r="H639" i="27"/>
  <c r="H428" i="27"/>
  <c r="H540" i="27"/>
  <c r="H527" i="27"/>
  <c r="H602" i="27"/>
  <c r="H711" i="27"/>
  <c r="H716" i="27"/>
  <c r="H406" i="27"/>
  <c r="H180" i="27"/>
  <c r="H37" i="27"/>
  <c r="H195" i="27"/>
  <c r="H725" i="27"/>
  <c r="H559" i="27"/>
  <c r="H317" i="27"/>
  <c r="H329" i="27"/>
  <c r="H647" i="27"/>
  <c r="H294" i="27"/>
  <c r="H611" i="27"/>
  <c r="H60" i="27"/>
  <c r="H361" i="27"/>
  <c r="H733" i="27"/>
  <c r="H568" i="27"/>
  <c r="H430" i="27"/>
  <c r="H582" i="27"/>
  <c r="H589" i="27"/>
  <c r="H652" i="27"/>
  <c r="H83" i="27"/>
  <c r="H142" i="27"/>
  <c r="H98" i="27"/>
  <c r="H153" i="27"/>
  <c r="H136" i="27"/>
  <c r="H93" i="27"/>
  <c r="H51" i="27"/>
  <c r="H144" i="27"/>
  <c r="H501" i="27"/>
  <c r="H448" i="27"/>
  <c r="H614" i="27"/>
  <c r="H457" i="27"/>
  <c r="H254" i="27"/>
  <c r="H268" i="27"/>
  <c r="H262" i="27"/>
  <c r="H267" i="27"/>
  <c r="H61" i="27"/>
  <c r="H275" i="27"/>
  <c r="H499" i="27"/>
  <c r="H219" i="27"/>
  <c r="H208" i="27"/>
  <c r="H351" i="27"/>
  <c r="H490" i="27"/>
  <c r="H488" i="27"/>
  <c r="H492" i="27"/>
  <c r="H662" i="27"/>
  <c r="H446" i="27"/>
  <c r="H118" i="27"/>
  <c r="H8" i="27"/>
  <c r="H75" i="27"/>
  <c r="H227" i="27"/>
  <c r="H364" i="27"/>
  <c r="H45" i="27"/>
  <c r="H212" i="27"/>
  <c r="H369" i="27"/>
  <c r="H379" i="27"/>
  <c r="H173" i="27"/>
  <c r="H387" i="27"/>
  <c r="H555" i="27"/>
  <c r="H427" i="27"/>
  <c r="H686" i="27"/>
  <c r="H700" i="27"/>
  <c r="H709" i="27"/>
  <c r="H699" i="27"/>
  <c r="H463" i="27"/>
  <c r="H205" i="27"/>
  <c r="H622" i="27"/>
  <c r="H226" i="27"/>
  <c r="H567" i="27"/>
  <c r="H328" i="27"/>
  <c r="H291" i="27"/>
  <c r="H336" i="27"/>
  <c r="H344" i="27"/>
  <c r="H554" i="27"/>
  <c r="H166" i="27"/>
  <c r="H736" i="27"/>
  <c r="H419" i="27"/>
  <c r="H585" i="27"/>
  <c r="H413" i="27"/>
  <c r="H576" i="27"/>
  <c r="H586" i="27"/>
  <c r="H82" i="27"/>
  <c r="H128" i="27"/>
  <c r="H32" i="27"/>
  <c r="H138" i="27"/>
  <c r="H119" i="27"/>
  <c r="H274" i="27"/>
  <c r="H15" i="27"/>
  <c r="H108" i="27"/>
  <c r="H500" i="27"/>
  <c r="H525" i="27"/>
  <c r="H515" i="27"/>
  <c r="H445" i="27"/>
  <c r="H21" i="27"/>
  <c r="H237" i="27"/>
  <c r="H247" i="27"/>
  <c r="H259" i="27"/>
  <c r="H255" i="27"/>
  <c r="H171" i="27"/>
  <c r="H196" i="27"/>
  <c r="H207" i="27"/>
  <c r="H352" i="27"/>
  <c r="H303" i="27"/>
  <c r="H618" i="27"/>
  <c r="H484" i="27"/>
  <c r="H480" i="27"/>
  <c r="H661" i="27"/>
  <c r="H620" i="27"/>
  <c r="H33" i="27"/>
  <c r="H186" i="27"/>
  <c r="H27" i="27"/>
  <c r="H370" i="27"/>
  <c r="H462" i="27"/>
  <c r="H476" i="27"/>
  <c r="H393" i="27"/>
  <c r="H405" i="27"/>
  <c r="H375" i="27"/>
  <c r="H633" i="27"/>
  <c r="H541" i="27"/>
  <c r="H724" i="27"/>
  <c r="H683" i="27"/>
  <c r="H706" i="27"/>
  <c r="H603" i="27"/>
  <c r="H718" i="27"/>
  <c r="H163" i="27"/>
  <c r="H193" i="27"/>
  <c r="H676" i="27"/>
  <c r="H564" i="27"/>
  <c r="H327" i="27"/>
  <c r="H341" i="27"/>
  <c r="H323" i="27"/>
  <c r="H332" i="27"/>
  <c r="H552" i="27"/>
  <c r="H290" i="27"/>
  <c r="H250" i="27"/>
  <c r="H357" i="27"/>
  <c r="H735" i="27"/>
  <c r="H418" i="27"/>
  <c r="H415" i="27"/>
  <c r="H659" i="27"/>
  <c r="H583" i="27"/>
  <c r="H573" i="27"/>
  <c r="H113" i="27"/>
  <c r="H114" i="27"/>
  <c r="H124" i="27"/>
  <c r="H104" i="27"/>
  <c r="H149" i="27"/>
  <c r="H84" i="27"/>
  <c r="H169" i="27"/>
  <c r="H507" i="27"/>
  <c r="H524" i="27"/>
  <c r="H442" i="27"/>
  <c r="H433" i="27"/>
  <c r="H74" i="27"/>
  <c r="H244" i="27"/>
  <c r="H243" i="27"/>
  <c r="H277" i="27"/>
  <c r="H225" i="27"/>
  <c r="H168" i="27"/>
  <c r="H79" i="27"/>
  <c r="H313" i="27"/>
  <c r="H643" i="27"/>
  <c r="H612" i="27"/>
  <c r="H456" i="27"/>
  <c r="H449" i="27"/>
  <c r="H551" i="27"/>
  <c r="H287" i="27"/>
  <c r="H91" i="27"/>
  <c r="H217" i="27"/>
  <c r="H123" i="27"/>
  <c r="H396" i="27"/>
  <c r="H473" i="27"/>
  <c r="H216" i="27"/>
  <c r="H398" i="27"/>
  <c r="H362" i="27"/>
  <c r="H390" i="27"/>
  <c r="H397" i="27"/>
  <c r="H645" i="27"/>
  <c r="H429" i="27"/>
  <c r="H550" i="27"/>
  <c r="H698" i="27"/>
  <c r="H680" i="27"/>
  <c r="H531" i="27"/>
  <c r="H466" i="27"/>
  <c r="H160" i="27"/>
  <c r="H176" i="27"/>
  <c r="H675" i="27"/>
  <c r="H653" i="27"/>
  <c r="H655" i="27"/>
  <c r="H682" i="27"/>
  <c r="H316" i="27"/>
  <c r="H646" i="27"/>
  <c r="H319" i="27"/>
  <c r="H117" i="27"/>
  <c r="H545" i="27"/>
  <c r="H236" i="27"/>
  <c r="H358" i="27"/>
  <c r="H738" i="27"/>
  <c r="H742" i="27"/>
  <c r="H570" i="27"/>
  <c r="H584" i="27"/>
  <c r="H631" i="27"/>
  <c r="H580" i="27"/>
  <c r="H651" i="27"/>
  <c r="H101" i="27"/>
  <c r="H95" i="27"/>
  <c r="H188" i="27"/>
  <c r="H106" i="27"/>
  <c r="H110" i="27"/>
  <c r="H102" i="27"/>
  <c r="H24" i="27"/>
  <c r="H609" i="27"/>
  <c r="H505" i="27"/>
  <c r="H523" i="27"/>
  <c r="H522" i="27"/>
  <c r="H516" i="27"/>
  <c r="H28" i="27"/>
  <c r="H281" i="27"/>
  <c r="H179" i="27"/>
  <c r="H231" i="27"/>
  <c r="H276" i="27"/>
  <c r="H66" i="27"/>
  <c r="H156" i="27"/>
  <c r="H354" i="27"/>
  <c r="H301" i="27"/>
  <c r="H487" i="27"/>
  <c r="H482" i="27"/>
  <c r="H444" i="27"/>
  <c r="H443" i="27"/>
  <c r="H458" i="27"/>
  <c r="H49" i="27"/>
  <c r="H63" i="27"/>
  <c r="H461" i="27"/>
  <c r="H40" i="27"/>
  <c r="H381" i="27"/>
  <c r="H249" i="27"/>
  <c r="H374" i="27"/>
  <c r="H385" i="27"/>
  <c r="H498" i="27"/>
  <c r="H537" i="27"/>
  <c r="H679" i="27"/>
  <c r="H710" i="27"/>
  <c r="H601" i="27"/>
  <c r="H529" i="27"/>
  <c r="H719" i="27"/>
  <c r="H161" i="27"/>
  <c r="H53" i="27"/>
  <c r="H16" i="27"/>
  <c r="H558" i="27"/>
  <c r="H72" i="27"/>
  <c r="H326" i="27"/>
  <c r="H340" i="27"/>
  <c r="H348" i="27"/>
  <c r="H293" i="27"/>
  <c r="H143" i="27"/>
  <c r="H164" i="27"/>
  <c r="H737" i="27"/>
  <c r="H417" i="27"/>
  <c r="H623" i="27"/>
  <c r="H594" i="27"/>
  <c r="H578" i="27"/>
  <c r="H591" i="27"/>
  <c r="H100" i="27"/>
  <c r="H11" i="27"/>
  <c r="H140" i="27"/>
  <c r="H76" i="27"/>
  <c r="H150" i="27"/>
  <c r="H86" i="27"/>
  <c r="H145" i="27"/>
  <c r="H12" i="27"/>
  <c r="H615" i="27"/>
  <c r="H289" i="27"/>
  <c r="H504" i="27"/>
  <c r="H619" i="27"/>
  <c r="H640" i="27"/>
  <c r="H178" i="27"/>
  <c r="H251" i="27"/>
  <c r="H263" i="27"/>
  <c r="H261" i="27"/>
  <c r="H69" i="27"/>
  <c r="H673" i="27"/>
  <c r="H223" i="27"/>
  <c r="H48" i="27"/>
  <c r="H311" i="27"/>
  <c r="H312" i="27"/>
  <c r="H642" i="27"/>
  <c r="H450" i="27"/>
  <c r="H432" i="27"/>
  <c r="H455" i="27"/>
  <c r="H667" i="27"/>
  <c r="H272" i="27"/>
  <c r="H185" i="27"/>
  <c r="H288" i="27"/>
  <c r="H25" i="27"/>
  <c r="H80" i="27"/>
  <c r="H392" i="27"/>
  <c r="H389" i="27"/>
  <c r="H373" i="27"/>
  <c r="H548" i="27"/>
  <c r="H536" i="27"/>
  <c r="H678" i="27"/>
  <c r="H696" i="27"/>
  <c r="H692" i="27"/>
  <c r="H528" i="27"/>
  <c r="H712" i="27"/>
  <c r="H717" i="27"/>
  <c r="H154" i="27"/>
  <c r="H18" i="27"/>
  <c r="H58" i="27"/>
  <c r="H607" i="27"/>
  <c r="H566" i="27"/>
  <c r="H43" i="27"/>
  <c r="H325" i="27"/>
  <c r="H315" i="27"/>
  <c r="H335" i="27"/>
  <c r="H343" i="27"/>
  <c r="H605" i="27"/>
  <c r="H183" i="27"/>
  <c r="H175" i="27"/>
  <c r="H740" i="27"/>
  <c r="H420" i="27"/>
  <c r="H431" i="27"/>
  <c r="H581" i="27"/>
  <c r="H654" i="27"/>
  <c r="H579" i="27"/>
  <c r="H148" i="27"/>
  <c r="H189" i="27"/>
  <c r="H126" i="27"/>
  <c r="H23" i="27"/>
  <c r="H134" i="27"/>
  <c r="H121" i="27"/>
  <c r="H284" i="27"/>
  <c r="H508" i="27"/>
  <c r="H54" i="27"/>
  <c r="H520" i="27"/>
  <c r="H613" i="27"/>
  <c r="H273" i="27"/>
  <c r="H248" i="27"/>
  <c r="H246" i="27"/>
  <c r="H264" i="27"/>
  <c r="H414" i="27"/>
  <c r="H222" i="27"/>
  <c r="H330" i="27"/>
  <c r="H310" i="27"/>
  <c r="H300" i="27"/>
  <c r="H486" i="27"/>
  <c r="H495" i="27"/>
  <c r="H608" i="27"/>
  <c r="H668" i="27"/>
  <c r="H665" i="27"/>
  <c r="H270" i="27"/>
  <c r="H132" i="27"/>
  <c r="H714" i="27"/>
  <c r="H47" i="27"/>
  <c r="H213" i="27"/>
  <c r="H365" i="27"/>
  <c r="H377" i="27"/>
  <c r="H371" i="27"/>
  <c r="H384" i="27"/>
  <c r="H78" i="27"/>
  <c r="H535" i="27"/>
  <c r="H687" i="27"/>
  <c r="H708" i="27"/>
  <c r="H606" i="27"/>
  <c r="H597" i="27"/>
  <c r="H722" i="27"/>
  <c r="H465" i="27"/>
  <c r="H167" i="27"/>
  <c r="H57" i="27"/>
  <c r="H165" i="27"/>
  <c r="H684" i="27"/>
  <c r="H339" i="27"/>
  <c r="H349" i="27"/>
  <c r="H314" i="27"/>
  <c r="H322" i="27"/>
  <c r="H331" i="27"/>
  <c r="H234" i="27"/>
  <c r="H404" i="27"/>
  <c r="H739" i="27"/>
  <c r="G742" i="27"/>
  <c r="G235" i="27"/>
  <c r="G741" i="27"/>
  <c r="G734" i="27"/>
  <c r="G739" i="27"/>
  <c r="G404" i="27"/>
  <c r="G735" i="27"/>
  <c r="G737" i="27"/>
  <c r="G731" i="27"/>
  <c r="G740" i="27"/>
  <c r="G234" i="27"/>
  <c r="G268" i="27"/>
  <c r="G732" i="27"/>
  <c r="G738" i="27"/>
  <c r="G736" i="27"/>
  <c r="G729" i="27"/>
  <c r="G733" i="27"/>
  <c r="G730" i="27"/>
  <c r="G358" i="27"/>
  <c r="G60" i="27"/>
  <c r="G728" i="27"/>
  <c r="G727" i="27"/>
  <c r="G162" i="27"/>
  <c r="G44" i="27"/>
  <c r="G175" i="27"/>
  <c r="G166" i="27"/>
  <c r="G57" i="27"/>
  <c r="G250" i="27"/>
  <c r="G357" i="27"/>
  <c r="G361" i="27"/>
  <c r="N65" i="13"/>
  <c r="P65" i="13" s="1"/>
  <c r="G360" i="27"/>
  <c r="G409" i="27"/>
  <c r="G165" i="27"/>
  <c r="G605" i="27"/>
  <c r="G183" i="27"/>
  <c r="N9" i="13"/>
  <c r="O9" i="13" s="1"/>
  <c r="G236" i="27"/>
  <c r="G164" i="27"/>
  <c r="N100" i="13"/>
  <c r="P100" i="13" s="1"/>
  <c r="G230" i="27"/>
  <c r="G229" i="27"/>
  <c r="G376" i="27"/>
  <c r="G215" i="27"/>
  <c r="G200" i="27"/>
  <c r="N51" i="13"/>
  <c r="P51" i="13" s="1"/>
  <c r="N34" i="13"/>
  <c r="P34" i="13" s="1"/>
  <c r="G418" i="27"/>
  <c r="G431" i="27"/>
  <c r="G131" i="27"/>
  <c r="G113" i="27"/>
  <c r="G114" i="27"/>
  <c r="G15" i="27"/>
  <c r="G190" i="27"/>
  <c r="G231" i="27"/>
  <c r="G330" i="27"/>
  <c r="G299" i="27"/>
  <c r="G441" i="27"/>
  <c r="G456" i="27"/>
  <c r="G596" i="27"/>
  <c r="G440" i="27"/>
  <c r="G666" i="27"/>
  <c r="G402" i="27"/>
  <c r="G45" i="27"/>
  <c r="G369" i="27"/>
  <c r="G403" i="27"/>
  <c r="G544" i="27"/>
  <c r="G537" i="27"/>
  <c r="G688" i="27"/>
  <c r="G700" i="27"/>
  <c r="G710" i="27"/>
  <c r="G601" i="27"/>
  <c r="G256" i="27"/>
  <c r="G42" i="27"/>
  <c r="G7" i="27"/>
  <c r="G622" i="27"/>
  <c r="G341" i="27"/>
  <c r="G307" i="27"/>
  <c r="G335" i="27"/>
  <c r="G546" i="27"/>
  <c r="G568" i="27"/>
  <c r="G626" i="27"/>
  <c r="G656" i="27"/>
  <c r="G580" i="27"/>
  <c r="G425" i="27"/>
  <c r="G95" i="27"/>
  <c r="G112" i="27"/>
  <c r="G124" i="27"/>
  <c r="G502" i="27"/>
  <c r="G512" i="27"/>
  <c r="G524" i="27"/>
  <c r="G237" i="27"/>
  <c r="G219" i="27"/>
  <c r="G490" i="27"/>
  <c r="G482" i="27"/>
  <c r="G443" i="27"/>
  <c r="G408" i="27"/>
  <c r="G118" i="27"/>
  <c r="G400" i="27"/>
  <c r="G380" i="27"/>
  <c r="G266" i="27"/>
  <c r="G677" i="27"/>
  <c r="G689" i="27"/>
  <c r="G530" i="27"/>
  <c r="G269" i="27"/>
  <c r="G717" i="27"/>
  <c r="G607" i="27"/>
  <c r="G600" i="27"/>
  <c r="G194" i="27"/>
  <c r="G338" i="27"/>
  <c r="G297" i="27"/>
  <c r="G349" i="27"/>
  <c r="G329" i="27"/>
  <c r="G314" i="27"/>
  <c r="G611" i="27"/>
  <c r="G117" i="27"/>
  <c r="G594" i="27"/>
  <c r="G11" i="27"/>
  <c r="G153" i="27"/>
  <c r="G144" i="27"/>
  <c r="G609" i="27"/>
  <c r="G509" i="27"/>
  <c r="G513" i="27"/>
  <c r="G258" i="27"/>
  <c r="G181" i="27"/>
  <c r="G673" i="27"/>
  <c r="G636" i="27"/>
  <c r="G48" i="27"/>
  <c r="G491" i="27"/>
  <c r="G459" i="27"/>
  <c r="G432" i="27"/>
  <c r="G33" i="27"/>
  <c r="G186" i="27"/>
  <c r="G9" i="27"/>
  <c r="G75" i="27"/>
  <c r="G47" i="27"/>
  <c r="G216" i="27"/>
  <c r="G401" i="27"/>
  <c r="G384" i="27"/>
  <c r="G550" i="27"/>
  <c r="G527" i="27"/>
  <c r="G698" i="27"/>
  <c r="G708" i="27"/>
  <c r="G406" i="27"/>
  <c r="G37" i="27"/>
  <c r="G675" i="27"/>
  <c r="G725" i="27"/>
  <c r="G653" i="27"/>
  <c r="G478" i="27"/>
  <c r="G291" i="27"/>
  <c r="G296" i="27"/>
  <c r="G420" i="27"/>
  <c r="G77" i="27"/>
  <c r="G721" i="27"/>
  <c r="G290" i="27"/>
  <c r="G339" i="27"/>
  <c r="G267" i="27"/>
  <c r="G637" i="27"/>
  <c r="G174" i="27"/>
  <c r="G412" i="27"/>
  <c r="G121" i="27"/>
  <c r="G468" i="27"/>
  <c r="G635" i="27"/>
  <c r="G492" i="27"/>
  <c r="G8" i="27"/>
  <c r="G545" i="27"/>
  <c r="G532" i="27"/>
  <c r="G89" i="27"/>
  <c r="G445" i="27"/>
  <c r="G704" i="27"/>
  <c r="G494" i="27"/>
  <c r="G325" i="27"/>
  <c r="G553" i="27"/>
  <c r="G202" i="27"/>
  <c r="G21" i="27"/>
  <c r="G90" i="27"/>
  <c r="G662" i="27"/>
  <c r="G367" i="27"/>
  <c r="G702" i="27"/>
  <c r="G446" i="27"/>
  <c r="G158" i="27"/>
  <c r="G539" i="27"/>
  <c r="G572" i="27"/>
  <c r="G383" i="27"/>
  <c r="G588" i="27"/>
  <c r="G388" i="27"/>
  <c r="G351" i="27"/>
  <c r="G681" i="27"/>
  <c r="G416" i="27"/>
  <c r="G146" i="27"/>
  <c r="G467" i="27"/>
  <c r="G322" i="27"/>
  <c r="G488" i="27"/>
  <c r="G55" i="27"/>
  <c r="G648" i="27"/>
  <c r="G563" i="27"/>
  <c r="G469" i="27"/>
  <c r="G275" i="27"/>
  <c r="G720" i="27"/>
  <c r="G630" i="27"/>
  <c r="G638" i="27"/>
  <c r="G134" i="27"/>
  <c r="G382" i="27"/>
  <c r="G331" i="27"/>
  <c r="G259" i="27"/>
  <c r="G157" i="27"/>
  <c r="G543" i="27"/>
  <c r="G255" i="27"/>
  <c r="G442" i="27"/>
  <c r="G247" i="27"/>
  <c r="G208" i="27"/>
  <c r="G23" i="27"/>
  <c r="G319" i="27"/>
  <c r="G448" i="27"/>
  <c r="G417" i="27"/>
  <c r="G690" i="27"/>
  <c r="G350" i="27"/>
  <c r="G238" i="27"/>
  <c r="G578" i="27"/>
  <c r="G24" i="27"/>
  <c r="G664" i="27"/>
  <c r="G525" i="27"/>
  <c r="G437" i="27"/>
  <c r="G348" i="27"/>
  <c r="G280" i="27"/>
  <c r="G684" i="27"/>
  <c r="G107" i="27"/>
  <c r="G485" i="27"/>
  <c r="G707" i="27"/>
  <c r="G35" i="27"/>
  <c r="G493" i="27"/>
  <c r="G143" i="27"/>
  <c r="G224" i="27"/>
  <c r="G654" i="27"/>
  <c r="G150" i="27"/>
  <c r="G565" i="27"/>
  <c r="G86" i="27"/>
  <c r="G433" i="27"/>
  <c r="G500" i="27"/>
  <c r="G284" i="27"/>
  <c r="G499" i="27"/>
  <c r="G211" i="27"/>
  <c r="G694" i="27"/>
  <c r="G610" i="27"/>
  <c r="G56" i="27"/>
  <c r="G343" i="27"/>
  <c r="G570" i="27"/>
  <c r="G282" i="27"/>
  <c r="G138" i="27"/>
  <c r="G241" i="27"/>
  <c r="G552" i="27"/>
  <c r="G12" i="27"/>
  <c r="G533" i="27"/>
  <c r="G232" i="27"/>
  <c r="G723" i="27"/>
  <c r="G108" i="27"/>
  <c r="G104" i="27"/>
  <c r="G96" i="27"/>
  <c r="G631" i="27"/>
  <c r="G415" i="27"/>
  <c r="G271" i="27"/>
  <c r="G481" i="27"/>
  <c r="G169" i="27"/>
  <c r="G705" i="27"/>
  <c r="G598" i="27"/>
  <c r="G126" i="27"/>
  <c r="G145" i="27"/>
  <c r="G566" i="27"/>
  <c r="G62" i="27"/>
  <c r="G84" i="27"/>
  <c r="G315" i="27"/>
  <c r="G701" i="27"/>
  <c r="G191" i="27"/>
  <c r="G254" i="27"/>
  <c r="G599" i="27"/>
  <c r="G19" i="27"/>
  <c r="G450" i="27"/>
  <c r="G378" i="27"/>
  <c r="G306" i="27"/>
  <c r="G18" i="27"/>
  <c r="G397" i="27"/>
  <c r="G228" i="27"/>
  <c r="G413" i="27"/>
  <c r="G625" i="27"/>
  <c r="G667" i="27"/>
  <c r="G386" i="27"/>
  <c r="G239" i="27"/>
  <c r="G640" i="27"/>
  <c r="G424" i="27"/>
  <c r="G352" i="27"/>
  <c r="G136" i="27"/>
  <c r="G64" i="27"/>
  <c r="G337" i="27"/>
  <c r="G624" i="27"/>
  <c r="G603" i="27"/>
  <c r="G531" i="27"/>
  <c r="G387" i="27"/>
  <c r="G243" i="27"/>
  <c r="G462" i="27"/>
  <c r="G390" i="27"/>
  <c r="G246" i="27"/>
  <c r="G102" i="27"/>
  <c r="G30" i="27"/>
  <c r="G457" i="27"/>
  <c r="G312" i="27"/>
  <c r="G227" i="27"/>
  <c r="G569" i="27"/>
  <c r="G353" i="27"/>
  <c r="G281" i="27"/>
  <c r="G137" i="27"/>
  <c r="G65" i="27"/>
  <c r="G340" i="27"/>
  <c r="G696" i="27"/>
  <c r="G687" i="27"/>
  <c r="G682" i="27"/>
  <c r="G713" i="27"/>
  <c r="G686" i="27"/>
  <c r="G718" i="27"/>
  <c r="G614" i="27"/>
  <c r="G542" i="27"/>
  <c r="G398" i="27"/>
  <c r="G326" i="27"/>
  <c r="G182" i="27"/>
  <c r="G110" i="27"/>
  <c r="G38" i="27"/>
  <c r="G324" i="27"/>
  <c r="G251" i="27"/>
  <c r="G465" i="27"/>
  <c r="G321" i="27"/>
  <c r="G32" i="27"/>
  <c r="G85" i="27"/>
  <c r="G623" i="27"/>
  <c r="G451" i="27"/>
  <c r="G379" i="27"/>
  <c r="G163" i="27"/>
  <c r="G91" i="27"/>
  <c r="G133" i="27"/>
  <c r="G156" i="27"/>
  <c r="G167" i="27"/>
  <c r="G606" i="27"/>
  <c r="G318" i="27"/>
  <c r="G641" i="27"/>
  <c r="G497" i="27"/>
  <c r="G209" i="27"/>
  <c r="G496" i="27"/>
  <c r="G171" i="27"/>
  <c r="G27" i="27"/>
  <c r="G517" i="27"/>
  <c r="G680" i="27"/>
  <c r="G697" i="27"/>
  <c r="G716" i="27"/>
  <c r="G646" i="27"/>
  <c r="G574" i="27"/>
  <c r="G430" i="27"/>
  <c r="G286" i="27"/>
  <c r="G214" i="27"/>
  <c r="G142" i="27"/>
  <c r="G393" i="27"/>
  <c r="G249" i="27"/>
  <c r="G177" i="27"/>
  <c r="G105" i="27"/>
  <c r="G252" i="27"/>
  <c r="G556" i="27"/>
  <c r="G613" i="27"/>
  <c r="G587" i="27"/>
  <c r="G591" i="27"/>
  <c r="G447" i="27"/>
  <c r="G375" i="27"/>
  <c r="G159" i="27"/>
  <c r="G87" i="27"/>
  <c r="G421" i="27"/>
  <c r="G564" i="27"/>
  <c r="G672" i="27"/>
  <c r="G691" i="27"/>
  <c r="G346" i="27"/>
  <c r="G130" i="27"/>
  <c r="G140" i="27"/>
  <c r="G597" i="27"/>
  <c r="G453" i="27"/>
  <c r="G381" i="27"/>
  <c r="G309" i="27"/>
  <c r="G93" i="27"/>
  <c r="G52" i="27"/>
  <c r="G480" i="27"/>
  <c r="G303" i="27"/>
  <c r="G709" i="27"/>
  <c r="G562" i="27"/>
  <c r="G354" i="27"/>
  <c r="G66" i="27"/>
  <c r="G245" i="27"/>
  <c r="G195" i="27"/>
  <c r="G650" i="27"/>
  <c r="G434" i="27"/>
  <c r="G74" i="27"/>
  <c r="G152" i="27"/>
  <c r="G289" i="27"/>
  <c r="G484" i="27"/>
  <c r="G196" i="27"/>
  <c r="G523" i="27"/>
  <c r="G522" i="27"/>
  <c r="G551" i="27"/>
  <c r="G628" i="27"/>
  <c r="G629" i="27"/>
  <c r="G557" i="27"/>
  <c r="G125" i="27"/>
  <c r="G147" i="27"/>
  <c r="G683" i="27"/>
  <c r="G426" i="27"/>
  <c r="G461" i="27"/>
  <c r="G389" i="27"/>
  <c r="G173" i="27"/>
  <c r="G29" i="27"/>
  <c r="G505" i="27"/>
  <c r="G483" i="27"/>
  <c r="G665" i="27"/>
  <c r="G699" i="27"/>
  <c r="G676" i="27"/>
  <c r="G506" i="27"/>
  <c r="G362" i="27"/>
  <c r="G218" i="27"/>
  <c r="G373" i="27"/>
  <c r="G466" i="27"/>
  <c r="G217" i="27"/>
  <c r="G263" i="27"/>
  <c r="G192" i="27"/>
  <c r="G632" i="27"/>
  <c r="G344" i="27"/>
  <c r="G272" i="27"/>
  <c r="G612" i="27"/>
  <c r="G287" i="27"/>
  <c r="G559" i="27"/>
  <c r="G487" i="27"/>
  <c r="G199" i="27"/>
  <c r="G127" i="27"/>
  <c r="G414" i="27"/>
  <c r="G270" i="27"/>
  <c r="G54" i="27"/>
  <c r="G161" i="27"/>
  <c r="G516" i="27"/>
  <c r="G395" i="27"/>
  <c r="G592" i="27"/>
  <c r="G520" i="27"/>
  <c r="G304" i="27"/>
  <c r="G160" i="27"/>
  <c r="G88" i="27"/>
  <c r="G16" i="27"/>
  <c r="G13" i="27"/>
  <c r="G72" i="27"/>
  <c r="G627" i="27"/>
  <c r="G555" i="27"/>
  <c r="G411" i="27"/>
  <c r="G123" i="27"/>
  <c r="G51" i="27"/>
  <c r="G168" i="27"/>
  <c r="G711" i="27"/>
  <c r="G674" i="27"/>
  <c r="G668" i="27"/>
  <c r="G454" i="27"/>
  <c r="G310" i="27"/>
  <c r="G94" i="27"/>
  <c r="G22" i="27"/>
  <c r="G633" i="27"/>
  <c r="G561" i="27"/>
  <c r="G489" i="27"/>
  <c r="G345" i="27"/>
  <c r="G273" i="27"/>
  <c r="G201" i="27"/>
  <c r="G129" i="27"/>
  <c r="G332" i="27"/>
  <c r="G558" i="27"/>
  <c r="G486" i="27"/>
  <c r="G342" i="27"/>
  <c r="G198" i="27"/>
  <c r="G649" i="27"/>
  <c r="G504" i="27"/>
  <c r="G661" i="27"/>
  <c r="G593" i="27"/>
  <c r="G449" i="27"/>
  <c r="G377" i="27"/>
  <c r="G305" i="27"/>
  <c r="G233" i="27"/>
  <c r="G17" i="27"/>
  <c r="G679" i="27"/>
  <c r="G685" i="27"/>
  <c r="G722" i="27"/>
  <c r="G422" i="27"/>
  <c r="G278" i="27"/>
  <c r="G206" i="27"/>
  <c r="G277" i="27"/>
  <c r="G576" i="27"/>
  <c r="G407" i="27"/>
  <c r="G526" i="27"/>
  <c r="G20" i="27"/>
  <c r="G179" i="27"/>
  <c r="G620" i="27"/>
  <c r="G548" i="27"/>
  <c r="G618" i="27"/>
  <c r="G474" i="27"/>
  <c r="G541" i="27"/>
  <c r="G49" i="27"/>
  <c r="G365" i="27"/>
  <c r="G385" i="27"/>
  <c r="G99" i="27"/>
  <c r="G703" i="27"/>
  <c r="G311" i="27"/>
  <c r="G554" i="27"/>
  <c r="G410" i="27"/>
  <c r="G122" i="27"/>
  <c r="G50" i="27"/>
  <c r="G193" i="27"/>
  <c r="G647" i="27"/>
  <c r="G83" i="27"/>
  <c r="G540" i="27"/>
  <c r="G536" i="27"/>
  <c r="G392" i="27"/>
  <c r="G248" i="27"/>
  <c r="G176" i="27"/>
  <c r="G301" i="27"/>
  <c r="G535" i="27"/>
  <c r="G463" i="27"/>
  <c r="G103" i="27"/>
  <c r="G205" i="27"/>
  <c r="G264" i="27"/>
  <c r="G602" i="27"/>
  <c r="G458" i="27"/>
  <c r="G242" i="27"/>
  <c r="G170" i="27"/>
  <c r="G98" i="27"/>
  <c r="G26" i="27"/>
  <c r="G575" i="27"/>
  <c r="G479" i="27"/>
  <c r="G109" i="27"/>
  <c r="G368" i="27"/>
  <c r="G128" i="27"/>
  <c r="G276" i="27"/>
  <c r="G655" i="27"/>
  <c r="G583" i="27"/>
  <c r="G439" i="27"/>
  <c r="G295" i="27"/>
  <c r="G223" i="27"/>
  <c r="G79" i="27"/>
  <c r="G25" i="27"/>
  <c r="G616" i="27"/>
  <c r="G328" i="27"/>
  <c r="G184" i="27"/>
  <c r="G40" i="27"/>
  <c r="G577" i="27"/>
  <c r="G336" i="27"/>
  <c r="G334" i="27"/>
  <c r="G657" i="27"/>
  <c r="G585" i="27"/>
  <c r="G225" i="27"/>
  <c r="G116" i="27"/>
  <c r="G582" i="27"/>
  <c r="G510" i="27"/>
  <c r="G438" i="27"/>
  <c r="G366" i="27"/>
  <c r="G294" i="27"/>
  <c r="G222" i="27"/>
  <c r="G78" i="27"/>
  <c r="G6" i="27"/>
  <c r="G313" i="27"/>
  <c r="G660" i="27"/>
  <c r="G120" i="27"/>
  <c r="G617" i="27"/>
  <c r="G473" i="27"/>
  <c r="G257" i="27"/>
  <c r="G185" i="27"/>
  <c r="G41" i="27"/>
  <c r="G567" i="27"/>
  <c r="G279" i="27"/>
  <c r="G706" i="27"/>
  <c r="G693" i="27"/>
  <c r="G692" i="27"/>
  <c r="G714" i="27"/>
  <c r="G724" i="27"/>
  <c r="G590" i="27"/>
  <c r="G518" i="27"/>
  <c r="G374" i="27"/>
  <c r="G302" i="27"/>
  <c r="G14" i="27"/>
  <c r="G132" i="27"/>
  <c r="G59" i="27"/>
  <c r="G92" i="27"/>
  <c r="G240" i="27"/>
  <c r="G371" i="27"/>
  <c r="G300" i="27"/>
  <c r="G347" i="27"/>
  <c r="G644" i="27"/>
  <c r="G428" i="27"/>
  <c r="G356" i="27"/>
  <c r="G212" i="27"/>
  <c r="G180" i="27"/>
  <c r="G643" i="27"/>
  <c r="G571" i="27"/>
  <c r="G427" i="27"/>
  <c r="G355" i="27"/>
  <c r="G283" i="27"/>
  <c r="G139" i="27"/>
  <c r="G67" i="27"/>
  <c r="G642" i="27"/>
  <c r="G498" i="27"/>
  <c r="G210" i="27"/>
  <c r="G317" i="27"/>
  <c r="G101" i="27"/>
  <c r="G36" i="27"/>
  <c r="G455" i="27"/>
  <c r="G604" i="27"/>
  <c r="G460" i="27"/>
  <c r="G316" i="27"/>
  <c r="G244" i="27"/>
  <c r="G172" i="27"/>
  <c r="G100" i="27"/>
  <c r="G28" i="27"/>
  <c r="G529" i="27"/>
  <c r="G97" i="27"/>
  <c r="G204" i="27"/>
  <c r="G639" i="27"/>
  <c r="G495" i="27"/>
  <c r="G423" i="27"/>
  <c r="G207" i="27"/>
  <c r="G135" i="27"/>
  <c r="G63" i="27"/>
  <c r="G265" i="27"/>
  <c r="G288" i="27"/>
  <c r="G678" i="27"/>
  <c r="G663" i="27"/>
  <c r="G695" i="27"/>
  <c r="G715" i="27"/>
  <c r="G538" i="27"/>
  <c r="G394" i="27"/>
  <c r="G178" i="27"/>
  <c r="G106" i="27"/>
  <c r="G34" i="27"/>
  <c r="G645" i="27"/>
  <c r="G573" i="27"/>
  <c r="G501" i="27"/>
  <c r="G429" i="27"/>
  <c r="G285" i="27"/>
  <c r="G213" i="27"/>
  <c r="G141" i="27"/>
  <c r="G69" i="27"/>
  <c r="G560" i="27"/>
  <c r="G476" i="27"/>
  <c r="G260" i="27"/>
  <c r="G188" i="27"/>
  <c r="G80" i="27"/>
  <c r="G528" i="27"/>
  <c r="G203" i="27"/>
  <c r="G619" i="27"/>
  <c r="G547" i="27"/>
  <c r="G475" i="27"/>
  <c r="G187" i="27"/>
  <c r="G115" i="27"/>
  <c r="G43" i="27"/>
  <c r="G396" i="27"/>
  <c r="G419" i="27"/>
  <c r="G581" i="27"/>
  <c r="G293" i="27"/>
  <c r="G149" i="27"/>
  <c r="G444" i="27"/>
  <c r="G323" i="27"/>
  <c r="G652" i="27"/>
  <c r="G508" i="27"/>
  <c r="G436" i="27"/>
  <c r="G364" i="27"/>
  <c r="G292" i="27"/>
  <c r="G220" i="27"/>
  <c r="G148" i="27"/>
  <c r="G76" i="27"/>
  <c r="G155" i="27"/>
  <c r="G615" i="27"/>
  <c r="G471" i="27"/>
  <c r="G399" i="27"/>
  <c r="G327" i="27"/>
  <c r="G111" i="27"/>
  <c r="G39" i="27"/>
  <c r="G589" i="27"/>
  <c r="G61" i="27"/>
  <c r="G671" i="27"/>
  <c r="G670" i="27"/>
  <c r="G712" i="27"/>
  <c r="G669" i="27"/>
  <c r="G719" i="27"/>
  <c r="G658" i="27"/>
  <c r="G586" i="27"/>
  <c r="G514" i="27"/>
  <c r="G370" i="27"/>
  <c r="G298" i="27"/>
  <c r="G226" i="27"/>
  <c r="G154" i="27"/>
  <c r="G82" i="27"/>
  <c r="G10" i="27"/>
  <c r="G621" i="27"/>
  <c r="G549" i="27"/>
  <c r="G477" i="27"/>
  <c r="G405" i="27"/>
  <c r="G333" i="27"/>
  <c r="G261" i="27"/>
  <c r="G189" i="27"/>
  <c r="G68" i="27"/>
  <c r="G608" i="27"/>
  <c r="G464" i="27"/>
  <c r="G320" i="27"/>
  <c r="G503" i="27"/>
  <c r="G659" i="27"/>
  <c r="G221" i="27"/>
  <c r="G391" i="27"/>
  <c r="G31" i="27"/>
  <c r="G521" i="27"/>
  <c r="G119" i="27"/>
  <c r="G534" i="27"/>
  <c r="G73" i="27"/>
  <c r="G70" i="27"/>
  <c r="G253" i="27"/>
  <c r="G726" i="27"/>
  <c r="G274" i="27"/>
  <c r="G58" i="27"/>
  <c r="G511" i="27"/>
  <c r="G71" i="27"/>
  <c r="G470" i="27"/>
  <c r="G452" i="27"/>
  <c r="G308" i="27"/>
  <c r="G372" i="27"/>
  <c r="G595" i="27"/>
  <c r="G197" i="27"/>
  <c r="G53" i="27"/>
  <c r="G519" i="27"/>
  <c r="G634" i="27"/>
  <c r="G363" i="27"/>
  <c r="G584" i="27"/>
  <c r="G151" i="27"/>
  <c r="G515" i="27"/>
  <c r="G472" i="27"/>
  <c r="G651" i="27"/>
  <c r="G579" i="27"/>
  <c r="G507" i="27"/>
  <c r="G435" i="27"/>
  <c r="G262" i="27"/>
  <c r="G46" i="27"/>
  <c r="G81" i="27"/>
  <c r="N42" i="13"/>
  <c r="P42" i="13" s="1"/>
  <c r="N79" i="13"/>
  <c r="P79" i="13" s="1"/>
  <c r="N84" i="13"/>
  <c r="P84" i="13" s="1"/>
  <c r="N59" i="13"/>
  <c r="P59" i="13" s="1"/>
  <c r="N86" i="13"/>
  <c r="P86" i="13" s="1"/>
  <c r="N74" i="13"/>
  <c r="P74" i="13" s="1"/>
  <c r="N81" i="13"/>
  <c r="P81" i="13" s="1"/>
  <c r="O25" i="13"/>
  <c r="N60" i="13"/>
  <c r="P60" i="13" s="1"/>
  <c r="N72" i="13"/>
  <c r="P72" i="13" s="1"/>
  <c r="N99" i="13"/>
  <c r="P99" i="13" s="1"/>
  <c r="N5" i="13"/>
  <c r="P5" i="13" s="1"/>
  <c r="N46" i="13"/>
  <c r="P46" i="13" s="1"/>
  <c r="N8" i="13"/>
  <c r="N80" i="13"/>
  <c r="P80" i="13" s="1"/>
  <c r="N83" i="13"/>
  <c r="P83" i="13" s="1"/>
  <c r="N20" i="13"/>
  <c r="P20" i="13" s="1"/>
  <c r="N97" i="13"/>
  <c r="P97" i="13" s="1"/>
  <c r="N33" i="13"/>
  <c r="P33" i="13" s="1"/>
  <c r="N21" i="13"/>
  <c r="P21" i="13" s="1"/>
  <c r="N61" i="13"/>
  <c r="P61" i="13" s="1"/>
  <c r="N26" i="13"/>
  <c r="P26" i="13" s="1"/>
  <c r="N39" i="13"/>
  <c r="P39" i="13" s="1"/>
  <c r="N47" i="13"/>
  <c r="P47" i="13" s="1"/>
  <c r="N67" i="13"/>
  <c r="N40" i="13"/>
  <c r="N66" i="13"/>
  <c r="P66" i="13" s="1"/>
  <c r="N70" i="13"/>
  <c r="P70" i="13" s="1"/>
  <c r="N82" i="13"/>
  <c r="N7" i="13"/>
  <c r="P7" i="13" s="1"/>
  <c r="N6" i="13"/>
  <c r="N73" i="13"/>
  <c r="P73" i="13" s="1"/>
  <c r="N15" i="13"/>
  <c r="P15" i="13" s="1"/>
  <c r="N77" i="13"/>
  <c r="P77" i="13" s="1"/>
  <c r="N35" i="13"/>
  <c r="P35" i="13" s="1"/>
  <c r="N52" i="13"/>
  <c r="P52" i="13" s="1"/>
  <c r="N53" i="13"/>
  <c r="P53" i="13" s="1"/>
  <c r="N37" i="13"/>
  <c r="N27" i="13"/>
  <c r="N16" i="13"/>
  <c r="P16" i="13" s="1"/>
  <c r="N87" i="13"/>
  <c r="P87" i="13" s="1"/>
  <c r="N96" i="13"/>
  <c r="P96" i="13" s="1"/>
  <c r="N28" i="13"/>
  <c r="P28" i="13" s="1"/>
  <c r="N69" i="13"/>
  <c r="P69" i="13" s="1"/>
  <c r="N43" i="13"/>
  <c r="P43" i="13" s="1"/>
  <c r="N44" i="13"/>
  <c r="P44" i="13" s="1"/>
  <c r="N56" i="13"/>
  <c r="P56" i="13" s="1"/>
  <c r="N50" i="13"/>
  <c r="N36" i="13"/>
  <c r="P36" i="13" s="1"/>
  <c r="N92" i="13"/>
  <c r="P92" i="13" s="1"/>
  <c r="N17" i="13"/>
  <c r="P17" i="13" s="1"/>
  <c r="N30" i="13"/>
  <c r="O30" i="13" s="1"/>
  <c r="N88" i="13"/>
  <c r="P88" i="13" s="1"/>
  <c r="N24" i="13"/>
  <c r="P24" i="13" s="1"/>
  <c r="N45" i="13"/>
  <c r="N48" i="13"/>
  <c r="P48" i="13" s="1"/>
  <c r="N58" i="13"/>
  <c r="P58" i="13" s="1"/>
  <c r="N78" i="13"/>
  <c r="N89" i="13"/>
  <c r="P89" i="13" s="1"/>
  <c r="N76" i="13"/>
  <c r="P76" i="13" s="1"/>
  <c r="N98" i="13"/>
  <c r="P98" i="13" s="1"/>
  <c r="N55" i="13"/>
  <c r="N13" i="13"/>
  <c r="N57" i="13"/>
  <c r="P57" i="13" s="1"/>
  <c r="N71" i="13"/>
  <c r="P71" i="13" s="1"/>
  <c r="N29" i="13"/>
  <c r="P29" i="13" s="1"/>
  <c r="N22" i="13"/>
  <c r="P22" i="13" s="1"/>
  <c r="N32" i="13"/>
  <c r="P32" i="13" s="1"/>
  <c r="N14" i="13"/>
  <c r="P14" i="13" s="1"/>
  <c r="N38" i="13"/>
  <c r="P38" i="13" s="1"/>
  <c r="N85" i="13"/>
  <c r="P85" i="13" s="1"/>
  <c r="N10" i="13"/>
  <c r="P10" i="13" s="1"/>
  <c r="N54" i="13"/>
  <c r="P54" i="13" s="1"/>
  <c r="N75" i="13"/>
  <c r="N18" i="13"/>
  <c r="P18" i="13" s="1"/>
  <c r="N11" i="13"/>
  <c r="P11" i="13" s="1"/>
  <c r="N95" i="13"/>
  <c r="N49" i="13"/>
  <c r="P49" i="13" s="1"/>
  <c r="N94" i="13"/>
  <c r="P94" i="13" s="1"/>
  <c r="N12" i="13"/>
  <c r="P12" i="13" s="1"/>
  <c r="N91" i="13"/>
  <c r="P91" i="13" s="1"/>
  <c r="N90" i="13"/>
  <c r="P90" i="13" s="1"/>
  <c r="N62" i="13"/>
  <c r="P62" i="13" s="1"/>
  <c r="N23" i="13"/>
  <c r="P23" i="13" s="1"/>
  <c r="N64" i="13"/>
  <c r="P64" i="13" s="1"/>
  <c r="N63" i="13"/>
  <c r="J3" i="27"/>
  <c r="O31" i="13" l="1"/>
  <c r="P41" i="13"/>
  <c r="O68" i="13"/>
  <c r="O93" i="13"/>
  <c r="O19" i="13"/>
  <c r="O65" i="13"/>
  <c r="P9" i="13"/>
  <c r="O100" i="13"/>
  <c r="O34" i="13"/>
  <c r="O51" i="13"/>
  <c r="O42" i="13"/>
  <c r="O79" i="13"/>
  <c r="O59" i="13"/>
  <c r="O84" i="13"/>
  <c r="O86" i="13"/>
  <c r="O74" i="13"/>
  <c r="O81" i="13"/>
  <c r="O26" i="13"/>
  <c r="O22" i="13"/>
  <c r="O76" i="13"/>
  <c r="O53" i="13"/>
  <c r="O10" i="13"/>
  <c r="O98" i="13"/>
  <c r="O80" i="13"/>
  <c r="O12" i="13"/>
  <c r="O64" i="13"/>
  <c r="O87" i="13"/>
  <c r="O83" i="13"/>
  <c r="O73" i="13"/>
  <c r="O23" i="13"/>
  <c r="O18" i="13"/>
  <c r="O32" i="13"/>
  <c r="O61" i="13"/>
  <c r="O28" i="13"/>
  <c r="O43" i="13"/>
  <c r="O57" i="13"/>
  <c r="O36" i="13"/>
  <c r="O62" i="13"/>
  <c r="O46" i="13"/>
  <c r="O99" i="13"/>
  <c r="O47" i="13"/>
  <c r="O88" i="13"/>
  <c r="O92" i="13"/>
  <c r="O52" i="13"/>
  <c r="O15" i="13"/>
  <c r="O21" i="13"/>
  <c r="O94" i="13"/>
  <c r="O77" i="13"/>
  <c r="O56" i="13"/>
  <c r="P45" i="13"/>
  <c r="O45" i="13"/>
  <c r="P6" i="13"/>
  <c r="O6" i="13"/>
  <c r="P82" i="13"/>
  <c r="O82" i="13"/>
  <c r="O69" i="13"/>
  <c r="O11" i="13"/>
  <c r="O20" i="13"/>
  <c r="O91" i="13"/>
  <c r="O33" i="13"/>
  <c r="O97" i="13"/>
  <c r="P50" i="13"/>
  <c r="O50" i="13"/>
  <c r="P78" i="13"/>
  <c r="O78" i="13"/>
  <c r="O58" i="13"/>
  <c r="O49" i="13"/>
  <c r="O35" i="13"/>
  <c r="O71" i="13"/>
  <c r="O44" i="13"/>
  <c r="O54" i="13"/>
  <c r="O90" i="13"/>
  <c r="P95" i="13"/>
  <c r="O95" i="13"/>
  <c r="P13" i="13"/>
  <c r="O13" i="13"/>
  <c r="P30" i="13"/>
  <c r="P63" i="13"/>
  <c r="O63" i="13"/>
  <c r="P75" i="13"/>
  <c r="O75" i="13"/>
  <c r="P55" i="13"/>
  <c r="O55" i="13"/>
  <c r="P27" i="13"/>
  <c r="O27" i="13"/>
  <c r="O38" i="13"/>
  <c r="O85" i="13"/>
  <c r="O16" i="13"/>
  <c r="O39" i="13"/>
  <c r="O5" i="13"/>
  <c r="O66" i="13"/>
  <c r="O60" i="13"/>
  <c r="O14" i="13"/>
  <c r="O70" i="13"/>
  <c r="O48" i="13"/>
  <c r="O72" i="13"/>
  <c r="P37" i="13"/>
  <c r="O37" i="13"/>
  <c r="P40" i="13"/>
  <c r="O40" i="13"/>
  <c r="P67" i="13"/>
  <c r="O67" i="13"/>
  <c r="P8" i="13"/>
  <c r="O8" i="13"/>
  <c r="O89" i="13"/>
  <c r="O17" i="13"/>
  <c r="O96" i="13"/>
  <c r="O29" i="13"/>
  <c r="O24" i="13"/>
  <c r="O7" i="13"/>
  <c r="O3" i="13" l="1"/>
  <c r="B3"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tc={D3310FDA-FF41-4289-A618-0257574FB925}</author>
  </authors>
  <commentList>
    <comment ref="E5" authorId="0" shapeId="0" xr:uid="{D3310FDA-FF41-4289-A618-0257574FB925}">
      <text>
        <t>[Threaded comment]
Your version of Excel allows you to read this threaded comment; however, any edits to it will get removed if the file is opened in a newer version of Excel. Learn more: https://go.microsoft.com/fwlink/?linkid=870924
Comment:
    Assigned or In Use</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813AFDA-BB0C-45BE-991C-00A437E89578}" keepAlive="1" name="ModelConnection_ExternalData_1" description="Data Model" type="5" refreshedVersion="8" minRefreshableVersion="5" saveData="1">
    <dbPr connection="Data Model Connection" command="ActiveDirectoryComputers" commandType="3"/>
    <extLst>
      <ext xmlns:x15="http://schemas.microsoft.com/office/spreadsheetml/2010/11/main" uri="{DE250136-89BD-433C-8126-D09CA5730AF9}">
        <x15:connection id="" model="1"/>
      </ext>
    </extLst>
  </connection>
  <connection id="2" xr16:uid="{6509899F-EE7E-4AFC-96E8-EC433E425EDC}" keepAlive="1" name="ModelConnection_ExternalData_11" description="Data Model" type="5" refreshedVersion="8" minRefreshableVersion="5" saveData="1">
    <dbPr connection="Data Model Connection" command="EmployeeTable" commandType="3"/>
    <extLst>
      <ext xmlns:x15="http://schemas.microsoft.com/office/spreadsheetml/2010/11/main" uri="{DE250136-89BD-433C-8126-D09CA5730AF9}">
        <x15:connection id="" model="1"/>
      </ext>
    </extLst>
  </connection>
  <connection id="3" xr16:uid="{E9125CE4-C5B5-4F75-98A1-0FBDFDE31D1B}" keepAlive="1" name="ModelConnection_ExternalData_2" description="Data Model" type="5" refreshedVersion="8" minRefreshableVersion="5" saveData="1">
    <dbPr connection="Data Model Connection" command="VNCTable" commandType="3"/>
    <extLst>
      <ext xmlns:x15="http://schemas.microsoft.com/office/spreadsheetml/2010/11/main" uri="{DE250136-89BD-433C-8126-D09CA5730AF9}">
        <x15:connection id="" model="1"/>
      </ext>
    </extLst>
  </connection>
  <connection id="4" xr16:uid="{35409608-02B4-4532-97AE-85DA37EA9C7F}" keepAlive="1" name="ModelConnection_ExternalData_3" description="Data Model" type="5" refreshedVersion="8" minRefreshableVersion="5" saveData="1">
    <dbPr connection="Data Model Connection" command="IntuneData" commandType="3"/>
    <extLst>
      <ext xmlns:x15="http://schemas.microsoft.com/office/spreadsheetml/2010/11/main" uri="{DE250136-89BD-433C-8126-D09CA5730AF9}">
        <x15:connection id="" model="1"/>
      </ext>
    </extLst>
  </connection>
  <connection id="5" xr16:uid="{892C0AD8-FB1F-4FA1-AB7B-CB5B39865A9F}" name="Query - ActiveDirectoryComputers" description="Connection to the 'ActiveDirectoryComputers' query in the workbook." type="100" refreshedVersion="8" minRefreshableVersion="5">
    <extLst>
      <ext xmlns:x15="http://schemas.microsoft.com/office/spreadsheetml/2010/11/main" uri="{DE250136-89BD-433C-8126-D09CA5730AF9}">
        <x15:connection id="90245a88-8370-44c2-9991-5f4094c77ccc"/>
      </ext>
    </extLst>
  </connection>
  <connection id="6" xr16:uid="{33E666BB-DFC9-438F-975C-6BC51C80AE80}" name="Query - ActualClients" description="Connection to the 'ActualClients' query in the workbook." type="100" refreshedVersion="8" minRefreshableVersion="5">
    <extLst>
      <ext xmlns:x15="http://schemas.microsoft.com/office/spreadsheetml/2010/11/main" uri="{DE250136-89BD-433C-8126-D09CA5730AF9}">
        <x15:connection id="21d8ce68-8683-4ee1-9434-c216db211332">
          <x15:oledbPr connection="Provider=Microsoft.Mashup.OleDb.1;Data Source=$Workbook$;Location=ActualClients;Extended Properties=&quot;&quot;">
            <x15:dbTables>
              <x15:dbTable name="ActualClients"/>
            </x15:dbTables>
          </x15:oledbPr>
        </x15:connection>
      </ext>
    </extLst>
  </connection>
  <connection id="7" xr16:uid="{EEFFF9B8-692B-4768-8721-6CB0ED72F447}" keepAlive="1" name="Query - AssetNoName" description="Connection to the 'AssetNoName' query in the workbook." type="5" refreshedVersion="0" background="1">
    <dbPr connection="Provider=Microsoft.Mashup.OleDb.1;Data Source=$Workbook$;Location=AssetNoName;Extended Properties=&quot;&quot;" command="SELECT * FROM [AssetNoName]"/>
  </connection>
  <connection id="8" xr16:uid="{00000000-0015-0000-FFFF-FFFF03000000}" name="Query - BrandCount" description="Connection to the 'BrandCount' query in the workbook." type="100" refreshedVersion="8" minRefreshableVersion="5">
    <extLst>
      <ext xmlns:x15="http://schemas.microsoft.com/office/spreadsheetml/2010/11/main" uri="{DE250136-89BD-433C-8126-D09CA5730AF9}">
        <x15:connection id="d2c1d077-f7f1-49ad-a448-18b008b9595e">
          <x15:oledbPr connection="Provider=Microsoft.Mashup.OleDb.1;Data Source=$Workbook$;Location=BrandCount;Extended Properties=&quot;&quot;">
            <x15:dbTables>
              <x15:dbTable name="BrandCount"/>
            </x15:dbTables>
          </x15:oledbPr>
        </x15:connection>
      </ext>
    </extLst>
  </connection>
  <connection id="9" xr16:uid="{00000000-0015-0000-FFFF-FFFF04000000}" keepAlive="1" name="Query - CheckList" description="Connection to the 'CheckList' query in the workbook." type="5" refreshedVersion="0" background="1">
    <dbPr connection="Provider=Microsoft.Mashup.OleDb.1;Data Source=$Workbook$;Location=CheckList;Extended Properties=&quot;&quot;" command="SELECT * FROM [CheckList]"/>
  </connection>
  <connection id="10" xr16:uid="{00000000-0015-0000-FFFF-FFFF05000000}" keepAlive="1" name="Query - Database" description="Connection to the 'Database' query in the workbook." type="5" refreshedVersion="0" background="1">
    <dbPr connection="Provider=Microsoft.Mashup.OleDb.1;Data Source=$Workbook$;Location=Database;Extended Properties=&quot;&quot;" command="SELECT * FROM [Database]"/>
  </connection>
  <connection id="11" xr16:uid="{00000000-0015-0000-FFFF-FFFF06000000}" name="Query - DeviceTypes" description="Connection to the 'DeviceTypes' query in the workbook." type="100" refreshedVersion="8" minRefreshableVersion="5">
    <extLst>
      <ext xmlns:x15="http://schemas.microsoft.com/office/spreadsheetml/2010/11/main" uri="{DE250136-89BD-433C-8126-D09CA5730AF9}">
        <x15:connection id="b26b0d6c-a99a-4ca0-b2ef-19b46952fdcc">
          <x15:oledbPr connection="Provider=Microsoft.Mashup.OleDb.1;Data Source=$Workbook$;Location=DeviceTypes;Extended Properties=&quot;&quot;">
            <x15:dbTables>
              <x15:dbTable name="DeviceTypes"/>
            </x15:dbTables>
          </x15:oledbPr>
        </x15:connection>
      </ext>
    </extLst>
  </connection>
  <connection id="12" xr16:uid="{EA2204E1-FD85-4A38-A88E-8C49F86759F8}" name="Query - EmployeeTable" description="Connection to the 'EmployeeTable' query in the workbook." type="100" refreshedVersion="8" minRefreshableVersion="5">
    <extLst>
      <ext xmlns:x15="http://schemas.microsoft.com/office/spreadsheetml/2010/11/main" uri="{DE250136-89BD-433C-8126-D09CA5730AF9}">
        <x15:connection id="fa1b5ed2-b96f-4753-bac1-d29c25f05692">
          <x15:oledbPr connection="Provider=Microsoft.Mashup.OleDb.1;Data Source=$Workbook$;Location=EmployeeTable;Extended Properties=&quot;&quot;">
            <x15:dbTables>
              <x15:dbTable name="EmployeeTable"/>
            </x15:dbTables>
          </x15:oledbPr>
        </x15:connection>
      </ext>
    </extLst>
  </connection>
  <connection id="13" xr16:uid="{00000000-0015-0000-FFFF-FFFF08000000}" keepAlive="1" name="Query - Index" description="Connection to the 'Index' query in the workbook." type="5" refreshedVersion="0" background="1">
    <dbPr connection="Provider=Microsoft.Mashup.OleDb.1;Data Source=$Workbook$;Location=Index;Extended Properties=&quot;&quot;" command="SELECT * FROM [Index]"/>
  </connection>
  <connection id="14" xr16:uid="{6957CB20-E32F-4EE5-9856-39587B09356A}" name="Query - IntuneData" description="Connection to the 'IntuneData' query in the workbook." type="100" refreshedVersion="8" minRefreshableVersion="5">
    <extLst>
      <ext xmlns:x15="http://schemas.microsoft.com/office/spreadsheetml/2010/11/main" uri="{DE250136-89BD-433C-8126-D09CA5730AF9}">
        <x15:connection id="9d777263-06a6-4958-a4c1-e63d1c9d41f8"/>
      </ext>
    </extLst>
  </connection>
  <connection id="15" xr16:uid="{00000000-0015-0000-FFFF-FFFF09000000}" keepAlive="1" name="Query - ITEquipmentTable" description="Connection to the 'ITEquipmentTable' query in the workbook." type="5" refreshedVersion="8" background="1" saveData="1">
    <dbPr connection="Provider=Microsoft.Mashup.OleDb.1;Data Source=$Workbook$;Location=ITEquipmentTable;Extended Properties=&quot;&quot;" command="SELECT * FROM [ITEquipmentTable]"/>
  </connection>
  <connection id="16" xr16:uid="{D1197D16-CA65-471F-816A-86AE3E328143}" name="Query - ITSecondTable" description="Connection to the 'ITSecondTable' query in the workbook." type="100" refreshedVersion="8" minRefreshableVersion="5">
    <extLst>
      <ext xmlns:x15="http://schemas.microsoft.com/office/spreadsheetml/2010/11/main" uri="{DE250136-89BD-433C-8126-D09CA5730AF9}">
        <x15:connection id="fbbaf684-66d9-4d84-a0d3-5800a486173d"/>
      </ext>
    </extLst>
  </connection>
  <connection id="17" xr16:uid="{00000000-0015-0000-FFFF-FFFF0A000000}" keepAlive="1" name="Query - Locations" description="Connection to the 'Locations' query in the workbook." type="5" refreshedVersion="8" background="1" saveData="1">
    <dbPr connection="Provider=Microsoft.Mashup.OleDb.1;Data Source=$Workbook$;Location=Locations;Extended Properties=&quot;&quot;" command="SELECT * FROM [Locations]"/>
  </connection>
  <connection id="18" xr16:uid="{A358450A-705B-42CD-9244-C1D0E669257E}" keepAlive="1" name="Query - MakeKeyCol" description="Connection to the 'MakeKeyCol' query in the workbook." type="5" refreshedVersion="0" background="1">
    <dbPr connection="Provider=Microsoft.Mashup.OleDb.1;Data Source=$Workbook$;Location=MakeKeyCol;Extended Properties=&quot;&quot;" command="SELECT * FROM [MakeKeyCol]"/>
  </connection>
  <connection id="19" xr16:uid="{00000000-0015-0000-FFFF-FFFF0B000000}" name="Query - ModelCount" description="Connection to the 'ModelCount' query in the workbook." type="100" refreshedVersion="8" minRefreshableVersion="5">
    <extLst>
      <ext xmlns:x15="http://schemas.microsoft.com/office/spreadsheetml/2010/11/main" uri="{DE250136-89BD-433C-8126-D09CA5730AF9}">
        <x15:connection id="c81d4cbc-496d-425b-aa6e-e596d946e328">
          <x15:oledbPr connection="Provider=Microsoft.Mashup.OleDb.1;Data Source=$Workbook$;Location=ModelCount;Extended Properties=&quot;&quot;">
            <x15:dbTables>
              <x15:dbTable name="ModelCount"/>
            </x15:dbTables>
          </x15:oledbPr>
        </x15:connection>
      </ext>
    </extLst>
  </connection>
  <connection id="20" xr16:uid="{00000000-0015-0000-FFFF-FFFF0D000000}" keepAlive="1" name="Query - PlantStorageLocations" description="Connection to the 'PlantStorageLocations' query in the workbook." type="5" refreshedVersion="8" background="1" saveData="1">
    <dbPr connection="Provider=Microsoft.Mashup.OleDb.1;Data Source=$Workbook$;Location=PlantStorageLocations;Extended Properties=&quot;&quot;" command="SELECT * FROM [PlantStorageLocations]"/>
  </connection>
  <connection id="21" xr16:uid="{00000000-0015-0000-FFFF-FFFF0E000000}" keepAlive="1" name="Query - PlantUsageLocations" description="Connection to the 'PlantUsageLocations' query in the workbook." type="5" refreshedVersion="8" background="1" saveData="1">
    <dbPr connection="Provider=Microsoft.Mashup.OleDb.1;Data Source=$Workbook$;Location=PlantUsageLocations;Extended Properties=&quot;&quot;" command="SELECT * FROM [PlantUsageLocations]"/>
  </connection>
  <connection id="22" xr16:uid="{A1F6E562-0DCA-4DC9-8B38-27486E0FED3A}" name="Query - RemoveFromAD" description="Connection to the 'RemoveFromAD' query in the workbook." type="100" refreshedVersion="8" minRefreshableVersion="5">
    <extLst>
      <ext xmlns:x15="http://schemas.microsoft.com/office/spreadsheetml/2010/11/main" uri="{DE250136-89BD-433C-8126-D09CA5730AF9}">
        <x15:connection id="db310af2-d6b9-4c57-b5f1-bdc519557555">
          <x15:oledbPr connection="Provider=Microsoft.Mashup.OleDb.1;Data Source=$Workbook$;Location=RemoveFromAD;Extended Properties=&quot;&quot;">
            <x15:dbTables>
              <x15:dbTable name="RemoveFromAD"/>
            </x15:dbTables>
          </x15:oledbPr>
        </x15:connection>
      </ext>
    </extLst>
  </connection>
  <connection id="23" xr16:uid="{00000000-0015-0000-FFFF-FFFF0F000000}" keepAlive="1" name="Query - RemoveFromList" description="Connection to the 'RemoveFromList' query in the workbook." type="5" refreshedVersion="0" background="1">
    <dbPr connection="Provider=Microsoft.Mashup.OleDb.1;Data Source=$Workbook$;Location=RemoveFromList;Extended Properties=&quot;&quot;" command="SELECT * FROM [RemoveFromList]"/>
  </connection>
  <connection id="24" xr16:uid="{5E84B7FF-EB13-4747-A08B-543C390A9E12}" keepAlive="1" name="Query - RemoveSuffix" description="Connection to the 'RemoveSuffix' query in the workbook." type="5" refreshedVersion="0" background="1">
    <dbPr connection="Provider=Microsoft.Mashup.OleDb.1;Data Source=$Workbook$;Location=RemoveSuffix;Extended Properties=&quot;&quot;" command="SELECT * FROM [RemoveSuffix]"/>
  </connection>
  <connection id="25" xr16:uid="{629F71F3-0CCC-4367-9262-8E5A1A52A3F1}" keepAlive="1" name="Query - ReplaceNulls" description="Connection to the 'ReplaceNulls' query in the workbook." type="5" refreshedVersion="0" background="1">
    <dbPr connection="Provider=Microsoft.Mashup.OleDb.1;Data Source=$Workbook$;Location=ReplaceNulls;Extended Properties=&quot;&quot;" command="SELECT * FROM [ReplaceNulls]"/>
  </connection>
  <connection id="26" xr16:uid="{00000000-0015-0000-FFFF-FFFF10000000}" keepAlive="1" name="Query - Server" description="Connection to the 'Server' query in the workbook." type="5" refreshedVersion="0" background="1">
    <dbPr connection="Provider=Microsoft.Mashup.OleDb.1;Data Source=$Workbook$;Location=Server;Extended Properties=&quot;&quot;" command="SELECT * FROM [Server]"/>
  </connection>
  <connection id="27" xr16:uid="{00000000-0015-0000-FFFF-FFFF11000000}" keepAlive="1" name="Query - SQL" description="Connection to the 'SQL' query in the workbook." type="5" refreshedVersion="0" background="1">
    <dbPr connection="Provider=Microsoft.Mashup.OleDb.1;Data Source=$Workbook$;Location=SQL;Extended Properties=&quot;&quot;" command="SELECT * FROM [SQL]"/>
  </connection>
  <connection id="28" xr16:uid="{00000000-0015-0000-FFFF-FFFF12000000}" keepAlive="1" name="Query - StorageInventory" description="Connection to the 'StorageInventory' query in the workbook." type="5" refreshedVersion="8" background="1" refreshOnLoad="1" saveData="1">
    <dbPr connection="Provider=Microsoft.Mashup.OleDb.1;Data Source=$Workbook$;Location=StorageInventory;Extended Properties=&quot;&quot;" command="SELECT * FROM [StorageInventory]"/>
  </connection>
  <connection id="29" xr16:uid="{D3429A8D-3B3B-45CA-B2F6-86F6443358B1}" keepAlive="1" name="Query - TagQty - Model" description="Connection to the 'TagQty - Model' query in the workbook." type="5" refreshedVersion="8" background="1" saveData="1">
    <dbPr connection="Provider=Microsoft.Mashup.OleDb.1;Data Source=$Workbook$;Location=&quot;TagQty - Model&quot;;Extended Properties=&quot;&quot;" command="SELECT * FROM [TagQty - Model]"/>
  </connection>
  <connection id="30" xr16:uid="{9CC64DE9-AD97-4310-B8E0-F829BCA1823E}" keepAlive="1" name="Query - TextJoinTrim" description="Connection to the 'TextJoinTrim' query in the workbook." type="5" refreshedVersion="0" background="1">
    <dbPr connection="Provider=Microsoft.Mashup.OleDb.1;Data Source=$Workbook$;Location=TextJoinTrim;Extended Properties=&quot;&quot;" command="SELECT * FROM [TextJoinTrim]"/>
  </connection>
  <connection id="31" xr16:uid="{0AFCABFC-AB9B-465E-B641-CD70C154D5F7}" keepAlive="1" name="Query - TypeCount(1)" description="Connection to the 'TypeCount' query in the workbook." type="5" refreshedVersion="8" background="1" saveData="1">
    <dbPr connection="Provider=Microsoft.Mashup.OleDb.1;Data Source=$Workbook$;Location=TypeCount;Extended Properties=&quot;&quot;" command="SELECT * FROM [TypeCount]"/>
  </connection>
  <connection id="32" xr16:uid="{E1071A0D-B608-4562-818D-55CD6AE5F17F}" name="Query - UnusedIndexQty" description="Connection to the 'UnusedIndexQty' query in the workbook." type="100" refreshedVersion="8" minRefreshableVersion="5">
    <extLst>
      <ext xmlns:x15="http://schemas.microsoft.com/office/spreadsheetml/2010/11/main" uri="{DE250136-89BD-433C-8126-D09CA5730AF9}">
        <x15:connection id="87cdd4e6-7ebe-4207-95b1-5ca798ec77e6">
          <x15:oledbPr connection="Provider=Microsoft.Mashup.OleDb.1;Data Source=$Workbook$;Location=UnusedIndexQty;Extended Properties=&quot;&quot;">
            <x15:dbTables>
              <x15:dbTable name="UnusedIndexQty"/>
            </x15:dbTables>
          </x15:oledbPr>
        </x15:connection>
      </ext>
    </extLst>
  </connection>
  <connection id="33" xr16:uid="{A6AC0FF3-7318-445C-ABAC-C59602FAC221}" name="Query - UnusedIndices" description="Connection to the 'UnusedIndices' query in the workbook." type="100" refreshedVersion="8" minRefreshableVersion="5">
    <extLst>
      <ext xmlns:x15="http://schemas.microsoft.com/office/spreadsheetml/2010/11/main" uri="{DE250136-89BD-433C-8126-D09CA5730AF9}">
        <x15:connection id="4ecb1ca8-df2d-44b4-aac2-17447d7a83fb">
          <x15:oledbPr connection="Provider=Microsoft.Mashup.OleDb.1;Data Source=$Workbook$;Location=UnusedIndices;Extended Properties=&quot;&quot;">
            <x15:dbTables>
              <x15:dbTable name="UnusedIndices"/>
            </x15:dbTables>
          </x15:oledbPr>
        </x15:connection>
      </ext>
    </extLst>
  </connection>
  <connection id="34" xr16:uid="{A8FE084B-CA44-452D-9C0B-4746F61EB7C7}" name="Query - VNCTable" description="Connection to the 'VNCTable' query in the workbook." type="100" refreshedVersion="8" minRefreshableVersion="5">
    <extLst>
      <ext xmlns:x15="http://schemas.microsoft.com/office/spreadsheetml/2010/11/main" uri="{DE250136-89BD-433C-8126-D09CA5730AF9}">
        <x15:connection id="70b6fe51-af95-473c-9fbd-67a7aa70eaa0"/>
      </ext>
    </extLst>
  </connection>
  <connection id="35" xr16:uid="{00000000-0015-0000-FFFF-FFFF14000000}" keepAlive="1" name="Query - XLTable" description="Connection to the 'XLTable' query in the workbook." type="5" refreshedVersion="0" background="1">
    <dbPr connection="Provider=Microsoft.Mashup.OleDb.1;Data Source=$Workbook$;Location=xlTable;Extended Properties=&quot;&quot;" command="SELECT * FROM [XLTable]"/>
  </connection>
  <connection id="36" xr16:uid="{00000000-0015-0000-FFFF-FFFF15000000}" keepAlive="1" name="Query - XLTable(1)" description="Connection to the 'XLTable' query in the workbook." type="5" refreshedVersion="0" background="1">
    <dbPr connection="Provider=Microsoft.Mashup.OleDb.1;Data Source=$Workbook$;Location=XLTable;Extended Properties=&quot;&quot;" command="SELECT * FROM [XLTable]"/>
  </connection>
  <connection id="37" xr16:uid="{00000000-0015-0000-FFFF-FFFF16000000}" keepAlive="1" name="Query - XLValue" description="Connection to the 'XLValue' query in the workbook." type="5" refreshedVersion="0" background="1">
    <dbPr connection="Provider=Microsoft.Mashup.OleDb.1;Data Source=$Workbook$;Location=XLValue;Extended Properties=&quot;&quot;" command="SELECT * FROM [XLValue]"/>
  </connection>
  <connection id="38" xr16:uid="{E4CB7265-AE21-4D2A-BA2C-1D4B7233BC7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9" xr16:uid="{8B61014F-75A9-4B4F-BF9E-1B16DBCA5887}" name="WorksheetConnection_IT Inventory.xlsm!ActiveDirectoryComputers" type="102" refreshedVersion="8" minRefreshableVersion="5">
    <extLst>
      <ext xmlns:x15="http://schemas.microsoft.com/office/spreadsheetml/2010/11/main" uri="{DE250136-89BD-433C-8126-D09CA5730AF9}">
        <x15:connection id="ActiveDirectoryComputers 1">
          <x15:rangePr sourceName="_xlcn.WorksheetConnection_ITInventory.xlsmActiveDirectoryComputers1"/>
        </x15:connection>
      </ext>
    </extLst>
  </connection>
  <connection id="40" xr16:uid="{ADD15860-FF83-475E-AB31-0BA41C00F3FC}" name="WorksheetConnection_IT Inventory.xlsm!ITEquipmentTable" type="102" refreshedVersion="8" minRefreshableVersion="5">
    <extLst>
      <ext xmlns:x15="http://schemas.microsoft.com/office/spreadsheetml/2010/11/main" uri="{DE250136-89BD-433C-8126-D09CA5730AF9}">
        <x15:connection id="ITEquipmentTable">
          <x15:rangePr sourceName="_xlcn.WorksheetConnection_ITInventory.xlsmITEquipmentTable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 name="XLMDX" minSupportedVersion="120000" copy="1" pasteAll="1" pasteValues="1" merge="1" splitFirst="1" rowColShift="1" clearFormats="1" clearComments="1" assign="1" coerce="1"/>
  </metadataTypes>
  <metadataStrings count="2">
    <s v="ThisWorkbookDataModel"/>
    <s v="{[ITEquipmentTable].[Type].&amp;[Laptop],[ITEquipmentTable].[Type].&amp;[Tablet],[ITEquipmentTable].[Type].&amp;[Desktop]}"/>
  </metadataStrings>
  <mdxMetadata count="1">
    <mdx n="0" f="s">
      <ms ns="1" c="0"/>
    </mdx>
  </mdxMetadata>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2">
    <bk>
      <rc t="3" v="0"/>
    </bk>
    <bk>
      <rc t="2" v="0"/>
    </bk>
  </valueMetadata>
</metadata>
</file>

<file path=xl/sharedStrings.xml><?xml version="1.0" encoding="utf-8"?>
<sst xmlns="http://schemas.openxmlformats.org/spreadsheetml/2006/main" count="12318" uniqueCount="3803">
  <si>
    <t>Table Color Explanations</t>
  </si>
  <si>
    <t>Conditional Formatting</t>
  </si>
  <si>
    <t>Opt</t>
  </si>
  <si>
    <t>Cell Name</t>
  </si>
  <si>
    <t>StyleName</t>
  </si>
  <si>
    <t>Class</t>
  </si>
  <si>
    <t>Type</t>
  </si>
  <si>
    <t>Where Used</t>
  </si>
  <si>
    <t>Typing Notes</t>
  </si>
  <si>
    <t>Warnings</t>
  </si>
  <si>
    <t>Fmt Notes</t>
  </si>
  <si>
    <t>Font</t>
  </si>
  <si>
    <t>Fnt</t>
  </si>
  <si>
    <t>Base</t>
  </si>
  <si>
    <t>Pat</t>
  </si>
  <si>
    <t>BOv</t>
  </si>
  <si>
    <t>FOv</t>
  </si>
  <si>
    <t>POv</t>
  </si>
  <si>
    <t>BgClr</t>
  </si>
  <si>
    <t>TxClr</t>
  </si>
  <si>
    <t>PtClr</t>
  </si>
  <si>
    <t>Column1</t>
  </si>
  <si>
    <t>Column2</t>
  </si>
  <si>
    <t>Column3</t>
  </si>
  <si>
    <t>Result</t>
  </si>
  <si>
    <t>UseCol3</t>
  </si>
  <si>
    <t>Calculated Key Header</t>
  </si>
  <si>
    <t>Calc</t>
  </si>
  <si>
    <t>HdKey</t>
  </si>
  <si>
    <t>Table Headers, Total Rows</t>
  </si>
  <si>
    <t>Do not type in this cell</t>
  </si>
  <si>
    <t>Cell will contain a formula or header</t>
  </si>
  <si>
    <t>Txt Fmt</t>
  </si>
  <si>
    <t>B1</t>
  </si>
  <si>
    <t>T2</t>
  </si>
  <si>
    <t>Value</t>
  </si>
  <si>
    <t>Calculated Header</t>
  </si>
  <si>
    <t>Hd</t>
  </si>
  <si>
    <t>T1</t>
  </si>
  <si>
    <t>L35</t>
  </si>
  <si>
    <t>BadValue</t>
  </si>
  <si>
    <t>Calculated Key</t>
  </si>
  <si>
    <t>Key</t>
  </si>
  <si>
    <t>Tables, Output Cells</t>
  </si>
  <si>
    <t>Cell will contain a formula</t>
  </si>
  <si>
    <t>B2</t>
  </si>
  <si>
    <t>D25</t>
  </si>
  <si>
    <t>Calculated D/V</t>
  </si>
  <si>
    <t>Val</t>
  </si>
  <si>
    <t>D15</t>
  </si>
  <si>
    <t>Caution</t>
  </si>
  <si>
    <t>Calculated Cell</t>
  </si>
  <si>
    <t>Cell</t>
  </si>
  <si>
    <t>D5</t>
  </si>
  <si>
    <t>Deactivated Key Header</t>
  </si>
  <si>
    <t>Deac</t>
  </si>
  <si>
    <t>Column has been deactivated by a formula</t>
  </si>
  <si>
    <t>Pattern Set, Txt Fmt</t>
  </si>
  <si>
    <t>N</t>
  </si>
  <si>
    <t>Deactivated Header</t>
  </si>
  <si>
    <t>L50</t>
  </si>
  <si>
    <t>Deactivated Cell</t>
  </si>
  <si>
    <t>Tables, Input Cells, Output Cells</t>
  </si>
  <si>
    <t>Cell has been deactivated by a formula</t>
  </si>
  <si>
    <t>Active Disabled</t>
  </si>
  <si>
    <t>Act</t>
  </si>
  <si>
    <t>Pattern Set, Italics</t>
  </si>
  <si>
    <t>Box Title (16 pt Font)</t>
  </si>
  <si>
    <t>Box</t>
  </si>
  <si>
    <t>Title</t>
  </si>
  <si>
    <t>Top of Sheets, Tables, &amp; Objects</t>
  </si>
  <si>
    <t>Cell will contain a header</t>
  </si>
  <si>
    <t>Cent HV, 16 Pt, Txt Fmt</t>
  </si>
  <si>
    <t>A1</t>
  </si>
  <si>
    <t>D50</t>
  </si>
  <si>
    <t>Box Key Header</t>
  </si>
  <si>
    <t>Centered HV, Txt Fmt</t>
  </si>
  <si>
    <t>Box Header</t>
  </si>
  <si>
    <t>Box Key</t>
  </si>
  <si>
    <t>Sheet, Table, &amp; Object Options</t>
  </si>
  <si>
    <t>Type in this cell</t>
  </si>
  <si>
    <t>None</t>
  </si>
  <si>
    <t>Centered HV</t>
  </si>
  <si>
    <t>Box D/V</t>
  </si>
  <si>
    <t>L60</t>
  </si>
  <si>
    <t>Box Cell</t>
  </si>
  <si>
    <t>L80</t>
  </si>
  <si>
    <t>Active Note</t>
  </si>
  <si>
    <t>Notes and Instructions</t>
  </si>
  <si>
    <t>Cell will contain information</t>
  </si>
  <si>
    <t>Cent HV, P Set, Ital, Txt Fmt</t>
  </si>
  <si>
    <t>Input Key Header</t>
  </si>
  <si>
    <t>Inp</t>
  </si>
  <si>
    <t>A2</t>
  </si>
  <si>
    <t>Input Header</t>
  </si>
  <si>
    <t>Input Key</t>
  </si>
  <si>
    <t>Tables, Input Cells</t>
  </si>
  <si>
    <t>Input Date</t>
  </si>
  <si>
    <t>Date</t>
  </si>
  <si>
    <t>Date Format</t>
  </si>
  <si>
    <t>Input Value</t>
  </si>
  <si>
    <t>Input Cell</t>
  </si>
  <si>
    <t>Active Missing</t>
  </si>
  <si>
    <t>Miss</t>
  </si>
  <si>
    <t>Data Required</t>
  </si>
  <si>
    <t>Error Key Header</t>
  </si>
  <si>
    <t>Err</t>
  </si>
  <si>
    <t>A3</t>
  </si>
  <si>
    <t>Error Header</t>
  </si>
  <si>
    <t>Table Headers</t>
  </si>
  <si>
    <t>Cell in this column has an error</t>
  </si>
  <si>
    <t>Error Key</t>
  </si>
  <si>
    <t>Cell in this row has an error</t>
  </si>
  <si>
    <t>Error D/V</t>
  </si>
  <si>
    <t>A related cell has an error</t>
  </si>
  <si>
    <t>Error Cell</t>
  </si>
  <si>
    <t>Active Error</t>
  </si>
  <si>
    <t>Error</t>
  </si>
  <si>
    <t>Tables</t>
  </si>
  <si>
    <t>This cell has an error</t>
  </si>
  <si>
    <t>Lookup Key Header</t>
  </si>
  <si>
    <t>Lkp</t>
  </si>
  <si>
    <t>A4</t>
  </si>
  <si>
    <t>Lookup Header</t>
  </si>
  <si>
    <t>Lookup Key</t>
  </si>
  <si>
    <t>Tables, Reference Cells</t>
  </si>
  <si>
    <t>Cell contains referenced data</t>
  </si>
  <si>
    <t>Lookup Date</t>
  </si>
  <si>
    <t>Cell contains a referenced value</t>
  </si>
  <si>
    <t>Lookup Value</t>
  </si>
  <si>
    <t>Lookup Cell</t>
  </si>
  <si>
    <t>Active Lookup Not Found</t>
  </si>
  <si>
    <t>Find</t>
  </si>
  <si>
    <t>Query Key Header</t>
  </si>
  <si>
    <t>Que</t>
  </si>
  <si>
    <t>A5</t>
  </si>
  <si>
    <t>Query Header</t>
  </si>
  <si>
    <t>Query Key</t>
  </si>
  <si>
    <t>Cell will contain a formula or query output</t>
  </si>
  <si>
    <t>Query D/V</t>
  </si>
  <si>
    <t>Query Cell</t>
  </si>
  <si>
    <t>Active Good</t>
  </si>
  <si>
    <t>Good</t>
  </si>
  <si>
    <t>L40</t>
  </si>
  <si>
    <t>Internal Key Header</t>
  </si>
  <si>
    <t>Int</t>
  </si>
  <si>
    <t>Cell changes may cause loss of functionality</t>
  </si>
  <si>
    <t>A6</t>
  </si>
  <si>
    <t>Internal Header</t>
  </si>
  <si>
    <t>Internal Key</t>
  </si>
  <si>
    <t>Internal D/V</t>
  </si>
  <si>
    <t>Internal Cell</t>
  </si>
  <si>
    <t>Internal Note</t>
  </si>
  <si>
    <t>Note</t>
  </si>
  <si>
    <t>Tables, Output Cells, Labels</t>
  </si>
  <si>
    <t>P Set, Ital, Txt Fmt</t>
  </si>
  <si>
    <t>Other Cell Styles</t>
  </si>
  <si>
    <t>Normal</t>
  </si>
  <si>
    <t>xCond</t>
  </si>
  <si>
    <t>xMono</t>
  </si>
  <si>
    <t>HyperLink</t>
  </si>
  <si>
    <t>Standard Text</t>
  </si>
  <si>
    <t>Tight Text</t>
  </si>
  <si>
    <t>Monospaced Text</t>
  </si>
  <si>
    <t>#0563C1 B,UL Bahnschrift 11pt</t>
  </si>
  <si>
    <t>Bahnschrift 11pt</t>
  </si>
  <si>
    <t>Bahnschrift Condensed 11pt</t>
  </si>
  <si>
    <t>OCR A Extended 11pt</t>
  </si>
  <si>
    <t>Followed Hyperlink</t>
  </si>
  <si>
    <t>Sets Font Only</t>
  </si>
  <si>
    <t>#954F72 B,UL Bahnschrift 11pt</t>
  </si>
  <si>
    <t>Lookup Table</t>
  </si>
  <si>
    <t>LookupKey1</t>
  </si>
  <si>
    <t>LookupColumn2</t>
  </si>
  <si>
    <t>CalcColumn</t>
  </si>
  <si>
    <t>KeyCell 1</t>
  </si>
  <si>
    <t>Lookup Referenced Value</t>
  </si>
  <si>
    <t>KeyCell 2</t>
  </si>
  <si>
    <t>Total:</t>
  </si>
  <si>
    <t>Internal Table</t>
  </si>
  <si>
    <t>Key1</t>
  </si>
  <si>
    <t>Internal2</t>
  </si>
  <si>
    <t>CalcColumn3</t>
  </si>
  <si>
    <t>IntKey 1</t>
  </si>
  <si>
    <t>IntKey 2</t>
  </si>
  <si>
    <t>Query Table</t>
  </si>
  <si>
    <t>QueryKey1</t>
  </si>
  <si>
    <t>QueryColumn2</t>
  </si>
  <si>
    <t>QueKey 1</t>
  </si>
  <si>
    <t>Query Value</t>
  </si>
  <si>
    <t>QueKey 2</t>
  </si>
  <si>
    <t>Query Error</t>
  </si>
  <si>
    <t>Added Title</t>
  </si>
  <si>
    <t>Boolean Values</t>
  </si>
  <si>
    <t>SizeOverrideTable</t>
  </si>
  <si>
    <t>Default Fonts</t>
  </si>
  <si>
    <t>Bool</t>
  </si>
  <si>
    <t>YN</t>
  </si>
  <si>
    <t>BoolName</t>
  </si>
  <si>
    <t>YNName</t>
  </si>
  <si>
    <t>Cell Title</t>
  </si>
  <si>
    <t>Headers</t>
  </si>
  <si>
    <t>Cells</t>
  </si>
  <si>
    <t>Sets Font</t>
  </si>
  <si>
    <t>Sets Fmt</t>
  </si>
  <si>
    <t>ChgNorm</t>
  </si>
  <si>
    <t>Heading</t>
  </si>
  <si>
    <t>Body</t>
  </si>
  <si>
    <t>Mono</t>
  </si>
  <si>
    <t>Condensed</t>
  </si>
  <si>
    <t>Yes</t>
  </si>
  <si>
    <t>Y</t>
  </si>
  <si>
    <t>Bahnschrift</t>
  </si>
  <si>
    <t>OCR A Extended</t>
  </si>
  <si>
    <t>Bahnschrift Condensed</t>
  </si>
  <si>
    <t>No</t>
  </si>
  <si>
    <t>ErrorTable</t>
  </si>
  <si>
    <t>TableTypeTable</t>
  </si>
  <si>
    <t>Name</t>
  </si>
  <si>
    <t>HeadStyle</t>
  </si>
  <si>
    <t>CellStyle</t>
  </si>
  <si>
    <t>ErrValue</t>
  </si>
  <si>
    <t>Internal</t>
  </si>
  <si>
    <t>InternalTable</t>
  </si>
  <si>
    <t>IntHd</t>
  </si>
  <si>
    <t>IntCell</t>
  </si>
  <si>
    <t>N/A</t>
  </si>
  <si>
    <t>ErrNa</t>
  </si>
  <si>
    <t>Query</t>
  </si>
  <si>
    <t>QueryTable</t>
  </si>
  <si>
    <t>QueHd</t>
  </si>
  <si>
    <t>QueCell</t>
  </si>
  <si>
    <t>Num</t>
  </si>
  <si>
    <t>ErrNum</t>
  </si>
  <si>
    <t>Input</t>
  </si>
  <si>
    <t>InputTable</t>
  </si>
  <si>
    <t>InpHd</t>
  </si>
  <si>
    <t>InpCell</t>
  </si>
  <si>
    <t>ErrName</t>
  </si>
  <si>
    <t>Lookup</t>
  </si>
  <si>
    <t>LookupTable</t>
  </si>
  <si>
    <t>LkpHd</t>
  </si>
  <si>
    <t>LkpCell</t>
  </si>
  <si>
    <t>Spill</t>
  </si>
  <si>
    <t>ErrSpill</t>
  </si>
  <si>
    <t>Calculated</t>
  </si>
  <si>
    <t>CalculatedTable</t>
  </si>
  <si>
    <t>CalcHd</t>
  </si>
  <si>
    <t>CalcCell</t>
  </si>
  <si>
    <t>Div/0</t>
  </si>
  <si>
    <t>ErrDiv</t>
  </si>
  <si>
    <t>BoxTable</t>
  </si>
  <si>
    <t>BoxHd</t>
  </si>
  <si>
    <t>BoxCell</t>
  </si>
  <si>
    <t>Style</t>
  </si>
  <si>
    <t>#STYLE!</t>
  </si>
  <si>
    <t>ErrStyle</t>
  </si>
  <si>
    <t>ErrHd</t>
  </si>
  <si>
    <t>ErrCell</t>
  </si>
  <si>
    <t>IT Equipment Inventory</t>
  </si>
  <si>
    <t>Employees</t>
  </si>
  <si>
    <t>Storage Locations</t>
  </si>
  <si>
    <t>Device</t>
  </si>
  <si>
    <t>Repair Status</t>
  </si>
  <si>
    <t>Serial Types</t>
  </si>
  <si>
    <t>Windows Versions</t>
  </si>
  <si>
    <t>Filled %</t>
  </si>
  <si>
    <t>Records:</t>
  </si>
  <si>
    <t>Next:</t>
  </si>
  <si>
    <t>Valid</t>
  </si>
  <si>
    <t>Types</t>
  </si>
  <si>
    <t>Status Codes</t>
  </si>
  <si>
    <t>Brand</t>
  </si>
  <si>
    <t>Model</t>
  </si>
  <si>
    <t>Serial Type</t>
  </si>
  <si>
    <t>Serial</t>
  </si>
  <si>
    <t>Storage Location</t>
  </si>
  <si>
    <t>Assigned Location</t>
  </si>
  <si>
    <t>Assigned Employee</t>
  </si>
  <si>
    <t>IPv4 Address</t>
  </si>
  <si>
    <t>Status</t>
  </si>
  <si>
    <t>OS Version</t>
  </si>
  <si>
    <t>Condition</t>
  </si>
  <si>
    <t>NeedsRepair</t>
  </si>
  <si>
    <t>Notes</t>
  </si>
  <si>
    <t>Description</t>
  </si>
  <si>
    <t>ID</t>
  </si>
  <si>
    <t>name</t>
  </si>
  <si>
    <t>Active</t>
  </si>
  <si>
    <t>Location</t>
  </si>
  <si>
    <t>Code</t>
  </si>
  <si>
    <t>Versions</t>
  </si>
  <si>
    <t>Version Number</t>
  </si>
  <si>
    <t>IsServer</t>
  </si>
  <si>
    <t>Laptop</t>
  </si>
  <si>
    <t>In Use</t>
  </si>
  <si>
    <t>Crash Cart</t>
  </si>
  <si>
    <t>AIM-MANUALMODE</t>
  </si>
  <si>
    <t>Verify &amp; Locate</t>
  </si>
  <si>
    <t>Needs Brand, Model, Serial</t>
  </si>
  <si>
    <t>Needs Information</t>
  </si>
  <si>
    <t>Amir Kazemi</t>
  </si>
  <si>
    <t>IT Cage</t>
  </si>
  <si>
    <t>Back of office</t>
  </si>
  <si>
    <t>Desktop</t>
  </si>
  <si>
    <t>Out for Repair</t>
  </si>
  <si>
    <t>Serial Number</t>
  </si>
  <si>
    <t>Windows Server 2012 R2 Standard</t>
  </si>
  <si>
    <t>Dell</t>
  </si>
  <si>
    <t>OptiPlex 3040</t>
  </si>
  <si>
    <t>Service Tag</t>
  </si>
  <si>
    <t>HJDVP52</t>
  </si>
  <si>
    <t>Functional</t>
  </si>
  <si>
    <t>Needs Model &amp; Serial</t>
  </si>
  <si>
    <t>Ian Lovell</t>
  </si>
  <si>
    <t>Quality Cage</t>
  </si>
  <si>
    <t>Back-left shelf in quality cage</t>
  </si>
  <si>
    <t>Needs Repair</t>
  </si>
  <si>
    <t>Cube</t>
  </si>
  <si>
    <t>Needs Serial</t>
  </si>
  <si>
    <t>Zachary Rench</t>
  </si>
  <si>
    <t>Server Room</t>
  </si>
  <si>
    <t>Corner of office</t>
  </si>
  <si>
    <t>Tablet</t>
  </si>
  <si>
    <t>Brand New</t>
  </si>
  <si>
    <t>MAC Address</t>
  </si>
  <si>
    <t>Missing or Incorrect Information</t>
  </si>
  <si>
    <t>Lynnette Underwood</t>
  </si>
  <si>
    <t>Backup Server Room</t>
  </si>
  <si>
    <t>In WS break area</t>
  </si>
  <si>
    <t>HDMI Stick</t>
  </si>
  <si>
    <t>Serial Unreadable</t>
  </si>
  <si>
    <t>T1XX - BT1XX Lower - Assembly</t>
  </si>
  <si>
    <t>10.68.134.47</t>
  </si>
  <si>
    <t>AIM-BT1LWRASSY</t>
  </si>
  <si>
    <t>E-Waste</t>
  </si>
  <si>
    <t>No longer in service</t>
  </si>
  <si>
    <t>Jason Konrad</t>
  </si>
  <si>
    <t>File Cabinet in Cube</t>
  </si>
  <si>
    <t>Back of IT cubicles</t>
  </si>
  <si>
    <t>Printer</t>
  </si>
  <si>
    <t>Not Serialized</t>
  </si>
  <si>
    <t>APC</t>
  </si>
  <si>
    <t>CyberPower</t>
  </si>
  <si>
    <t>DT Carrier - New</t>
  </si>
  <si>
    <t>Check</t>
  </si>
  <si>
    <t>Confirm Serial, Old Data</t>
  </si>
  <si>
    <t>Jeremy Dalrymple</t>
  </si>
  <si>
    <t>Cabinet in Cage</t>
  </si>
  <si>
    <t>Back of IT cage</t>
  </si>
  <si>
    <t>Radio</t>
  </si>
  <si>
    <t>See Condition</t>
  </si>
  <si>
    <t>Missing</t>
  </si>
  <si>
    <t>Entry is complete</t>
  </si>
  <si>
    <t>Kim Bondy</t>
  </si>
  <si>
    <t>In someone's cubicle</t>
  </si>
  <si>
    <t>Monitor</t>
  </si>
  <si>
    <t>Non-Existent</t>
  </si>
  <si>
    <t>Locate Serial</t>
  </si>
  <si>
    <t>Equipment has not been located</t>
  </si>
  <si>
    <t>Steve Allevato</t>
  </si>
  <si>
    <t>In use, see assigned location column</t>
  </si>
  <si>
    <t>Monitor (Touch)</t>
  </si>
  <si>
    <t>Initial Setup</t>
  </si>
  <si>
    <t>T1XX - BT1XX Lower - Test</t>
  </si>
  <si>
    <t>10.68.134.49</t>
  </si>
  <si>
    <t>AIM-BT1LWRTEST</t>
  </si>
  <si>
    <t>Confirm Location</t>
  </si>
  <si>
    <t>Confirm that equipment has not been moved</t>
  </si>
  <si>
    <t>Priyen Patel</t>
  </si>
  <si>
    <t>Disposed of</t>
  </si>
  <si>
    <t>TV</t>
  </si>
  <si>
    <t>Obsolete</t>
  </si>
  <si>
    <t>T1XX - BT1XX Upper - Limiter</t>
  </si>
  <si>
    <t>10.68.134.96</t>
  </si>
  <si>
    <t>AIM-BT1UPLMTR</t>
  </si>
  <si>
    <t>Locate this equipment on the floor</t>
  </si>
  <si>
    <t>Arshdeep Dhindsa</t>
  </si>
  <si>
    <t>Has been sent out for repair</t>
  </si>
  <si>
    <t>Scanner</t>
  </si>
  <si>
    <t>T1XX - BT1XX Upper - Assembly</t>
  </si>
  <si>
    <t>10.68.134.91</t>
  </si>
  <si>
    <t>AIM-BT1UPRASSY</t>
  </si>
  <si>
    <t>Mugeshkumar Rathinasabapathy</t>
  </si>
  <si>
    <t>Assigned to Employee</t>
  </si>
  <si>
    <t>Has been assigned to an employee</t>
  </si>
  <si>
    <t>Scanner Base</t>
  </si>
  <si>
    <t>Vizio</t>
  </si>
  <si>
    <t>V505-G9</t>
  </si>
  <si>
    <t>LINIXXTV4207201</t>
  </si>
  <si>
    <t>DT FEM - Display</t>
  </si>
  <si>
    <t>Lauree Abbott</t>
  </si>
  <si>
    <t>T1XX - BT1XX Upper - Test 1</t>
  </si>
  <si>
    <t>10.68.134.93</t>
  </si>
  <si>
    <t>AIM-BT1UPRSLTST</t>
  </si>
  <si>
    <t>Gaurav Mathur</t>
  </si>
  <si>
    <t>Router</t>
  </si>
  <si>
    <t>T1XX - BT1XX Upper - Test 2</t>
  </si>
  <si>
    <t>10.68.134.95</t>
  </si>
  <si>
    <t>AIM-BT1USLTST2</t>
  </si>
  <si>
    <t>Eric Nader</t>
  </si>
  <si>
    <t>Asset is missing</t>
  </si>
  <si>
    <t>Network Switch</t>
  </si>
  <si>
    <t>HP</t>
  </si>
  <si>
    <t>HP Z2 Mini G4 Workstation</t>
  </si>
  <si>
    <t>Needs Location &amp; Name</t>
  </si>
  <si>
    <t>Shankar Basavarajappa</t>
  </si>
  <si>
    <t>Dock</t>
  </si>
  <si>
    <t>1810-8</t>
  </si>
  <si>
    <t>DT FEM - Display - Wall</t>
  </si>
  <si>
    <t>10.68.88.100</t>
  </si>
  <si>
    <t>Sahil Sharma</t>
  </si>
  <si>
    <t>Keyboard</t>
  </si>
  <si>
    <t>8Y687J2</t>
  </si>
  <si>
    <t>John Taylor</t>
  </si>
  <si>
    <t>Mouse</t>
  </si>
  <si>
    <t>OptiPlex 3050</t>
  </si>
  <si>
    <t>GKG5GQ2</t>
  </si>
  <si>
    <t>Office - Display</t>
  </si>
  <si>
    <t>10.68.</t>
  </si>
  <si>
    <t>AIM-DTSPARE20-D</t>
  </si>
  <si>
    <t>Stephen Patterson</t>
  </si>
  <si>
    <t>Server</t>
  </si>
  <si>
    <t>T1XX - SUV - Display</t>
  </si>
  <si>
    <t>AIM-DISPLAY12</t>
  </si>
  <si>
    <t>Joseph Romanowski</t>
  </si>
  <si>
    <t>Virtual Server</t>
  </si>
  <si>
    <t>OptiPlex 3060</t>
  </si>
  <si>
    <t>G8467X2</t>
  </si>
  <si>
    <t>T1XX - AAD - Display</t>
  </si>
  <si>
    <t>10.68.134.67</t>
  </si>
  <si>
    <t>AIM-DISPLAY13</t>
  </si>
  <si>
    <t>James Adams</t>
  </si>
  <si>
    <t>4W8WMR2</t>
  </si>
  <si>
    <t>Jason Capers</t>
  </si>
  <si>
    <t>OptiPlex 3070</t>
  </si>
  <si>
    <t>DT83B03</t>
  </si>
  <si>
    <t>AIM-DISPLAY16</t>
  </si>
  <si>
    <t>Briana Seals</t>
  </si>
  <si>
    <t>F1QLPX2</t>
  </si>
  <si>
    <t>AIM-SUVSWAP1-D</t>
  </si>
  <si>
    <t>IT Spare Client</t>
  </si>
  <si>
    <t>Daniel Rattee</t>
  </si>
  <si>
    <t>Acer</t>
  </si>
  <si>
    <t>V206HQL</t>
  </si>
  <si>
    <t>MMLXKAA013645037734245</t>
  </si>
  <si>
    <t>DT FEM - Production - St04</t>
  </si>
  <si>
    <t>Karthik Kandasamy</t>
  </si>
  <si>
    <t>MMLXKAA013645038324245</t>
  </si>
  <si>
    <t>Tami Spiece</t>
  </si>
  <si>
    <t>Zebra</t>
  </si>
  <si>
    <t>DS3878</t>
  </si>
  <si>
    <t>Phil Yax</t>
  </si>
  <si>
    <t>DW3Y5K2</t>
  </si>
  <si>
    <t>Reimage</t>
  </si>
  <si>
    <t>Walter Payne</t>
  </si>
  <si>
    <t>MMLXKAA013824040B04245</t>
  </si>
  <si>
    <t>DT FEM - Production - St05</t>
  </si>
  <si>
    <t>Kalavathi Marulappa</t>
  </si>
  <si>
    <t>8Y067J2</t>
  </si>
  <si>
    <t>AIM-DISPLAY3</t>
  </si>
  <si>
    <t>Darryl Cadarette</t>
  </si>
  <si>
    <t>HJF7D92</t>
  </si>
  <si>
    <t>WS - Display</t>
  </si>
  <si>
    <t>AIM-DISPLAY4</t>
  </si>
  <si>
    <t>Jaruwan Gerds</t>
  </si>
  <si>
    <t>640ZLP2</t>
  </si>
  <si>
    <t>T1XX - T1XX LD JIT Display</t>
  </si>
  <si>
    <t>AIM-DISPLAY5</t>
  </si>
  <si>
    <t>Jennifer Patrick</t>
  </si>
  <si>
    <t>670VGP2</t>
  </si>
  <si>
    <t>Materials - Display</t>
  </si>
  <si>
    <t>AIM-DISPLAY6</t>
  </si>
  <si>
    <t>Shishutosh Saha</t>
  </si>
  <si>
    <t>61Z0HP2</t>
  </si>
  <si>
    <t>Dock 74 - Display</t>
  </si>
  <si>
    <t>AIM-DISPLAY7</t>
  </si>
  <si>
    <t>Savannah Hill</t>
  </si>
  <si>
    <t>Sato</t>
  </si>
  <si>
    <t>CL4NX</t>
  </si>
  <si>
    <t>AL100841</t>
  </si>
  <si>
    <t>DT FEM - Production - St10</t>
  </si>
  <si>
    <t>10.68.134.84</t>
  </si>
  <si>
    <t>Anthony Jones</t>
  </si>
  <si>
    <t>6403MP2</t>
  </si>
  <si>
    <t>AIM-DISPLAY8</t>
  </si>
  <si>
    <t>Rebecca Humitz</t>
  </si>
  <si>
    <t>66TTJK2</t>
  </si>
  <si>
    <t>T1XX - T1 Lower - Assembly 2</t>
  </si>
  <si>
    <t>10.68.134.175</t>
  </si>
  <si>
    <t>AIM-DISPLAY9</t>
  </si>
  <si>
    <t>Keith Bell</t>
  </si>
  <si>
    <t>CKWBXH2</t>
  </si>
  <si>
    <t>T1XX - AAD - Test 70</t>
  </si>
  <si>
    <t>10.68.134.38</t>
  </si>
  <si>
    <t>AIM-DTAAD1</t>
  </si>
  <si>
    <t>Jim Ortisi</t>
  </si>
  <si>
    <t>CG6FXH2</t>
  </si>
  <si>
    <t>T1XX - AAD - Torque 50</t>
  </si>
  <si>
    <t>10.68.134.39</t>
  </si>
  <si>
    <t>AIM-DTAAD2</t>
  </si>
  <si>
    <t>Ramana Varma</t>
  </si>
  <si>
    <t>8XB67J2</t>
  </si>
  <si>
    <t>T1XX - AAD - Assembly 60</t>
  </si>
  <si>
    <t>10.68.134.76</t>
  </si>
  <si>
    <t>AIM-DTAAD3</t>
  </si>
  <si>
    <t>Nick Tomei</t>
  </si>
  <si>
    <t>HR Office - Badges</t>
  </si>
  <si>
    <t>DHCP</t>
  </si>
  <si>
    <t>AIM-PC1-L</t>
  </si>
  <si>
    <t>Jeffrey McDonald</t>
  </si>
  <si>
    <t>HR Office - Payroll</t>
  </si>
  <si>
    <t>AIM-PC9-L</t>
  </si>
  <si>
    <t>Malik Waites</t>
  </si>
  <si>
    <t>Honeywell</t>
  </si>
  <si>
    <t>CCB02-100BT-07N</t>
  </si>
  <si>
    <t>19347N0AA9</t>
  </si>
  <si>
    <t>IT Cart</t>
  </si>
  <si>
    <t>Lynn Rayner</t>
  </si>
  <si>
    <t>Motorola</t>
  </si>
  <si>
    <t>SL300</t>
  </si>
  <si>
    <t>546TTRC549</t>
  </si>
  <si>
    <t>IT Radio</t>
  </si>
  <si>
    <t>Missing - John Simon</t>
  </si>
  <si>
    <t>Todd Kuhn</t>
  </si>
  <si>
    <t>546TVM5910</t>
  </si>
  <si>
    <t>Marked 314</t>
  </si>
  <si>
    <t>Jackie Jackson</t>
  </si>
  <si>
    <t>546TVM5911</t>
  </si>
  <si>
    <t>Marked 317</t>
  </si>
  <si>
    <t>Aaron Romero</t>
  </si>
  <si>
    <t>546TYV3957</t>
  </si>
  <si>
    <t>Not Marked</t>
  </si>
  <si>
    <t>Joann Karagiannakis</t>
  </si>
  <si>
    <t>546TYV3980</t>
  </si>
  <si>
    <t>Sead Rasljanin</t>
  </si>
  <si>
    <t>HP ProBook 650 G5</t>
  </si>
  <si>
    <t>5CG0156T4S</t>
  </si>
  <si>
    <t>Keith Project</t>
  </si>
  <si>
    <t>AIM-ITSPARE-L</t>
  </si>
  <si>
    <t>Timothy McLarty</t>
  </si>
  <si>
    <t>64ZYGP2</t>
  </si>
  <si>
    <t>T1XX - DT AGS Upper - Test</t>
  </si>
  <si>
    <t>10.68.134.208</t>
  </si>
  <si>
    <t>AIM-DTAADPACK</t>
  </si>
  <si>
    <t>Sharon Woods</t>
  </si>
  <si>
    <t>T1XX - DT AGS Lower - Seal/Test 1</t>
  </si>
  <si>
    <t>10.68.134.130</t>
  </si>
  <si>
    <t>AIM-DTAGSLOW1</t>
  </si>
  <si>
    <t>Cassie Seals</t>
  </si>
  <si>
    <t>AIM-DTAGSLOW2</t>
  </si>
  <si>
    <t>Name Only</t>
  </si>
  <si>
    <t>Lemark Seals</t>
  </si>
  <si>
    <t>Materials - Planner</t>
  </si>
  <si>
    <t>AIM-PC79-L</t>
  </si>
  <si>
    <t>William OReilly</t>
  </si>
  <si>
    <t>Materials - Tablet</t>
  </si>
  <si>
    <t>AIM-ZEBRAMAT1-T</t>
  </si>
  <si>
    <t>Rebecca Bryant</t>
  </si>
  <si>
    <t>Color LaserJet Pro MFP 4301fdn</t>
  </si>
  <si>
    <t>Materials Office</t>
  </si>
  <si>
    <t>Matthew Dixon</t>
  </si>
  <si>
    <t>Microsoft</t>
  </si>
  <si>
    <t>Surface Pro</t>
  </si>
  <si>
    <t>009571684853</t>
  </si>
  <si>
    <t>Molding - Desk</t>
  </si>
  <si>
    <t>AIM-MOLDMAINT-T</t>
  </si>
  <si>
    <t>Brandie Cureton</t>
  </si>
  <si>
    <t>HP ProDesk 600 G5 DM</t>
  </si>
  <si>
    <t>MXL9521SXM</t>
  </si>
  <si>
    <t>AIM-DTAGSLOWDSP</t>
  </si>
  <si>
    <t>John Rozzisi</t>
  </si>
  <si>
    <t>Melinda Dumas</t>
  </si>
  <si>
    <t>Molding - Press 1</t>
  </si>
  <si>
    <t>AIM-SURFACE1-T</t>
  </si>
  <si>
    <t>Joel Heabeart</t>
  </si>
  <si>
    <t>059753672753</t>
  </si>
  <si>
    <t>Molding - Press 2</t>
  </si>
  <si>
    <t>AIM-PRESS2-T</t>
  </si>
  <si>
    <t>Malachi Williams</t>
  </si>
  <si>
    <t>Surface Pro Model 1866</t>
  </si>
  <si>
    <t>Molding - Press 3</t>
  </si>
  <si>
    <t>AIM-PICKER6</t>
  </si>
  <si>
    <t>Screen Flickers</t>
  </si>
  <si>
    <t>Rosalind Lyles</t>
  </si>
  <si>
    <t>AIMPRESS3-HMI</t>
  </si>
  <si>
    <t>Mamadou Diallo</t>
  </si>
  <si>
    <t>Molding - Press 4</t>
  </si>
  <si>
    <t>AIM-PRESS0-T</t>
  </si>
  <si>
    <t>Richard Smith</t>
  </si>
  <si>
    <t>AIMPRESS4-HMI</t>
  </si>
  <si>
    <t>Zach Challis</t>
  </si>
  <si>
    <t>Molding - Press 5</t>
  </si>
  <si>
    <t>AIMPRESS5-HMI</t>
  </si>
  <si>
    <t>Kathy Bommarito</t>
  </si>
  <si>
    <t>011467284853</t>
  </si>
  <si>
    <t>10.68.89.114</t>
  </si>
  <si>
    <t>AIM-PRESS5-T</t>
  </si>
  <si>
    <t>Shelby White</t>
  </si>
  <si>
    <t>T1XX - DT AGS Lower - Seal/Test 2</t>
  </si>
  <si>
    <t>10.68.134.132</t>
  </si>
  <si>
    <t>AIM-DTAGSLWSL2</t>
  </si>
  <si>
    <t>Janis Delaney</t>
  </si>
  <si>
    <t>LaserJet Pro MFP M225dn</t>
  </si>
  <si>
    <t>CNB9JC71WM</t>
  </si>
  <si>
    <t>Molding Office</t>
  </si>
  <si>
    <t>10.68.89.51</t>
  </si>
  <si>
    <t>AIM-MOLDNEW-P</t>
  </si>
  <si>
    <t>Demetrius Plant</t>
  </si>
  <si>
    <t>8W177J2</t>
  </si>
  <si>
    <t>Jonathon Palazzolo</t>
  </si>
  <si>
    <t>8VN97J2</t>
  </si>
  <si>
    <t>AIM-DTAGSUPASY2</t>
  </si>
  <si>
    <t>Farrah Richardson Gillette</t>
  </si>
  <si>
    <t>8WG57J2</t>
  </si>
  <si>
    <t>Service - DT AGS Upper - Assembly</t>
  </si>
  <si>
    <t>AIM-DTAGSUPASY3</t>
  </si>
  <si>
    <t>Carter Buchanan</t>
  </si>
  <si>
    <t>AIM-DTAGSUPRASS</t>
  </si>
  <si>
    <t>Chad Yeskey</t>
  </si>
  <si>
    <t>T1XX - DT AGS Upper - Seal 2</t>
  </si>
  <si>
    <t>AIM-DTAGSUPRSE2</t>
  </si>
  <si>
    <t>Richard Scott</t>
  </si>
  <si>
    <t>Office - FEM Crash Cart</t>
  </si>
  <si>
    <t>AIM-FEMCART-L</t>
  </si>
  <si>
    <t>Brandon Hattaway</t>
  </si>
  <si>
    <t>HP P24v G4 FHD Monitor</t>
  </si>
  <si>
    <t>1CR1031G1Y</t>
  </si>
  <si>
    <t>Office - IT - John's Desk</t>
  </si>
  <si>
    <t>Michael Rocker</t>
  </si>
  <si>
    <t>1CR1031G26</t>
  </si>
  <si>
    <t>Paul Peck</t>
  </si>
  <si>
    <t>1CR1031G24</t>
  </si>
  <si>
    <t>Robert Myers</t>
  </si>
  <si>
    <t>6D030914</t>
  </si>
  <si>
    <t>Office - IT - Label Printer</t>
  </si>
  <si>
    <t>10.68.89.233</t>
  </si>
  <si>
    <t>Printer "Greek Olive"</t>
  </si>
  <si>
    <t>Yeng Lee</t>
  </si>
  <si>
    <t>HP P22 G4</t>
  </si>
  <si>
    <t>3CM0480K2J</t>
  </si>
  <si>
    <t>Office - IT - Unused Desk</t>
  </si>
  <si>
    <t>Dianne Brown</t>
  </si>
  <si>
    <t>3CM0480K28</t>
  </si>
  <si>
    <t>Patrick Glide</t>
  </si>
  <si>
    <t>HP P224 Monitor</t>
  </si>
  <si>
    <t>CNK9350Q4M</t>
  </si>
  <si>
    <t>Office - John Taylor's Desk</t>
  </si>
  <si>
    <t>Gary Hifko</t>
  </si>
  <si>
    <t>Ja Lor</t>
  </si>
  <si>
    <t>Office - Lobby</t>
  </si>
  <si>
    <t>AIM-LOBBY-T</t>
  </si>
  <si>
    <t>Steve Xiong</t>
  </si>
  <si>
    <t>HJCYW72</t>
  </si>
  <si>
    <t>AIM-DTAGSUPSEL2</t>
  </si>
  <si>
    <t>Michael Fournier</t>
  </si>
  <si>
    <t>HP ProBook 650 G1</t>
  </si>
  <si>
    <t>5CG539069Q</t>
  </si>
  <si>
    <t>Office - Wesley Marmon</t>
  </si>
  <si>
    <t>AIM-TEST-L</t>
  </si>
  <si>
    <t>Tyrese Grant</t>
  </si>
  <si>
    <t>Press 2</t>
  </si>
  <si>
    <t>AIM-SURFACE10-T</t>
  </si>
  <si>
    <t>Kao Yang</t>
  </si>
  <si>
    <t>Quality Laptop</t>
  </si>
  <si>
    <t>AIM-QUALGAGE2-L</t>
  </si>
  <si>
    <t>Derrick Stephens</t>
  </si>
  <si>
    <t>6L08XH2</t>
  </si>
  <si>
    <t>Service - DT AGS Upper - Seal</t>
  </si>
  <si>
    <t>AIM-DTAGSUPSEL3</t>
  </si>
  <si>
    <t>Fue Lee</t>
  </si>
  <si>
    <t>PX940</t>
  </si>
  <si>
    <t>19267B4550</t>
  </si>
  <si>
    <t>Service - 31XX</t>
  </si>
  <si>
    <t>Aaron Tobar</t>
  </si>
  <si>
    <t>8WR97J2</t>
  </si>
  <si>
    <t>Service - DT AGS Upper - Test</t>
  </si>
  <si>
    <t>AIM-DTAGSUPTST1</t>
  </si>
  <si>
    <t>Barbara Keranen</t>
  </si>
  <si>
    <t>Intermec</t>
  </si>
  <si>
    <t>PM43</t>
  </si>
  <si>
    <t>Service - Desk</t>
  </si>
  <si>
    <t>Jermaine Daniel</t>
  </si>
  <si>
    <t>Stephen Johnson</t>
  </si>
  <si>
    <t>CNK9250SWJ</t>
  </si>
  <si>
    <t>Service - DS AGS - Assembly 1</t>
  </si>
  <si>
    <t>Joseph Kolassa</t>
  </si>
  <si>
    <t>CNK9250SW0</t>
  </si>
  <si>
    <t>Service - DS AGS - Seal 1</t>
  </si>
  <si>
    <t>Chai Lor</t>
  </si>
  <si>
    <t>AL100829</t>
  </si>
  <si>
    <t>10.68.89.172</t>
  </si>
  <si>
    <t>John Yang</t>
  </si>
  <si>
    <t>1911i</t>
  </si>
  <si>
    <t>S013808202</t>
  </si>
  <si>
    <t>Todd Curtis</t>
  </si>
  <si>
    <t>19347N13DA</t>
  </si>
  <si>
    <t>Roy Strome</t>
  </si>
  <si>
    <t>Love Lee</t>
  </si>
  <si>
    <t>CNK9250SW2</t>
  </si>
  <si>
    <t>Service - DS AGS - Test 1</t>
  </si>
  <si>
    <t>Veronica Owens</t>
  </si>
  <si>
    <t>15347N1546</t>
  </si>
  <si>
    <t>Sterling Charleston</t>
  </si>
  <si>
    <t>6KWBXH2</t>
  </si>
  <si>
    <t>Lynette Davis</t>
  </si>
  <si>
    <t>6LSDXH2</t>
  </si>
  <si>
    <t>Austin Ciesiolka</t>
  </si>
  <si>
    <t>8WW87J2</t>
  </si>
  <si>
    <t>AIM-PRODUCTION7</t>
  </si>
  <si>
    <t>Ryan Wheater</t>
  </si>
  <si>
    <t>AL100826</t>
  </si>
  <si>
    <t>Service - Old T1XX</t>
  </si>
  <si>
    <t>Keith Boczkowski</t>
  </si>
  <si>
    <t>BK100889</t>
  </si>
  <si>
    <t>Kyle Billings</t>
  </si>
  <si>
    <t>CC100352</t>
  </si>
  <si>
    <t>Erica Evans</t>
  </si>
  <si>
    <t>DF103234</t>
  </si>
  <si>
    <t>Joshua Lasure</t>
  </si>
  <si>
    <t>DF103249</t>
  </si>
  <si>
    <t>Maxwell Slater</t>
  </si>
  <si>
    <t>EF101010</t>
  </si>
  <si>
    <t>Amy Smith</t>
  </si>
  <si>
    <t>8YB47J2</t>
  </si>
  <si>
    <t>Brad Beckner</t>
  </si>
  <si>
    <t>6J05XH2</t>
  </si>
  <si>
    <t>Bhavesh Gandhi</t>
  </si>
  <si>
    <t>DW406K2</t>
  </si>
  <si>
    <t>AIM-DTECMDISP</t>
  </si>
  <si>
    <t>Tim Barber</t>
  </si>
  <si>
    <t>6KL9XH2</t>
  </si>
  <si>
    <t>DT FEM - Production - St00</t>
  </si>
  <si>
    <t>10.68.134.18</t>
  </si>
  <si>
    <t>AIM-DTFEM0</t>
  </si>
  <si>
    <t>Nysus Support</t>
  </si>
  <si>
    <t>94F67J2</t>
  </si>
  <si>
    <t>DT FEM - Production - St01</t>
  </si>
  <si>
    <t>10.68.134.19</t>
  </si>
  <si>
    <t>AIM-DTFEM1</t>
  </si>
  <si>
    <t>Mark Erndt</t>
  </si>
  <si>
    <t>8WJ57J2</t>
  </si>
  <si>
    <t>DT FEM - Production - St09</t>
  </si>
  <si>
    <t>10.68.134.29</t>
  </si>
  <si>
    <t>AIM-DTFEM11</t>
  </si>
  <si>
    <t>Godfrey Ramos</t>
  </si>
  <si>
    <t>CP200D</t>
  </si>
  <si>
    <t>752EYV2520</t>
  </si>
  <si>
    <t>Service Radio</t>
  </si>
  <si>
    <t>Marissa Juncevic</t>
  </si>
  <si>
    <t>752EYV2619</t>
  </si>
  <si>
    <t>Dawn Cruz</t>
  </si>
  <si>
    <t>752TYKG679</t>
  </si>
  <si>
    <t>Phil Maceri</t>
  </si>
  <si>
    <t>059811481753</t>
  </si>
  <si>
    <t>Shipping - Tablet</t>
  </si>
  <si>
    <t>AIM-BLCKHWK7-T</t>
  </si>
  <si>
    <t>Linda Cotton</t>
  </si>
  <si>
    <t>93W87J2</t>
  </si>
  <si>
    <t>DT FEM - Production - St02</t>
  </si>
  <si>
    <t>10.68.134.20</t>
  </si>
  <si>
    <t>AIM-DTFEM2</t>
  </si>
  <si>
    <t>Santos Lopez</t>
  </si>
  <si>
    <t>6J5DXH2</t>
  </si>
  <si>
    <t>DT FEM - Production - St03</t>
  </si>
  <si>
    <t>10.68.134.21</t>
  </si>
  <si>
    <t>AIM-DTFEM3</t>
  </si>
  <si>
    <t>Phillip LaForme</t>
  </si>
  <si>
    <t>9GM5XH2</t>
  </si>
  <si>
    <t>10.68.134.22</t>
  </si>
  <si>
    <t>AIM-DTFEM4</t>
  </si>
  <si>
    <t>Ray Debose</t>
  </si>
  <si>
    <t>8XX17J2</t>
  </si>
  <si>
    <t>10.68.134.23</t>
  </si>
  <si>
    <t>AIM-DTFEM5</t>
  </si>
  <si>
    <t>Brandon Heaphe</t>
  </si>
  <si>
    <t>8WM37J2</t>
  </si>
  <si>
    <t>AIM-DTFEM6</t>
  </si>
  <si>
    <t>Daniel Allen Jr.</t>
  </si>
  <si>
    <t>6M85XH2</t>
  </si>
  <si>
    <t>DT FEM - Production - St06</t>
  </si>
  <si>
    <t>10.68.134.25</t>
  </si>
  <si>
    <t>AIM-DTFEM7</t>
  </si>
  <si>
    <t>Melissa Almond</t>
  </si>
  <si>
    <t>8WZ17J2</t>
  </si>
  <si>
    <t>DT FEM - Production - St07</t>
  </si>
  <si>
    <t>10.68.134.</t>
  </si>
  <si>
    <t>AIM-DTFEM8</t>
  </si>
  <si>
    <t>Kathi McKinley</t>
  </si>
  <si>
    <t>8WH57J2</t>
  </si>
  <si>
    <t>DT FEM - Production - St08</t>
  </si>
  <si>
    <t>10.68.134.28</t>
  </si>
  <si>
    <t>AIM-DTFEM9</t>
  </si>
  <si>
    <t>Frank Potenza</t>
  </si>
  <si>
    <t>HS00WP2</t>
  </si>
  <si>
    <t>AIM-DTFEMDISP</t>
  </si>
  <si>
    <t>Allison Valley</t>
  </si>
  <si>
    <t>8XY67J2</t>
  </si>
  <si>
    <t>DT FEM - Production - Kitting</t>
  </si>
  <si>
    <t>10.68.134.31</t>
  </si>
  <si>
    <t>AIM-DTKITTY</t>
  </si>
  <si>
    <t>William Murray</t>
  </si>
  <si>
    <t>7YNC6Q2</t>
  </si>
  <si>
    <t>Brian Ruch</t>
  </si>
  <si>
    <t>8X777J2</t>
  </si>
  <si>
    <t>Maintenance Cage - Desk</t>
  </si>
  <si>
    <t>AIM-DTMXGRL-D</t>
  </si>
  <si>
    <t>Raynie Delmendo</t>
  </si>
  <si>
    <t>8Y447J2</t>
  </si>
  <si>
    <t>Sondra Krauseneck</t>
  </si>
  <si>
    <t>1MWXLP2</t>
  </si>
  <si>
    <t>Austin Meredith</t>
  </si>
  <si>
    <t>FBG77X2</t>
  </si>
  <si>
    <t>AIM-DTSHIPSEQ2</t>
  </si>
  <si>
    <t>Justin Kubert</t>
  </si>
  <si>
    <t>WS - Pole Buffer Display</t>
  </si>
  <si>
    <t>10.68.89.79</t>
  </si>
  <si>
    <t>AIM-DTSPARE25-D</t>
  </si>
  <si>
    <t>Mathew McCullom</t>
  </si>
  <si>
    <t>AIM-DTSPARE28-D</t>
  </si>
  <si>
    <t>Gerald Uhrig</t>
  </si>
  <si>
    <t>T1XX - Chevy - Assembly 1</t>
  </si>
  <si>
    <t>10.68.134.118</t>
  </si>
  <si>
    <t>James Brown</t>
  </si>
  <si>
    <t>8WF67J2</t>
  </si>
  <si>
    <t>AIM-DTSPARE30-D</t>
  </si>
  <si>
    <t>Kyle Stafford</t>
  </si>
  <si>
    <t>T1XX - Chevy - Assembly 2</t>
  </si>
  <si>
    <t>10.68.134.121</t>
  </si>
  <si>
    <t>Pamela Brown</t>
  </si>
  <si>
    <t>Office - Keith</t>
  </si>
  <si>
    <t>172.18.74.38</t>
  </si>
  <si>
    <t>AIM-ITSPARE2-D</t>
  </si>
  <si>
    <t>Kevin Kernen</t>
  </si>
  <si>
    <t>Durell Lewis</t>
  </si>
  <si>
    <t>OMEN by HP Desktop PC 880-p1xx</t>
  </si>
  <si>
    <t>2MO91724YZ</t>
  </si>
  <si>
    <t>10.68.88.244</t>
  </si>
  <si>
    <t>AIM-ENGOMEN-D</t>
  </si>
  <si>
    <t>Tera Melton</t>
  </si>
  <si>
    <t>EF101038</t>
  </si>
  <si>
    <t>T1XX - Chevy - Test</t>
  </si>
  <si>
    <t>10.68.134.252</t>
  </si>
  <si>
    <t>Jessica Small</t>
  </si>
  <si>
    <t>19225B5276</t>
  </si>
  <si>
    <t>10.68.134.11</t>
  </si>
  <si>
    <t>Mikayla Pomeroy</t>
  </si>
  <si>
    <t>T1XX - DT AGS Lower - Assembly 2</t>
  </si>
  <si>
    <t>Torkis Lubis</t>
  </si>
  <si>
    <t>T1XX - DT AGS Lower - Assembly 3</t>
  </si>
  <si>
    <t>Noah Greenhouse</t>
  </si>
  <si>
    <t>8X037J2</t>
  </si>
  <si>
    <t>Cameron Sullivan</t>
  </si>
  <si>
    <t>HJ94DD2</t>
  </si>
  <si>
    <t>Laurent Belito</t>
  </si>
  <si>
    <t>8WP77J2</t>
  </si>
  <si>
    <t>DT Lower - Assembly 2</t>
  </si>
  <si>
    <t>AIM-SRVSPARE1-D</t>
  </si>
  <si>
    <t>Jeremy Makohn</t>
  </si>
  <si>
    <t>DWQ5B03</t>
  </si>
  <si>
    <t>10.68.134.30</t>
  </si>
  <si>
    <t>AIM-FEM12</t>
  </si>
  <si>
    <t>Derrick Hamilton</t>
  </si>
  <si>
    <t>3HWV5W2</t>
  </si>
  <si>
    <t>10.68.134.170</t>
  </si>
  <si>
    <t>AIM-FEMPOLEDISP</t>
  </si>
  <si>
    <t>Glenn Ingram</t>
  </si>
  <si>
    <t>DW306K2</t>
  </si>
  <si>
    <t>AIM-SWAP02-D</t>
  </si>
  <si>
    <t>Kent Potts</t>
  </si>
  <si>
    <t>T1XX - DT AGS Upper - Assembly 2</t>
  </si>
  <si>
    <t>Greg Davis</t>
  </si>
  <si>
    <t>8X667J2</t>
  </si>
  <si>
    <t>Adam Sherman</t>
  </si>
  <si>
    <t>T1XX - DT AGS Upper - Assembly 3</t>
  </si>
  <si>
    <t>Grant Corbat</t>
  </si>
  <si>
    <t>T1XX - DT AGS Upper - Seal 1</t>
  </si>
  <si>
    <t>Brett LaClair</t>
  </si>
  <si>
    <t>Tom Kohloff</t>
  </si>
  <si>
    <t>Juliana Mardo</t>
  </si>
  <si>
    <t>Edward Pulhuj</t>
  </si>
  <si>
    <t>Tim Commins</t>
  </si>
  <si>
    <t>65CYGP2</t>
  </si>
  <si>
    <t>AIM-PRODUCTION2</t>
  </si>
  <si>
    <t>Ronna Hampton</t>
  </si>
  <si>
    <t>John Simon</t>
  </si>
  <si>
    <t>26H2BW2</t>
  </si>
  <si>
    <t>10.68.134.168</t>
  </si>
  <si>
    <t>AIM-ITDISP1</t>
  </si>
  <si>
    <t>Thomas Thurman</t>
  </si>
  <si>
    <t>F40GPX2</t>
  </si>
  <si>
    <t>10.68.134.169</t>
  </si>
  <si>
    <t>AIM-ITDISP2</t>
  </si>
  <si>
    <t>Mohamed Betersh</t>
  </si>
  <si>
    <t>8NM9GQ2</t>
  </si>
  <si>
    <t>AIM-SRVSPARE4-D</t>
  </si>
  <si>
    <t>John Schultz</t>
  </si>
  <si>
    <t>456XCV2</t>
  </si>
  <si>
    <t>Mike Bertrand</t>
  </si>
  <si>
    <t>T1XX - GMC - Assembly 1</t>
  </si>
  <si>
    <t>10.68.134.190</t>
  </si>
  <si>
    <t>Steve Jurewich</t>
  </si>
  <si>
    <t>6M1BXH2</t>
  </si>
  <si>
    <t>Matt Girard</t>
  </si>
  <si>
    <t>T1XX - GMC - Assembly 2</t>
  </si>
  <si>
    <t>10.68.134.119</t>
  </si>
  <si>
    <t>Mike Ball</t>
  </si>
  <si>
    <t>6M57XH2</t>
  </si>
  <si>
    <t>Kevin Kamenec</t>
  </si>
  <si>
    <t>CG1FXH2</t>
  </si>
  <si>
    <t>Nate Bartley</t>
  </si>
  <si>
    <t>T1XX - GMC - Test</t>
  </si>
  <si>
    <t>10.68.134.194</t>
  </si>
  <si>
    <t>Frank Ulch</t>
  </si>
  <si>
    <t>HP ProDesk 600 G4 SFF</t>
  </si>
  <si>
    <t>MXL9194JFZ</t>
  </si>
  <si>
    <t>WS - Carousel - TL Desk</t>
  </si>
  <si>
    <t>AIM-MOLDMAINT-D</t>
  </si>
  <si>
    <t>Jennifer Cummings</t>
  </si>
  <si>
    <t>T1XX - SUV - Assembly 1</t>
  </si>
  <si>
    <t>Nathan Beck</t>
  </si>
  <si>
    <t>MXL9304845</t>
  </si>
  <si>
    <t>AIM-MOLDTEAM-D</t>
  </si>
  <si>
    <t>Kao Ly</t>
  </si>
  <si>
    <t>T1XX - SUV - Assembly 2</t>
  </si>
  <si>
    <t>Robert Mularski</t>
  </si>
  <si>
    <t>MXL9214TCZ</t>
  </si>
  <si>
    <t>AIM-MX3-D</t>
  </si>
  <si>
    <t>Mark Avery</t>
  </si>
  <si>
    <t>T1XX - SUV - Assembly 3</t>
  </si>
  <si>
    <t>Chris White</t>
  </si>
  <si>
    <t>CKPDXH2</t>
  </si>
  <si>
    <t>AIM-OFFICEFEM2</t>
  </si>
  <si>
    <t>Gerald Gray</t>
  </si>
  <si>
    <t>8XP77J2</t>
  </si>
  <si>
    <t>AIM-OFFICEGRL</t>
  </si>
  <si>
    <t>Sidney Wright</t>
  </si>
  <si>
    <t>8WT47J2</t>
  </si>
  <si>
    <t>AIM-T1SPARE01-D</t>
  </si>
  <si>
    <t>Brandon Norman</t>
  </si>
  <si>
    <t>6LP5XH2</t>
  </si>
  <si>
    <t>DT FEM - Unknown</t>
  </si>
  <si>
    <t>AIM-PREMGRLDSP2</t>
  </si>
  <si>
    <t>Larry Spicer</t>
  </si>
  <si>
    <t>94Y5PX2</t>
  </si>
  <si>
    <t>AIM-PRTGDISP</t>
  </si>
  <si>
    <t>Matthew Cooney</t>
  </si>
  <si>
    <t>T1XX - SUV - Test</t>
  </si>
  <si>
    <t>George Heidt</t>
  </si>
  <si>
    <t>HP EliteDesk 705 G4 DM</t>
  </si>
  <si>
    <t>MXL9103QGH</t>
  </si>
  <si>
    <t>AIM-QLIFE-D</t>
  </si>
  <si>
    <t>Amondo Hill</t>
  </si>
  <si>
    <t>HP EliteDesk 800 G3 DM</t>
  </si>
  <si>
    <t>8CG7443V0P</t>
  </si>
  <si>
    <t>AIM-QTECH2-D</t>
  </si>
  <si>
    <t>Andrew Kinaia</t>
  </si>
  <si>
    <t>8CG7443V1V</t>
  </si>
  <si>
    <t>AIM-QTECH3-D</t>
  </si>
  <si>
    <t>Jacob Magnes</t>
  </si>
  <si>
    <t>HP EliteDesk 800 G3 DM 35W</t>
  </si>
  <si>
    <t>Christopher Appolson</t>
  </si>
  <si>
    <t>CKVDXH2</t>
  </si>
  <si>
    <t>AIM-T1SPARE10-D</t>
  </si>
  <si>
    <t>Sharmitta West</t>
  </si>
  <si>
    <t>6KT5XH2</t>
  </si>
  <si>
    <t>Jacob Mitchum</t>
  </si>
  <si>
    <t>HP ProDesk 600 G3 DM</t>
  </si>
  <si>
    <t>8CG7205V7Z</t>
  </si>
  <si>
    <t>Dock 74 - Team Lead Desk</t>
  </si>
  <si>
    <t>AIM-RECEIVING-D</t>
  </si>
  <si>
    <t>Daniel Coleman</t>
  </si>
  <si>
    <t>MXL9032JK4</t>
  </si>
  <si>
    <t>AIM-SERVICE2-D</t>
  </si>
  <si>
    <t>Steve Annas</t>
  </si>
  <si>
    <t>HP ProDesk 400 G5 SFF</t>
  </si>
  <si>
    <t>MXL903328R</t>
  </si>
  <si>
    <t>AIM-SHIPPING2-D</t>
  </si>
  <si>
    <t>Daniel French</t>
  </si>
  <si>
    <t>AIM-SHIPPING3-D</t>
  </si>
  <si>
    <t>Cindy Wellen</t>
  </si>
  <si>
    <t>8XC57J2</t>
  </si>
  <si>
    <t>DT FEM - Repair</t>
  </si>
  <si>
    <t>10.68.134.147</t>
  </si>
  <si>
    <t>AIM-SKYNET1</t>
  </si>
  <si>
    <t>Tracy Killeen</t>
  </si>
  <si>
    <t>HJDMQG2</t>
  </si>
  <si>
    <t>Brendan Heaphy1</t>
  </si>
  <si>
    <t>10.68.134.229</t>
  </si>
  <si>
    <t>AIM-T1DCHVTEST</t>
  </si>
  <si>
    <t>Junaid Ul-Hassan</t>
  </si>
  <si>
    <t>T1XX - T1 Lower - Pack 1</t>
  </si>
  <si>
    <t>10.68.134.235</t>
  </si>
  <si>
    <t>AIM-T1DGMCPACK</t>
  </si>
  <si>
    <t>Rodawn Sullen</t>
  </si>
  <si>
    <t>10.68.134.224</t>
  </si>
  <si>
    <t>AIM-T1LDCHVASY1</t>
  </si>
  <si>
    <t>Kimberly Foglietta</t>
  </si>
  <si>
    <t>10.68.134.225</t>
  </si>
  <si>
    <t>AIM-T1LDCHVASY2</t>
  </si>
  <si>
    <t>Lucky Three</t>
  </si>
  <si>
    <t>T1XX - Chevy - Seal 1</t>
  </si>
  <si>
    <t>10.68.134.227</t>
  </si>
  <si>
    <t>AIM-T1LDCHVSEA1</t>
  </si>
  <si>
    <t>Shannon Kamenec</t>
  </si>
  <si>
    <t>T1XX - Chevy - Seal 2</t>
  </si>
  <si>
    <t>10.68.134.228</t>
  </si>
  <si>
    <t>AIM-T1LDCHVSEA2</t>
  </si>
  <si>
    <t>Jessica Breen</t>
  </si>
  <si>
    <t>10.68.134.232</t>
  </si>
  <si>
    <t>AIM-T1LDGMCASY2</t>
  </si>
  <si>
    <t>Peter Smith</t>
  </si>
  <si>
    <t>T1XX - GMC - Seal</t>
  </si>
  <si>
    <t>10.68.134.233</t>
  </si>
  <si>
    <t>AIM-T1LDGMCSEAL</t>
  </si>
  <si>
    <t>Mike Bauder</t>
  </si>
  <si>
    <t>10.68.134.234</t>
  </si>
  <si>
    <t>AIM-T1LDGMCTEST</t>
  </si>
  <si>
    <t>Steven Elayan</t>
  </si>
  <si>
    <t>T1XX - T1 Lower - Assembly 1</t>
  </si>
  <si>
    <t>10.68.134.176</t>
  </si>
  <si>
    <t>AIM-T1LOWASSY1</t>
  </si>
  <si>
    <t>Jim Johnson</t>
  </si>
  <si>
    <t>10.68.134.214</t>
  </si>
  <si>
    <t>AIM-T1SUVASSY1</t>
  </si>
  <si>
    <t>John Glover</t>
  </si>
  <si>
    <t>10.68.134.215</t>
  </si>
  <si>
    <t>AIM-T1SUVASSY2</t>
  </si>
  <si>
    <t>Stephanie Dorsey</t>
  </si>
  <si>
    <t>10.68.134.213</t>
  </si>
  <si>
    <t>AIM-T1SUVASSY3</t>
  </si>
  <si>
    <t>Anthony Williams</t>
  </si>
  <si>
    <t>T1XX - SUV - Seal 1</t>
  </si>
  <si>
    <t>10.68.134.217</t>
  </si>
  <si>
    <t>AIM-T1SUVSEAL1</t>
  </si>
  <si>
    <t>Ethan Flannery</t>
  </si>
  <si>
    <t>CNK9250STN</t>
  </si>
  <si>
    <t>WS - Carousel - St1</t>
  </si>
  <si>
    <t>Sue Frattarelli</t>
  </si>
  <si>
    <t>18167B2A79</t>
  </si>
  <si>
    <t>Mike Herald</t>
  </si>
  <si>
    <t>T1XX - SUV - Seal 2</t>
  </si>
  <si>
    <t>10.68.134.146</t>
  </si>
  <si>
    <t>AIM-T1SUVSEAL2</t>
  </si>
  <si>
    <t>Russ Pilette</t>
  </si>
  <si>
    <t>CNK9361KQL</t>
  </si>
  <si>
    <t>WS - Carousel - St2</t>
  </si>
  <si>
    <t>Neil Taylor</t>
  </si>
  <si>
    <t>18271B4956</t>
  </si>
  <si>
    <t>Renee Wester</t>
  </si>
  <si>
    <t>18159B95F4</t>
  </si>
  <si>
    <t>Teresa Rosenberg</t>
  </si>
  <si>
    <t>10.68.134.218</t>
  </si>
  <si>
    <t>AIM-T1SUVTEST</t>
  </si>
  <si>
    <t>Dawn Hall</t>
  </si>
  <si>
    <t>CNK9250SX1</t>
  </si>
  <si>
    <t>WS - Carousel - St3</t>
  </si>
  <si>
    <t>Mike Hanson</t>
  </si>
  <si>
    <t>19347N1364</t>
  </si>
  <si>
    <t>Julie Metz</t>
  </si>
  <si>
    <t>19347N1374</t>
  </si>
  <si>
    <t>Marsha Hicklin</t>
  </si>
  <si>
    <t>T1XX - SUV - Weld 1</t>
  </si>
  <si>
    <t>10.68.134.45</t>
  </si>
  <si>
    <t>AIM-T1SUVWELD1</t>
  </si>
  <si>
    <t>Chris Ramey</t>
  </si>
  <si>
    <t>CNK9250SVX</t>
  </si>
  <si>
    <t>WS - Carousel - St4</t>
  </si>
  <si>
    <t>Deanne Austin</t>
  </si>
  <si>
    <t>Vince Harris</t>
  </si>
  <si>
    <t>Tanya Lepp</t>
  </si>
  <si>
    <t>T1XX - SUV - Weld 2</t>
  </si>
  <si>
    <t>10.68.134.46</t>
  </si>
  <si>
    <t>AIM-T1SUVWELD2</t>
  </si>
  <si>
    <t>Melissa Percy</t>
  </si>
  <si>
    <t>CNK9250SX0</t>
  </si>
  <si>
    <t>WS - Carousel - St5</t>
  </si>
  <si>
    <t>Raelene Forster</t>
  </si>
  <si>
    <t>17226B134E</t>
  </si>
  <si>
    <t>Vang Chang</t>
  </si>
  <si>
    <t>Tammy Allen</t>
  </si>
  <si>
    <t>Chris Wooddell</t>
  </si>
  <si>
    <t>CNK9250SWM</t>
  </si>
  <si>
    <t>WS - Carousel - St6</t>
  </si>
  <si>
    <t>Joseph Behrens</t>
  </si>
  <si>
    <t>17213B4B34</t>
  </si>
  <si>
    <t>Mark Kruk</t>
  </si>
  <si>
    <t>17144B2402</t>
  </si>
  <si>
    <t>BreakRoom</t>
  </si>
  <si>
    <t>AIMTEAMLEADT1</t>
  </si>
  <si>
    <t>Robert Foster</t>
  </si>
  <si>
    <t>CNK9250SWZ</t>
  </si>
  <si>
    <t>WS - Carousel - St7</t>
  </si>
  <si>
    <t>Robert Cleary</t>
  </si>
  <si>
    <t>Moua Hang</t>
  </si>
  <si>
    <t>17266B2DB4</t>
  </si>
  <si>
    <t>Moquzella Johnson</t>
  </si>
  <si>
    <t>8CG7442W13</t>
  </si>
  <si>
    <t>T1XX - AAD - Desk</t>
  </si>
  <si>
    <t>AIM-TLAAD-D</t>
  </si>
  <si>
    <t>Joshua Clement</t>
  </si>
  <si>
    <t>CNK9350Q4G</t>
  </si>
  <si>
    <t>WS - Carousel - St8</t>
  </si>
  <si>
    <t>Michael Kamenec</t>
  </si>
  <si>
    <t>Leon Himes</t>
  </si>
  <si>
    <t>Jessica Sanders</t>
  </si>
  <si>
    <t>8CG7442VXP</t>
  </si>
  <si>
    <t>DT FEM - TL Desk</t>
  </si>
  <si>
    <t>AIM-TLFEM-D</t>
  </si>
  <si>
    <t>Pedro Kemeza</t>
  </si>
  <si>
    <t>CNK9250SWL</t>
  </si>
  <si>
    <t>WS - Carousel - St9</t>
  </si>
  <si>
    <t>Roger Hurd</t>
  </si>
  <si>
    <t>18162B6CEE</t>
  </si>
  <si>
    <t>Dan Przeslawski</t>
  </si>
  <si>
    <t>18081B0ED6</t>
  </si>
  <si>
    <t>Douglas Thornburg</t>
  </si>
  <si>
    <t>8CG7443V21</t>
  </si>
  <si>
    <t>AIM-TLGRILLE-D</t>
  </si>
  <si>
    <t>MXL9103QGR</t>
  </si>
  <si>
    <t>AIM-TR1-D</t>
  </si>
  <si>
    <t>Kris Thomas</t>
  </si>
  <si>
    <t>6L16XH2</t>
  </si>
  <si>
    <t>Mike Cherry</t>
  </si>
  <si>
    <t>8X557J2</t>
  </si>
  <si>
    <t>Service - T1XX GMC - Assembly</t>
  </si>
  <si>
    <t>AIM-SRVT1GMCASS</t>
  </si>
  <si>
    <t>Robert Peyton</t>
  </si>
  <si>
    <t>WS - AGS - Display</t>
  </si>
  <si>
    <t>10.68.89.</t>
  </si>
  <si>
    <t>AIM-WSAGSDISP-L</t>
  </si>
  <si>
    <t>Louis Blessman</t>
  </si>
  <si>
    <t>MXL9521SYK</t>
  </si>
  <si>
    <t>Margaret Reeves</t>
  </si>
  <si>
    <t>MXL9521RTQ</t>
  </si>
  <si>
    <t>Evan Thomas</t>
  </si>
  <si>
    <t>Kim Lyles</t>
  </si>
  <si>
    <t>MXL9521SWG</t>
  </si>
  <si>
    <t>Reuben Romero</t>
  </si>
  <si>
    <t>WS - ECM</t>
  </si>
  <si>
    <t>10.68.89.96</t>
  </si>
  <si>
    <t>AIM-WSFEM15</t>
  </si>
  <si>
    <t>Chrissy Gouin</t>
  </si>
  <si>
    <t>MXL9521RB5</t>
  </si>
  <si>
    <t>Theresa Ruppert</t>
  </si>
  <si>
    <t>Mounting plate unable to detach</t>
  </si>
  <si>
    <t>Jorwin Parker</t>
  </si>
  <si>
    <t>MXL9521R91</t>
  </si>
  <si>
    <t>10.68.89.130</t>
  </si>
  <si>
    <t>AIM-WSFEM51</t>
  </si>
  <si>
    <t>Dakota Perna</t>
  </si>
  <si>
    <t>MXL9521SWW</t>
  </si>
  <si>
    <t>10.68.89.129</t>
  </si>
  <si>
    <t>AIM-WSFEM19</t>
  </si>
  <si>
    <t>Tony Wassouf</t>
  </si>
  <si>
    <t>HP ProBook 640 G4</t>
  </si>
  <si>
    <t>5CG8162CGP</t>
  </si>
  <si>
    <t>! AIM-ITSIDEARM-L</t>
  </si>
  <si>
    <t>Taylor Smith</t>
  </si>
  <si>
    <t>HP ProBook 4540s</t>
  </si>
  <si>
    <t>2CE24909BR</t>
  </si>
  <si>
    <t>AIM-AGSTEST1-L</t>
  </si>
  <si>
    <t>Ryan Harris</t>
  </si>
  <si>
    <t>HP ProBook 4530s</t>
  </si>
  <si>
    <t>CNU20203X9</t>
  </si>
  <si>
    <t>AIM-AGSTEST2-L</t>
  </si>
  <si>
    <t>Paul Davis</t>
  </si>
  <si>
    <t>HP ProBook 650 G4</t>
  </si>
  <si>
    <t>5CG9117SDY</t>
  </si>
  <si>
    <t>Stephen Staller</t>
  </si>
  <si>
    <t>HP ProBook 640 G3</t>
  </si>
  <si>
    <t>5CG8034Q61</t>
  </si>
  <si>
    <t>AIM-AODAY-L</t>
  </si>
  <si>
    <t xml:space="preserve"> </t>
  </si>
  <si>
    <t>Tim Simon</t>
  </si>
  <si>
    <t>HP ProBook 640 G2</t>
  </si>
  <si>
    <t>5CG7032YL5</t>
  </si>
  <si>
    <t>AIM-AROMERO2-L</t>
  </si>
  <si>
    <t>Ryan Halperin</t>
  </si>
  <si>
    <t>HP ProBook 650 G2</t>
  </si>
  <si>
    <t>5CG612200K</t>
  </si>
  <si>
    <t>AIM-ASMITH-L</t>
  </si>
  <si>
    <t>Gerald Dusseau</t>
  </si>
  <si>
    <t>5CG539046V</t>
  </si>
  <si>
    <t>AIM-ASOHANE-L</t>
  </si>
  <si>
    <t>Donald Harp</t>
  </si>
  <si>
    <t>AIM-AUTO2-L</t>
  </si>
  <si>
    <t>James Euring</t>
  </si>
  <si>
    <t>Dell Precision 7530</t>
  </si>
  <si>
    <t>5LRQ7Y2</t>
  </si>
  <si>
    <t>AIM-AUTODELL-L</t>
  </si>
  <si>
    <t>Investigate</t>
  </si>
  <si>
    <t>Ryan Wolverton</t>
  </si>
  <si>
    <t>HP ZBook 15 G3</t>
  </si>
  <si>
    <t>CND7381312</t>
  </si>
  <si>
    <t>AIM-AUTOMAT1</t>
  </si>
  <si>
    <t>Jason Pung</t>
  </si>
  <si>
    <t>HP EliteBook 850 G5</t>
  </si>
  <si>
    <t>5CG8163CPV</t>
  </si>
  <si>
    <t>AIM-AUTOMATION</t>
  </si>
  <si>
    <t>Rory Keenan</t>
  </si>
  <si>
    <t>CND7381314</t>
  </si>
  <si>
    <t>AIM-AUTOMATION3</t>
  </si>
  <si>
    <t>Alexander ODay</t>
  </si>
  <si>
    <t>5CG8388T3P</t>
  </si>
  <si>
    <t>AIM-AUTOMATION4</t>
  </si>
  <si>
    <t>Gregory Rea</t>
  </si>
  <si>
    <t>CND738130B</t>
  </si>
  <si>
    <t>AIM-AUTOMATION6</t>
  </si>
  <si>
    <t>Raven Shook</t>
  </si>
  <si>
    <t>AIM-AUTOMATION7</t>
  </si>
  <si>
    <t>Nathan Feltner</t>
  </si>
  <si>
    <t>5CG9111W6Y</t>
  </si>
  <si>
    <t>AIM-AUTOMATION8</t>
  </si>
  <si>
    <t>Pheng Vang</t>
  </si>
  <si>
    <t>AIM-AUTOMATION9</t>
  </si>
  <si>
    <t>Lee Watson</t>
  </si>
  <si>
    <t>5CG5322BH0</t>
  </si>
  <si>
    <t>AIM-BBECKNER-L</t>
  </si>
  <si>
    <t>Chue Lee</t>
  </si>
  <si>
    <t>5CG9037WPB</t>
  </si>
  <si>
    <t>AIM-BHEAPHY1-L</t>
  </si>
  <si>
    <t>Kevin Nham</t>
  </si>
  <si>
    <t>MXL9521SW2</t>
  </si>
  <si>
    <t>AIM-QTECH4-D</t>
  </si>
  <si>
    <t>Matt Doyle</t>
  </si>
  <si>
    <t>5CG5130FDD</t>
  </si>
  <si>
    <t>AIM-BKERANEN-L</t>
  </si>
  <si>
    <t>Ryan Kinaia</t>
  </si>
  <si>
    <t>005390480353</t>
  </si>
  <si>
    <t>AIM-BLCKHWK6-T</t>
  </si>
  <si>
    <t>Chris Robeson</t>
  </si>
  <si>
    <t>MXL9521SYJ</t>
  </si>
  <si>
    <t>10.68.89.133</t>
  </si>
  <si>
    <t>AIM-WSFEM21</t>
  </si>
  <si>
    <t>Michelle Chapo</t>
  </si>
  <si>
    <t>MXL9521SWZ</t>
  </si>
  <si>
    <t>10.68.89.134</t>
  </si>
  <si>
    <t>AIM-WSFEM22</t>
  </si>
  <si>
    <t>Shane Bedra</t>
  </si>
  <si>
    <t>AIM-BRANHATT-L</t>
  </si>
  <si>
    <t>Darren Biernacki</t>
  </si>
  <si>
    <t>AIM-BT1SELTES</t>
  </si>
  <si>
    <t>Keante Houston</t>
  </si>
  <si>
    <t>AIM-BT1UPRASSY2</t>
  </si>
  <si>
    <t>Steven Green</t>
  </si>
  <si>
    <t>5CG7386WRM</t>
  </si>
  <si>
    <t>AIM-BWHITE-L</t>
  </si>
  <si>
    <t>Matthew Mroz</t>
  </si>
  <si>
    <t>HP ProBook 650 G3</t>
  </si>
  <si>
    <t>5CG7174GJC</t>
  </si>
  <si>
    <t>AIM-CAP3-L</t>
  </si>
  <si>
    <t>Rafael Ybarra</t>
  </si>
  <si>
    <t>MXL9521RB4</t>
  </si>
  <si>
    <t>10.68.89.135</t>
  </si>
  <si>
    <t>AIM-WSFEM23</t>
  </si>
  <si>
    <t>Chadwick Brown</t>
  </si>
  <si>
    <t>5CG612494Z</t>
  </si>
  <si>
    <t>AIM-CHERNANDEZ-</t>
  </si>
  <si>
    <t>Hakeem Whitehead</t>
  </si>
  <si>
    <t>AIM-CLOR-L</t>
  </si>
  <si>
    <t>Andrew Macorkindale</t>
  </si>
  <si>
    <t>SPLIT: Brandie Cureton, Chad Yeskey</t>
  </si>
  <si>
    <t>AIM-CONTROLS1</t>
  </si>
  <si>
    <t>William Sanders</t>
  </si>
  <si>
    <t>5CG6125Q69</t>
  </si>
  <si>
    <t>AIM-CSEALS-L</t>
  </si>
  <si>
    <t>Albert Hardy</t>
  </si>
  <si>
    <t>5CG6125QBW</t>
  </si>
  <si>
    <t>AIM-CVILL-L</t>
  </si>
  <si>
    <t>Donna Keblaitis</t>
  </si>
  <si>
    <t>5CG5321R0T</t>
  </si>
  <si>
    <t>AIM-CWILLIAMS-L</t>
  </si>
  <si>
    <t>Chao Lor</t>
  </si>
  <si>
    <t>AIM-D5CD328B53M</t>
  </si>
  <si>
    <t>Steve Harwood</t>
  </si>
  <si>
    <t>5CG6290RNH</t>
  </si>
  <si>
    <t>AIM-DBROWN-L</t>
  </si>
  <si>
    <t>Gerrie Springer</t>
  </si>
  <si>
    <t>10.68.89.137</t>
  </si>
  <si>
    <t>AIM-WSFEM24</t>
  </si>
  <si>
    <t>Tate Steinborn</t>
  </si>
  <si>
    <t>MXL9521R8T</t>
  </si>
  <si>
    <t>10.68.89.138</t>
  </si>
  <si>
    <t>AIM-WSFEM25</t>
  </si>
  <si>
    <t>Pam Thompson</t>
  </si>
  <si>
    <t>MXL9521SWD</t>
  </si>
  <si>
    <t>10.68.89.141</t>
  </si>
  <si>
    <t>AIM-WSFEM26</t>
  </si>
  <si>
    <t>Cory Bryan</t>
  </si>
  <si>
    <t>AIM-WSFEM27</t>
  </si>
  <si>
    <t>Andre Tobar</t>
  </si>
  <si>
    <t>WS - Shipping</t>
  </si>
  <si>
    <t>10.68.89.144</t>
  </si>
  <si>
    <t>AIM-WSFEM28</t>
  </si>
  <si>
    <t>Sabrina Hill</t>
  </si>
  <si>
    <t>MXL9521SYG</t>
  </si>
  <si>
    <t>WS - AGS - Side Seal</t>
  </si>
  <si>
    <t>AIM-WSFEM29</t>
  </si>
  <si>
    <t>Emily Krysinski</t>
  </si>
  <si>
    <t>5CG7031BB6</t>
  </si>
  <si>
    <t>AIM-DPERNA3-L</t>
  </si>
  <si>
    <t>Carlos Hernandez</t>
  </si>
  <si>
    <t>AIM-DPLANT-L</t>
  </si>
  <si>
    <t>John Lee</t>
  </si>
  <si>
    <t>MXL9521SW0</t>
  </si>
  <si>
    <t>Chris Miller</t>
  </si>
  <si>
    <t>WS - AGS - Build 1</t>
  </si>
  <si>
    <t>AIM-WSFEM30</t>
  </si>
  <si>
    <t>George Pomeroy</t>
  </si>
  <si>
    <t>MXL9521R9B</t>
  </si>
  <si>
    <t>Needs proper setup</t>
  </si>
  <si>
    <t>Finish Setup</t>
  </si>
  <si>
    <t>Wesley Marmon</t>
  </si>
  <si>
    <t>WS - Display - Sequence</t>
  </si>
  <si>
    <t>10.68.89.155</t>
  </si>
  <si>
    <t>AIM-WSFEM32</t>
  </si>
  <si>
    <t>Jarin Lee</t>
  </si>
  <si>
    <t>WS - Display - Laramie Lookahead</t>
  </si>
  <si>
    <t>AIM-WSFEM34</t>
  </si>
  <si>
    <t>Dennis Frazee</t>
  </si>
  <si>
    <t>WS - Display - Truck Drivers</t>
  </si>
  <si>
    <t>AIM-WSFEM35</t>
  </si>
  <si>
    <t>Melvin Stewart</t>
  </si>
  <si>
    <t>WS - Carousel - Packout</t>
  </si>
  <si>
    <t>10.68.89.161</t>
  </si>
  <si>
    <t>Kevin Hummel</t>
  </si>
  <si>
    <t>AIM-WSFEM38</t>
  </si>
  <si>
    <t>William Prazuch</t>
  </si>
  <si>
    <t>AIM-DTBASETEXT</t>
  </si>
  <si>
    <t>Christopher Warchol</t>
  </si>
  <si>
    <t>MXL9521SWF</t>
  </si>
  <si>
    <t>Allan Bisaro</t>
  </si>
  <si>
    <t>MXL9521R9X</t>
  </si>
  <si>
    <t>AIM-WSFEM4</t>
  </si>
  <si>
    <t>Damian Derrick</t>
  </si>
  <si>
    <t>MXL9521R8N</t>
  </si>
  <si>
    <t>Shonda Hannon</t>
  </si>
  <si>
    <t>MXL9521SXN</t>
  </si>
  <si>
    <t>Marjorie Olson</t>
  </si>
  <si>
    <t>WS - WS Carrier</t>
  </si>
  <si>
    <t>10.68.89.200</t>
  </si>
  <si>
    <t>AIM-WSFEM42</t>
  </si>
  <si>
    <t>Ron Nemens</t>
  </si>
  <si>
    <t>WS - AGS - Seal 2</t>
  </si>
  <si>
    <t>AIM-WSFEM43</t>
  </si>
  <si>
    <t>Michael Archutowski</t>
  </si>
  <si>
    <t>WS - AGS - Build 2</t>
  </si>
  <si>
    <t>AIM-WSFEM44</t>
  </si>
  <si>
    <t>Jose Narro</t>
  </si>
  <si>
    <t>WS - AGS - Test 2</t>
  </si>
  <si>
    <t>AIM-WSFEM45</t>
  </si>
  <si>
    <t>Carl Villanueva</t>
  </si>
  <si>
    <t>WS - Grill - ORT</t>
  </si>
  <si>
    <t>AIM-WSFEM48</t>
  </si>
  <si>
    <t>Wade Manning</t>
  </si>
  <si>
    <t>HP ProDesk 400 G4 DM</t>
  </si>
  <si>
    <t>8CC84223LV</t>
  </si>
  <si>
    <t>Dan Danko</t>
  </si>
  <si>
    <t>WS - AGS - Test 1</t>
  </si>
  <si>
    <t>AIM-WSFEM5</t>
  </si>
  <si>
    <t>Matthew Bruner</t>
  </si>
  <si>
    <t>AIM-DTUPAGSL2DS</t>
  </si>
  <si>
    <t>Lolita Isaac</t>
  </si>
  <si>
    <t>MXL9521R9D</t>
  </si>
  <si>
    <t>10.68.89.63</t>
  </si>
  <si>
    <t>Lisa Saha</t>
  </si>
  <si>
    <t>AIM-FT-CLSTR</t>
  </si>
  <si>
    <t>Frank Cole</t>
  </si>
  <si>
    <t>AIM-GHIFKO-L</t>
  </si>
  <si>
    <t>John Zielinski</t>
  </si>
  <si>
    <t>5CG6120L05</t>
  </si>
  <si>
    <t>AIM-GPOMEROY-L</t>
  </si>
  <si>
    <t>Lee Vang</t>
  </si>
  <si>
    <t>AIM-GRLCART-L</t>
  </si>
  <si>
    <t>Lee Elliot</t>
  </si>
  <si>
    <t>WS - ECM - Display</t>
  </si>
  <si>
    <t>10.68.89.77</t>
  </si>
  <si>
    <t>AIM-WSFEM6</t>
  </si>
  <si>
    <t>Sheila Maniere</t>
  </si>
  <si>
    <t>5CG6125QD8</t>
  </si>
  <si>
    <t>AIM-HANDS-L</t>
  </si>
  <si>
    <t>Jimmie Jefferson</t>
  </si>
  <si>
    <t>Precision 7730</t>
  </si>
  <si>
    <t>6HFG7Y2</t>
  </si>
  <si>
    <t>AIM-HEXAGON-L</t>
  </si>
  <si>
    <t>Crystal Cruce</t>
  </si>
  <si>
    <t>AIM-HILL-L</t>
  </si>
  <si>
    <t>Joseph Hegger</t>
  </si>
  <si>
    <t>AIM-IMPRESS4</t>
  </si>
  <si>
    <t>Thomas Guilbault</t>
  </si>
  <si>
    <t>5CGB124PYO</t>
  </si>
  <si>
    <t>AIM-INTERN-L</t>
  </si>
  <si>
    <t>Heide Ross</t>
  </si>
  <si>
    <t>WS - AGS - Seal 1</t>
  </si>
  <si>
    <t>AIM-WSFEM7</t>
  </si>
  <si>
    <t>Jeff Banks</t>
  </si>
  <si>
    <t>MXL9521R90</t>
  </si>
  <si>
    <t>Chuck Pentilla</t>
  </si>
  <si>
    <t>OptiPlex 5050</t>
  </si>
  <si>
    <t>7BBSLJ2</t>
  </si>
  <si>
    <t>Noel Esenwa</t>
  </si>
  <si>
    <t>Sam Majid</t>
  </si>
  <si>
    <t>AIM-ITSPARE1</t>
  </si>
  <si>
    <t>Adam Hifko</t>
  </si>
  <si>
    <t>5CG8034Q4Z</t>
  </si>
  <si>
    <t>AIM-ITSPARE46-L</t>
  </si>
  <si>
    <t>Antonio Ivery</t>
  </si>
  <si>
    <t>5CG8372K3P</t>
  </si>
  <si>
    <t>AIM-ITSPARE51-L</t>
  </si>
  <si>
    <t>Joe Callahan</t>
  </si>
  <si>
    <t>AIM-ITSPARE58-L</t>
  </si>
  <si>
    <t>Michele Pilibosian</t>
  </si>
  <si>
    <t>AIM-ITSPARE59-L</t>
  </si>
  <si>
    <t>Matthew Furman</t>
  </si>
  <si>
    <t>MXL93045Q2</t>
  </si>
  <si>
    <t>Dee Wiegand</t>
  </si>
  <si>
    <t>5CG43623QV</t>
  </si>
  <si>
    <t>AIM-ITSPARE65-L</t>
  </si>
  <si>
    <t>Jamie Para</t>
  </si>
  <si>
    <t>5CG9152MTP</t>
  </si>
  <si>
    <t>Dennis Robinson</t>
  </si>
  <si>
    <t>5CG6120LS6</t>
  </si>
  <si>
    <t>Doris Leigh</t>
  </si>
  <si>
    <t>5CG6290RCD</t>
  </si>
  <si>
    <t>AIM-ITSPARE69-L</t>
  </si>
  <si>
    <t>Cedric Dumo</t>
  </si>
  <si>
    <t>5CG7386WF0</t>
  </si>
  <si>
    <t>AIM-ITSPARE73-L</t>
  </si>
  <si>
    <t>Fernando Romero</t>
  </si>
  <si>
    <t>AIM-ITSPARE75-L</t>
  </si>
  <si>
    <t>Roberta Badilo</t>
  </si>
  <si>
    <t>AIM-ITSPARE76-L</t>
  </si>
  <si>
    <t>Rolando Cardoso</t>
  </si>
  <si>
    <t>AIM-ITSPARE79-L</t>
  </si>
  <si>
    <t>Jorge Sedano</t>
  </si>
  <si>
    <t>AIM-ITSPARE80-L</t>
  </si>
  <si>
    <t>Robert Seaberg</t>
  </si>
  <si>
    <t>AIM-ITSPARE81-L</t>
  </si>
  <si>
    <t>Willie Pearson</t>
  </si>
  <si>
    <t>Surface Pro 3</t>
  </si>
  <si>
    <t>Norman McGugan</t>
  </si>
  <si>
    <t>5CG9152MLM</t>
  </si>
  <si>
    <t>Todd Osentoski</t>
  </si>
  <si>
    <t>5CG6290RCW</t>
  </si>
  <si>
    <t>AIM-JCUMMINGS-L</t>
  </si>
  <si>
    <t>Kevin Dunnigan</t>
  </si>
  <si>
    <t>AIM-JDANIEL2-L</t>
  </si>
  <si>
    <t>Herbert Williams</t>
  </si>
  <si>
    <t>CNU42495SQ</t>
  </si>
  <si>
    <t>AIM-JDANIEL-L</t>
  </si>
  <si>
    <t>Marie Ritts</t>
  </si>
  <si>
    <t>AIM-JDELANEY-L</t>
  </si>
  <si>
    <t>Gregory Gregg</t>
  </si>
  <si>
    <t>AIM-JEFFMCDO-L</t>
  </si>
  <si>
    <t>Sarah McIntyre</t>
  </si>
  <si>
    <t>AIM-JKONRAD-L</t>
  </si>
  <si>
    <t>Walter Jones</t>
  </si>
  <si>
    <t>5CG8012DMX</t>
  </si>
  <si>
    <t>AIM-JORILLE-L</t>
  </si>
  <si>
    <t>Gabriel Akasheh</t>
  </si>
  <si>
    <t>AIM-JPALA-L</t>
  </si>
  <si>
    <t>Sami Mawazini</t>
  </si>
  <si>
    <t>5CG6120RL3</t>
  </si>
  <si>
    <t>AIM-JPARKER2-L</t>
  </si>
  <si>
    <t>Hamze Merhi</t>
  </si>
  <si>
    <t>CNU416CTB2</t>
  </si>
  <si>
    <t>Shanda Harmon</t>
  </si>
  <si>
    <t>5CG8034Q56</t>
  </si>
  <si>
    <t>AIM-JVOLT-L</t>
  </si>
  <si>
    <t>Miguel Rodriguez</t>
  </si>
  <si>
    <t>5CG7033CHV</t>
  </si>
  <si>
    <t>AIM-JWILLIAMS-L</t>
  </si>
  <si>
    <t>Neil Alampi</t>
  </si>
  <si>
    <t>5CG8034QLJ</t>
  </si>
  <si>
    <t>AIM-KBOCZKOWSKI</t>
  </si>
  <si>
    <t>Darshil Patel</t>
  </si>
  <si>
    <t>AIM-KBONDY-L</t>
  </si>
  <si>
    <t>Wendy Cucinello</t>
  </si>
  <si>
    <t>5CG6124942</t>
  </si>
  <si>
    <t>AIM-KKAMENEC2-L</t>
  </si>
  <si>
    <t>Abhishek Sohane</t>
  </si>
  <si>
    <t>CNU416CTLT</t>
  </si>
  <si>
    <t>AIM-KNHAM2-L</t>
  </si>
  <si>
    <t>Krista Ruemler</t>
  </si>
  <si>
    <t>5CG6290MHS</t>
  </si>
  <si>
    <t>AIM-KRUEMLER-L</t>
  </si>
  <si>
    <t>Melvin Norman</t>
  </si>
  <si>
    <t>5CG73225FL</t>
  </si>
  <si>
    <t>AIM-LDAVIS-L</t>
  </si>
  <si>
    <t>William Kerner</t>
  </si>
  <si>
    <t>017441482653</t>
  </si>
  <si>
    <t>AIM-LEAN1-T</t>
  </si>
  <si>
    <t>Cory Williams</t>
  </si>
  <si>
    <t>MXL9521SWT</t>
  </si>
  <si>
    <t>Johann Arzamendi</t>
  </si>
  <si>
    <t>000860782553</t>
  </si>
  <si>
    <t>AIM-LEAN2-T</t>
  </si>
  <si>
    <t>Cierra Richardson</t>
  </si>
  <si>
    <t>8WD67J2</t>
  </si>
  <si>
    <t>Mario Vasquez</t>
  </si>
  <si>
    <t>076239184553</t>
  </si>
  <si>
    <t>AIM-LEAN3-T</t>
  </si>
  <si>
    <t>Rodolfo Hernandez</t>
  </si>
  <si>
    <t>075720784553</t>
  </si>
  <si>
    <t>AIM-LEAN4-T</t>
  </si>
  <si>
    <t>Steven Zaborowski</t>
  </si>
  <si>
    <t>Surface Pro Model 1796</t>
  </si>
  <si>
    <t>077811484553</t>
  </si>
  <si>
    <t>AIM-LEAN5-T</t>
  </si>
  <si>
    <t>Lydia Brame</t>
  </si>
  <si>
    <t>AIM-LGCONFROOM</t>
  </si>
  <si>
    <t>Skyler Difilippo</t>
  </si>
  <si>
    <t>8XX97J2</t>
  </si>
  <si>
    <t>Max Ramirz</t>
  </si>
  <si>
    <t>5CG732253T</t>
  </si>
  <si>
    <t>AIM-LLAPPE-L</t>
  </si>
  <si>
    <t>Michael Schermerhorn</t>
  </si>
  <si>
    <t>5HHLJK2</t>
  </si>
  <si>
    <t>Raymond Johnson</t>
  </si>
  <si>
    <t>5CG61221MJ</t>
  </si>
  <si>
    <t>AIM-LSEALS-L</t>
  </si>
  <si>
    <t>Larry Lappe</t>
  </si>
  <si>
    <t>5CG7215WP4</t>
  </si>
  <si>
    <t>AIM-LSPICER-L</t>
  </si>
  <si>
    <t>Jillian Young</t>
  </si>
  <si>
    <t>AIM-LYNNWOOD-L</t>
  </si>
  <si>
    <t>Ian Deittrick</t>
  </si>
  <si>
    <t>Azulle</t>
  </si>
  <si>
    <t>Access3</t>
  </si>
  <si>
    <t>MAA3P419040102</t>
  </si>
  <si>
    <t>AIM-MAGNANOW1</t>
  </si>
  <si>
    <t>Michael Langworthy</t>
  </si>
  <si>
    <t>MAA3P419040101</t>
  </si>
  <si>
    <t>AIM-MAGNANOW2</t>
  </si>
  <si>
    <t>Steven Hannan</t>
  </si>
  <si>
    <t>A-1164-AA3-4</t>
  </si>
  <si>
    <t>AA3420180500050</t>
  </si>
  <si>
    <t>AIM-MAGNANOW3</t>
  </si>
  <si>
    <t>Marcus Sanders</t>
  </si>
  <si>
    <t>MAA3P419040106</t>
  </si>
  <si>
    <t>AIM-MAGNANOW4</t>
  </si>
  <si>
    <t>Scott Moyer</t>
  </si>
  <si>
    <t>MAA3420190200292</t>
  </si>
  <si>
    <t>AIM-MAGNANOW5</t>
  </si>
  <si>
    <t>James Stalling</t>
  </si>
  <si>
    <t>MAA3P419040104</t>
  </si>
  <si>
    <t>AIM-MAGNANOW6</t>
  </si>
  <si>
    <t>Jeremy Badder</t>
  </si>
  <si>
    <t>MAA3P419040277</t>
  </si>
  <si>
    <t>AIM-MAGNANOW7</t>
  </si>
  <si>
    <t>Toua Xiong</t>
  </si>
  <si>
    <t>AA3420180500063</t>
  </si>
  <si>
    <t>AIM-MAGNANOW8</t>
  </si>
  <si>
    <t>Scott Leibold</t>
  </si>
  <si>
    <t>5CG6125Q49</t>
  </si>
  <si>
    <t>AIM-MDIALLO-L</t>
  </si>
  <si>
    <t>Khalyl Sauls</t>
  </si>
  <si>
    <t>5CG8034QRR</t>
  </si>
  <si>
    <t>AIM-MFOUR-L</t>
  </si>
  <si>
    <t>Renee Smiljanic</t>
  </si>
  <si>
    <t>AIM-MFOURNIER2</t>
  </si>
  <si>
    <t>Helen Brown</t>
  </si>
  <si>
    <t>5CG53223DK</t>
  </si>
  <si>
    <t>AIM-MFOURNIER-L</t>
  </si>
  <si>
    <t>Brandon Bergen</t>
  </si>
  <si>
    <t>AIM-MGRTAB1-T</t>
  </si>
  <si>
    <t>Natalie Clemons</t>
  </si>
  <si>
    <t>5CG834297N</t>
  </si>
  <si>
    <t>AIM-MHANSON2-L</t>
  </si>
  <si>
    <t>Ronald Smith</t>
  </si>
  <si>
    <t>5CG8034Q6D</t>
  </si>
  <si>
    <t>AIM-MNORMAN-L</t>
  </si>
  <si>
    <t>Chadd Chisholm</t>
  </si>
  <si>
    <t>5CG6120NHW</t>
  </si>
  <si>
    <t>AIM-MPILIBOS2</t>
  </si>
  <si>
    <t>Sarah Cox</t>
  </si>
  <si>
    <t>AIM-MPILIBOS-L</t>
  </si>
  <si>
    <t>Jim Skierski</t>
  </si>
  <si>
    <t>5CG6122PHB</t>
  </si>
  <si>
    <t>AIM-MRODRIG-L</t>
  </si>
  <si>
    <t>Heysam Salami1</t>
  </si>
  <si>
    <t>Keaton Giberson</t>
  </si>
  <si>
    <t>AIMNYSSQL02-NEW</t>
  </si>
  <si>
    <t>66KTJK2</t>
  </si>
  <si>
    <t>Finance Intern</t>
  </si>
  <si>
    <t>AIM-PC10-L</t>
  </si>
  <si>
    <t>AIM-PC11-L</t>
  </si>
  <si>
    <t>AIM-PC12-L</t>
  </si>
  <si>
    <t>AIM-PC13-L</t>
  </si>
  <si>
    <t>AIM-PC14-L</t>
  </si>
  <si>
    <t>AIM-PC15-L</t>
  </si>
  <si>
    <t>AIM-PC16-L</t>
  </si>
  <si>
    <t>HP ProBook 650 G8</t>
  </si>
  <si>
    <t>5CD1171BSH</t>
  </si>
  <si>
    <t>AIM-PC17-L</t>
  </si>
  <si>
    <t>5CG91525JP</t>
  </si>
  <si>
    <t>AIM-PC18-L</t>
  </si>
  <si>
    <t>AIM-PC20-L</t>
  </si>
  <si>
    <t>AIM-PC21-L</t>
  </si>
  <si>
    <t>AIM-PC22-L</t>
  </si>
  <si>
    <t>5CG7031BK4</t>
  </si>
  <si>
    <t>AIM-PC23-L</t>
  </si>
  <si>
    <t>AIM-PC25-L</t>
  </si>
  <si>
    <t>AIM-PC26-L</t>
  </si>
  <si>
    <t>Ed Tooling</t>
  </si>
  <si>
    <t>AIM-PC27-L</t>
  </si>
  <si>
    <t>AIM-PC28-L</t>
  </si>
  <si>
    <t>AIM-PC2-L</t>
  </si>
  <si>
    <t>AIM-PC30-L</t>
  </si>
  <si>
    <t>Danny Torres</t>
  </si>
  <si>
    <t>AIM-PC31-L</t>
  </si>
  <si>
    <t>AIM-PC33-L</t>
  </si>
  <si>
    <t>AIM-PC34-L</t>
  </si>
  <si>
    <t>5CD116V9PT</t>
  </si>
  <si>
    <t>AIM-PC35-L</t>
  </si>
  <si>
    <t>AIM-PC36-L</t>
  </si>
  <si>
    <t>AIM-PC37-L</t>
  </si>
  <si>
    <t>AIM-PC38-L</t>
  </si>
  <si>
    <t>AIM-PC39-L</t>
  </si>
  <si>
    <t>AIM-PC3-L</t>
  </si>
  <si>
    <t>AIM-PC40-L</t>
  </si>
  <si>
    <t>AIM-PC41-L</t>
  </si>
  <si>
    <t>AIM-PC42-L</t>
  </si>
  <si>
    <t>HP ZBook 15u G6</t>
  </si>
  <si>
    <t>5CG02543NH</t>
  </si>
  <si>
    <t>AIM-PC44-L</t>
  </si>
  <si>
    <t>5CD143FBS0</t>
  </si>
  <si>
    <t>5CG7386T8J</t>
  </si>
  <si>
    <t>AIM-PC47-L</t>
  </si>
  <si>
    <t>5CG7215VXS</t>
  </si>
  <si>
    <t>AIM-PC48-L</t>
  </si>
  <si>
    <t>AIM-PC49-L</t>
  </si>
  <si>
    <t>AIM-PC4-L</t>
  </si>
  <si>
    <t>5CG8034QYZ</t>
  </si>
  <si>
    <t>AIM-PC51-L</t>
  </si>
  <si>
    <t>AIM-PC52-L</t>
  </si>
  <si>
    <t>AIM-PC54-L</t>
  </si>
  <si>
    <t>AIM-PC55-T</t>
  </si>
  <si>
    <t>AIM-PC56-L</t>
  </si>
  <si>
    <t>AIM-PC57-L</t>
  </si>
  <si>
    <t>Arshdeep</t>
  </si>
  <si>
    <t>AIM-PC58-L</t>
  </si>
  <si>
    <t>AIM-PC59-L</t>
  </si>
  <si>
    <t>AIM-PC5-L</t>
  </si>
  <si>
    <t>5CG5612200K</t>
  </si>
  <si>
    <t>AIM-PC60-L</t>
  </si>
  <si>
    <t>HP ProBook</t>
  </si>
  <si>
    <t>AIM-PC61-L</t>
  </si>
  <si>
    <t>AIM-PC62-L</t>
  </si>
  <si>
    <t>AIM-PC63-L</t>
  </si>
  <si>
    <t>AIM-PC64-L</t>
  </si>
  <si>
    <t>AIM-PC65-L</t>
  </si>
  <si>
    <t>Jeffrey Quinn</t>
  </si>
  <si>
    <t>AIM-PC66-L</t>
  </si>
  <si>
    <t>AIM-PC68-L</t>
  </si>
  <si>
    <t>AIM-PC6-L</t>
  </si>
  <si>
    <t>AIM-PC70-L</t>
  </si>
  <si>
    <t>AIM-PC71-L</t>
  </si>
  <si>
    <t>HP EliteBook 650 G9</t>
  </si>
  <si>
    <t>5CD224JFBQ</t>
  </si>
  <si>
    <t>AIM-PC72-L</t>
  </si>
  <si>
    <t>AIM-PC73-L</t>
  </si>
  <si>
    <t>AIM-PC74-L</t>
  </si>
  <si>
    <t>AIM-PC76-L</t>
  </si>
  <si>
    <t>AIM-PC77-L</t>
  </si>
  <si>
    <t>AIM-PC78-L</t>
  </si>
  <si>
    <t>AIM-PC7-L</t>
  </si>
  <si>
    <t>AIM-PC80-T</t>
  </si>
  <si>
    <t>Steve Patterson</t>
  </si>
  <si>
    <t>AIM-PC8-L</t>
  </si>
  <si>
    <t>AIM-PICKER3</t>
  </si>
  <si>
    <t>AIM-PICKER4</t>
  </si>
  <si>
    <t>AIM-PRESS3-T</t>
  </si>
  <si>
    <t>Surface Pro 4</t>
  </si>
  <si>
    <t>AIM-PRESSBKUP</t>
  </si>
  <si>
    <t>8QJ4GQ2</t>
  </si>
  <si>
    <t>9VNYLP2</t>
  </si>
  <si>
    <t>9XW4MP2</t>
  </si>
  <si>
    <t>AIM-PRODUCTION6</t>
  </si>
  <si>
    <t>FRN0HP2</t>
  </si>
  <si>
    <t>2CE2440VT8</t>
  </si>
  <si>
    <t>AIM-QUALGAGE-L</t>
  </si>
  <si>
    <t>AIM-QUALITY1-L</t>
  </si>
  <si>
    <t>5CG4362FCL</t>
  </si>
  <si>
    <t>AIM-QUALITY2-L</t>
  </si>
  <si>
    <t>Pending E-Waste</t>
  </si>
  <si>
    <t>H6V87P2</t>
  </si>
  <si>
    <t>WS - Carousel - Camera Tester</t>
  </si>
  <si>
    <t>AIM-DSTESTER-D</t>
  </si>
  <si>
    <t>AIM-RKINAIA2-L</t>
  </si>
  <si>
    <t>5CG6122NDY</t>
  </si>
  <si>
    <t>5CG6374GH0</t>
  </si>
  <si>
    <t>AIM-RMULARSKI2-</t>
  </si>
  <si>
    <t>5CG6125Q1M</t>
  </si>
  <si>
    <t>AIM-RMYERS2-L</t>
  </si>
  <si>
    <t>AIM-RSCOTT-L</t>
  </si>
  <si>
    <t>AIM-RSTROME2-L</t>
  </si>
  <si>
    <t>5CG5525YNF</t>
  </si>
  <si>
    <t>AIM-RSTROME-L</t>
  </si>
  <si>
    <t>5CG8034R17</t>
  </si>
  <si>
    <t>AIM-RWHEATER-L</t>
  </si>
  <si>
    <t>AIM-RWOLVER-L</t>
  </si>
  <si>
    <t>5CG8377MMC</t>
  </si>
  <si>
    <t>AIM-SCOX-L</t>
  </si>
  <si>
    <t>OMEN by HP Laptop 17-cb0xxx</t>
  </si>
  <si>
    <t>CND9517WBT</t>
  </si>
  <si>
    <t>AIM-SDIFILIPPO</t>
  </si>
  <si>
    <t>AIM-SERVICE-T</t>
  </si>
  <si>
    <t>5CG6290MKR</t>
  </si>
  <si>
    <t>AIM-SHANNON-L</t>
  </si>
  <si>
    <t>5CG6281YPT</t>
  </si>
  <si>
    <t>AIM-SHARMON-L</t>
  </si>
  <si>
    <t>007662751653</t>
  </si>
  <si>
    <t>AIM-SHIP6-T</t>
  </si>
  <si>
    <t>WS - AGS - WS Side Seal</t>
  </si>
  <si>
    <t>AIM-TR2-D</t>
  </si>
  <si>
    <t>WS - Carousel - QT Desk</t>
  </si>
  <si>
    <t>AIM-QUALITY5-D</t>
  </si>
  <si>
    <t>AIM-SKHAN-L</t>
  </si>
  <si>
    <t>5CG7386TKW</t>
  </si>
  <si>
    <t>AIM-SMCINTYRE-L</t>
  </si>
  <si>
    <t>5CG90433VF</t>
  </si>
  <si>
    <t>5CG532211F</t>
  </si>
  <si>
    <t>AIM-SPAREIT-L</t>
  </si>
  <si>
    <t>AIM-SPARE-T</t>
  </si>
  <si>
    <t>AIMSQLAGL1</t>
  </si>
  <si>
    <t>AIMSQLCLS01</t>
  </si>
  <si>
    <t>5CG91154GG</t>
  </si>
  <si>
    <t>AIM-SRASLJANIN3</t>
  </si>
  <si>
    <t>T1XX - T1 Lower - Assembly 3</t>
  </si>
  <si>
    <t>10.68.134.243</t>
  </si>
  <si>
    <t>AIM-T1LWASYTST3</t>
  </si>
  <si>
    <t>T1XX - T1 Lower - Pack 2</t>
  </si>
  <si>
    <t>AIM-T1LWPACK2</t>
  </si>
  <si>
    <t>T1XX - T1 Lower - Assembly 4</t>
  </si>
  <si>
    <t>10.68.134.244</t>
  </si>
  <si>
    <t>AIM-T1LWASYTST4</t>
  </si>
  <si>
    <t>5CG6125QDX</t>
  </si>
  <si>
    <t>AIM-SSTALLER-L</t>
  </si>
  <si>
    <t>AIM-SURFACE11-T</t>
  </si>
  <si>
    <t>AIM-SURFACE3-T</t>
  </si>
  <si>
    <t>AIM-SURFACE5-T</t>
  </si>
  <si>
    <t>AIM-SURFACE7-T</t>
  </si>
  <si>
    <t>AIM-SURFACE8-T</t>
  </si>
  <si>
    <t>AIM-SURFACE9-T</t>
  </si>
  <si>
    <t>HP EliteBook 850</t>
  </si>
  <si>
    <t>CNU412BPWG</t>
  </si>
  <si>
    <t>AIM-SURVEY01</t>
  </si>
  <si>
    <t>Unusable</t>
  </si>
  <si>
    <t>5CG8034QWV</t>
  </si>
  <si>
    <t>AIM-SWRIGHT2-L</t>
  </si>
  <si>
    <t>AIM-T1BACKUP1</t>
  </si>
  <si>
    <t>AIM-T1BACKUP2</t>
  </si>
  <si>
    <t>AIM-T1LWASYTST2</t>
  </si>
  <si>
    <t>T1XX - BT1XX - Display</t>
  </si>
  <si>
    <t>AIM-BT1XXJIT-D</t>
  </si>
  <si>
    <t>Molding - Display</t>
  </si>
  <si>
    <t>AIM-MOLDDISP-D</t>
  </si>
  <si>
    <t>AIM-T1LDGMCASY1</t>
  </si>
  <si>
    <t>MXL9521RB2</t>
  </si>
  <si>
    <t>10.68.89.132</t>
  </si>
  <si>
    <t>AIM-WSFEM20</t>
  </si>
  <si>
    <t>DT FEM - Production - E-Test</t>
  </si>
  <si>
    <t>AIM-ETESTDISP</t>
  </si>
  <si>
    <t>80696Q2</t>
  </si>
  <si>
    <t>AIM-DTFEMMIR14</t>
  </si>
  <si>
    <t>10.68.134.177</t>
  </si>
  <si>
    <t>AIM-DTUPAGSASY2</t>
  </si>
  <si>
    <t>10.68.134.178</t>
  </si>
  <si>
    <t>AIM-DTUPAGSASY3</t>
  </si>
  <si>
    <t>OptiPlex 5060</t>
  </si>
  <si>
    <t>F4G1XQ2</t>
  </si>
  <si>
    <t>AIM-TEAMLEAD5</t>
  </si>
  <si>
    <t>5CG7032YGH</t>
  </si>
  <si>
    <t>AIM-TCURTIS-L</t>
  </si>
  <si>
    <t>WS - Team Lead Desk</t>
  </si>
  <si>
    <t>AIM-TEAMLEAD-DS</t>
  </si>
  <si>
    <t>HSPXVP2</t>
  </si>
  <si>
    <t>AIM-SUVSWAP5-D</t>
  </si>
  <si>
    <t>5CG638797X</t>
  </si>
  <si>
    <t>AIM-TEMP23-L</t>
  </si>
  <si>
    <t>5CG6125QC9</t>
  </si>
  <si>
    <t>AIM-TEMP25-L</t>
  </si>
  <si>
    <t>5CG6122LD5</t>
  </si>
  <si>
    <t>AIM-TEMP3-L</t>
  </si>
  <si>
    <t>AIM-TKOHLOFF-L</t>
  </si>
  <si>
    <t>172.18.74.182</t>
  </si>
  <si>
    <t>AIM-WSCAMERA</t>
  </si>
  <si>
    <t>AIM-WSFEM1</t>
  </si>
  <si>
    <t>AIM-WSFEM13</t>
  </si>
  <si>
    <t>5CG9117PXR</t>
  </si>
  <si>
    <t>AIM-TROSE-L</t>
  </si>
  <si>
    <t>AIM-TWICART-L</t>
  </si>
  <si>
    <t>5CG6122NFM</t>
  </si>
  <si>
    <t>AIM-VOWENS-L</t>
  </si>
  <si>
    <t>5CG6125Q80</t>
  </si>
  <si>
    <t>AIM-WMANNING-L</t>
  </si>
  <si>
    <t>HP EliteBook 850 G2</t>
  </si>
  <si>
    <t>5CG5400P9B</t>
  </si>
  <si>
    <t>AIM-WMARMON-L</t>
  </si>
  <si>
    <t>AIMWRNAPP01-NEW</t>
  </si>
  <si>
    <t>AIMWRNAPP03</t>
  </si>
  <si>
    <t>AIMWRNAPP07</t>
  </si>
  <si>
    <t>AIMWRNAPP15</t>
  </si>
  <si>
    <t>AIMWRNATCOP</t>
  </si>
  <si>
    <t>AIMWRNBLCK</t>
  </si>
  <si>
    <t>AIMWRNBUPROXY</t>
  </si>
  <si>
    <t>AIMWRNCOM01</t>
  </si>
  <si>
    <t>AIMWRNCOM02</t>
  </si>
  <si>
    <t>AIMWRNCOM04</t>
  </si>
  <si>
    <t>AIMWRNCOM05</t>
  </si>
  <si>
    <t>AIMWRNDB03</t>
  </si>
  <si>
    <t>AIMWRNDETECTIT</t>
  </si>
  <si>
    <t>AIMWRNESX8</t>
  </si>
  <si>
    <t>AIM-WRN-ESX9</t>
  </si>
  <si>
    <t>AIMWRNFS01</t>
  </si>
  <si>
    <t>AIMWRNFS01-NEW</t>
  </si>
  <si>
    <t>AIMWRNFTPC02</t>
  </si>
  <si>
    <t>AIMWRNFTPC05</t>
  </si>
  <si>
    <t>AIMWRNFTPC06</t>
  </si>
  <si>
    <t>AIMWRNFTPC07</t>
  </si>
  <si>
    <t>AIMWRNFTPC09</t>
  </si>
  <si>
    <t>AIMWRNFTPC10</t>
  </si>
  <si>
    <t>AIMWRNFTPC11</t>
  </si>
  <si>
    <t>AIMWRNFTPC12</t>
  </si>
  <si>
    <t>AIMWRNFTPC13</t>
  </si>
  <si>
    <t>AIMWRNFTPC14</t>
  </si>
  <si>
    <t>AIMWRNIT</t>
  </si>
  <si>
    <t>AIMWRNMES01</t>
  </si>
  <si>
    <t>AIMWRNMRP01</t>
  </si>
  <si>
    <t>AIMWRNNYS01</t>
  </si>
  <si>
    <t>AIMWRNNYS01-NEW</t>
  </si>
  <si>
    <t>AIMWRNNYS02</t>
  </si>
  <si>
    <t>AIMWRNNYS02-NEW</t>
  </si>
  <si>
    <t>AIMWRNNYSMON</t>
  </si>
  <si>
    <t>AIMWRNNYSSQL</t>
  </si>
  <si>
    <t>AIMWRNNYSSQL2</t>
  </si>
  <si>
    <t>AIMWRNNYSSQL-OL</t>
  </si>
  <si>
    <t>AIMWRNODSTEST</t>
  </si>
  <si>
    <t>AIMWRNOPC01</t>
  </si>
  <si>
    <t>AIMWRNORA01</t>
  </si>
  <si>
    <t>AIMWRNPRTG</t>
  </si>
  <si>
    <t>AIMWRNPS03</t>
  </si>
  <si>
    <t>AIMWRNSTRG1</t>
  </si>
  <si>
    <t>AIMWRNUJI01</t>
  </si>
  <si>
    <t>AIMWRNVC01</t>
  </si>
  <si>
    <t>AIMWRNWEB06</t>
  </si>
  <si>
    <t>AIMWS4ZHLAS22LW</t>
  </si>
  <si>
    <t>AIMWS5CD328B4Y9</t>
  </si>
  <si>
    <t>AIMWS5CD328B530</t>
  </si>
  <si>
    <t>AIMWS5CD328B53M</t>
  </si>
  <si>
    <t>AIMWS5CD328B54S</t>
  </si>
  <si>
    <t>AIM-WSFEM2</t>
  </si>
  <si>
    <t>MXL9521SXH</t>
  </si>
  <si>
    <t>AIM-WSSWAPTEST</t>
  </si>
  <si>
    <t>MXL9521SYX</t>
  </si>
  <si>
    <t>AIM-WSFEM46</t>
  </si>
  <si>
    <t>AIM-WSFEM47</t>
  </si>
  <si>
    <t>AIM-WSFEM8</t>
  </si>
  <si>
    <t>AIM-DELLBEAST-D</t>
  </si>
  <si>
    <t>AIM-DETECTIT-2</t>
  </si>
  <si>
    <t>AIM-DISPLAY1</t>
  </si>
  <si>
    <t>WS - Maintenance Desk</t>
  </si>
  <si>
    <t>AIM-DSMAINT-D</t>
  </si>
  <si>
    <t>AIM-DTBEVASSY1</t>
  </si>
  <si>
    <t>AIM-DTFEM10</t>
  </si>
  <si>
    <t>DT FEM - Shipping Area Desk</t>
  </si>
  <si>
    <t>AIM-DTFEMMAIN</t>
  </si>
  <si>
    <t>MXL9521R9T</t>
  </si>
  <si>
    <t>6L49XH2</t>
  </si>
  <si>
    <t>6LRCXH2</t>
  </si>
  <si>
    <t>DT Lower - Assembly 1</t>
  </si>
  <si>
    <t>AIM-T1SPARE3-D</t>
  </si>
  <si>
    <t>AIMWSSTT27E12BP</t>
  </si>
  <si>
    <t>AIM-DTTRUCK-D</t>
  </si>
  <si>
    <t>5J5LJK2</t>
  </si>
  <si>
    <t>AIM-T1SPARE4-D</t>
  </si>
  <si>
    <t>MSDSNBD401Q04</t>
  </si>
  <si>
    <t>Materials - Office</t>
  </si>
  <si>
    <t>AIM-MATCLERK-D</t>
  </si>
  <si>
    <t>Molding - Process Tech Desk</t>
  </si>
  <si>
    <t>AIM-MOLDTECH-D</t>
  </si>
  <si>
    <t>Service - T1XX Chevy - Assembly</t>
  </si>
  <si>
    <t>AIM-SRVT1CHVASS</t>
  </si>
  <si>
    <t>Service - T1XX Chevy - Seal</t>
  </si>
  <si>
    <t>AIM-SRVT1CHVSEA</t>
  </si>
  <si>
    <t>Service - T1XX Chevy - Test</t>
  </si>
  <si>
    <t>AIM-SRVT1CHVTES</t>
  </si>
  <si>
    <t>Service - T1XX GMC - Seal</t>
  </si>
  <si>
    <t>AIM-SRVT1GMCSEA</t>
  </si>
  <si>
    <t>Service - T1XX GMC - Test</t>
  </si>
  <si>
    <t>AIM-SRVT1GMCTES</t>
  </si>
  <si>
    <t>Cannot Read Serial</t>
  </si>
  <si>
    <t>15152B1501</t>
  </si>
  <si>
    <t>17138B3BB9</t>
  </si>
  <si>
    <t>17139B0619</t>
  </si>
  <si>
    <t>17213B458C</t>
  </si>
  <si>
    <t>17215B4951</t>
  </si>
  <si>
    <t>17216B0474</t>
  </si>
  <si>
    <t>18027B2330</t>
  </si>
  <si>
    <t>18065B3653</t>
  </si>
  <si>
    <t>18162B6E88</t>
  </si>
  <si>
    <t>19346N12FE</t>
  </si>
  <si>
    <t>19347N1078</t>
  </si>
  <si>
    <t>19347N1346</t>
  </si>
  <si>
    <t>20032N01FF</t>
  </si>
  <si>
    <t>BE600M1</t>
  </si>
  <si>
    <t>4B2316P00236</t>
  </si>
  <si>
    <t>BE750G</t>
  </si>
  <si>
    <t>4B1427P16831</t>
  </si>
  <si>
    <t>BE850M2</t>
  </si>
  <si>
    <t>4B1816P113662</t>
  </si>
  <si>
    <t>4B1816P13576</t>
  </si>
  <si>
    <t>4B1816P13583</t>
  </si>
  <si>
    <t>4B1816P13687</t>
  </si>
  <si>
    <t>4B1816P13789</t>
  </si>
  <si>
    <t>4B1818P13830</t>
  </si>
  <si>
    <t>4B1903P01150</t>
  </si>
  <si>
    <t>4B1911P00773</t>
  </si>
  <si>
    <t>4B1937P21100</t>
  </si>
  <si>
    <t>13126B1A7D</t>
  </si>
  <si>
    <t>16239B12EC</t>
  </si>
  <si>
    <t>16239B12F4</t>
  </si>
  <si>
    <t>16239B12FE</t>
  </si>
  <si>
    <t>17119B0416</t>
  </si>
  <si>
    <t>17144B23CF</t>
  </si>
  <si>
    <t>17144B242F</t>
  </si>
  <si>
    <t>17145B002A</t>
  </si>
  <si>
    <t>17266B2C1A</t>
  </si>
  <si>
    <t>17266B2E51</t>
  </si>
  <si>
    <t>18139B7B58</t>
  </si>
  <si>
    <t>18159B95BA</t>
  </si>
  <si>
    <t>18167B29B7</t>
  </si>
  <si>
    <t>19140N04B7</t>
  </si>
  <si>
    <t>19347N0638</t>
  </si>
  <si>
    <t>20150N071D</t>
  </si>
  <si>
    <t>AH101761</t>
  </si>
  <si>
    <t>AL00877</t>
  </si>
  <si>
    <t>BK100863</t>
  </si>
  <si>
    <t>CD100665</t>
  </si>
  <si>
    <t>752EYV2423</t>
  </si>
  <si>
    <t>752EYV2485</t>
  </si>
  <si>
    <t>752TSHD599</t>
  </si>
  <si>
    <t>752TSHD708</t>
  </si>
  <si>
    <t>752TTQS827</t>
  </si>
  <si>
    <t>752TTVF863</t>
  </si>
  <si>
    <t>752TTW3638</t>
  </si>
  <si>
    <t>752TXDT211</t>
  </si>
  <si>
    <t>752TYKE134</t>
  </si>
  <si>
    <t>752TYKE308</t>
  </si>
  <si>
    <t>752TYKG683</t>
  </si>
  <si>
    <t>752TYKG691</t>
  </si>
  <si>
    <t>752TYKG720</t>
  </si>
  <si>
    <t>E2417H</t>
  </si>
  <si>
    <t>B2K6SH2</t>
  </si>
  <si>
    <t>HP E24t G4 Touch Monitor</t>
  </si>
  <si>
    <t>CNK24504LD</t>
  </si>
  <si>
    <t>Laser Jet Pro M402dw</t>
  </si>
  <si>
    <t>PHBVF28382</t>
  </si>
  <si>
    <t>00:10:40:8D:E3:B9</t>
  </si>
  <si>
    <t>CNK9250S9P</t>
  </si>
  <si>
    <t>00:10:40:C2:D9:1A</t>
  </si>
  <si>
    <t>ASUS</t>
  </si>
  <si>
    <t>RT-N12</t>
  </si>
  <si>
    <t>GBIADQ003860</t>
  </si>
  <si>
    <t>RT-N300 B1</t>
  </si>
  <si>
    <t>H1IA1P000261</t>
  </si>
  <si>
    <t>SC620</t>
  </si>
  <si>
    <t>5S2110T99370</t>
  </si>
  <si>
    <t>546TSM1715</t>
  </si>
  <si>
    <t>546TVM5869</t>
  </si>
  <si>
    <t>SL300 (2 Channel)</t>
  </si>
  <si>
    <t>546TVX6234</t>
  </si>
  <si>
    <t>Marked Auto</t>
  </si>
  <si>
    <t>Firmware Version</t>
  </si>
  <si>
    <t>546TXKA270</t>
  </si>
  <si>
    <t>Marked IC6</t>
  </si>
  <si>
    <t>546TXKA489</t>
  </si>
  <si>
    <t>Marked IC8</t>
  </si>
  <si>
    <t>546TXKA524</t>
  </si>
  <si>
    <t>Marked IC2</t>
  </si>
  <si>
    <t>546TXKA529</t>
  </si>
  <si>
    <t>Marked IC9</t>
  </si>
  <si>
    <t>546TXKA553</t>
  </si>
  <si>
    <t>Marked Mat 4</t>
  </si>
  <si>
    <t>546TXKA554</t>
  </si>
  <si>
    <t>Marked IC7</t>
  </si>
  <si>
    <t>546TXKA558</t>
  </si>
  <si>
    <t>Marked IC4</t>
  </si>
  <si>
    <t>546TXKA570</t>
  </si>
  <si>
    <t>Marked IC5</t>
  </si>
  <si>
    <t>546TXKA584</t>
  </si>
  <si>
    <t>Marked IC1</t>
  </si>
  <si>
    <t>546TYV3583</t>
  </si>
  <si>
    <t>546TYV3648</t>
  </si>
  <si>
    <t>546TYV3737</t>
  </si>
  <si>
    <t>546TYV3738</t>
  </si>
  <si>
    <t>RCA</t>
  </si>
  <si>
    <t>SLD40HG45RQ</t>
  </si>
  <si>
    <t>5512-HS40G45-A100852</t>
  </si>
  <si>
    <t>MMLXKAA0136390DDD14245</t>
  </si>
  <si>
    <t>MMLXKAA0136390DDD24245</t>
  </si>
  <si>
    <t>MMLXKAA0136390E4F54245</t>
  </si>
  <si>
    <t>MMLXKAA013645038144245</t>
  </si>
  <si>
    <t>MMLXKAA013645038284245</t>
  </si>
  <si>
    <t>MMLXKAA013645038344245</t>
  </si>
  <si>
    <t>MMLXKAA0136450383B4245</t>
  </si>
  <si>
    <t>MMLXKAA0136450383E4245</t>
  </si>
  <si>
    <t>MMLXKAA013645038634245</t>
  </si>
  <si>
    <t>MMLXKAA0136450386E4245</t>
  </si>
  <si>
    <t>MMLXKAA013645038794245</t>
  </si>
  <si>
    <t>MMLXKAA0136450387F4245</t>
  </si>
  <si>
    <t>MMLXKAA013645038814245</t>
  </si>
  <si>
    <t>MMLXKAA013645038904245</t>
  </si>
  <si>
    <t>MMLXKAA013645038914245</t>
  </si>
  <si>
    <t>MMLXKAA01364503BBC4245</t>
  </si>
  <si>
    <t>MMLXKAA01364503D064245</t>
  </si>
  <si>
    <t>MMLXKAA01364503D324245</t>
  </si>
  <si>
    <t>MMLXKAA01364503EE24245</t>
  </si>
  <si>
    <t>MMLXKAA01381701D264245</t>
  </si>
  <si>
    <t>MMLXKAA01382403EC64245</t>
  </si>
  <si>
    <t>MMLXKAA01382403EE94245</t>
  </si>
  <si>
    <t>V246HQL</t>
  </si>
  <si>
    <t>MMT2BAA0035100894F4208</t>
  </si>
  <si>
    <t>MMT2BAA003510089544208</t>
  </si>
  <si>
    <t>CNK24504Z6</t>
  </si>
  <si>
    <t>Scratched, Possible Damage</t>
  </si>
  <si>
    <t>4B1506P21020</t>
  </si>
  <si>
    <t>EF101009</t>
  </si>
  <si>
    <t>RT-AC66U B1</t>
  </si>
  <si>
    <t>MBIG2E200444427</t>
  </si>
  <si>
    <t>EK102125</t>
  </si>
  <si>
    <t>EF1010136</t>
  </si>
  <si>
    <t>CH101972</t>
  </si>
  <si>
    <t>AL100877</t>
  </si>
  <si>
    <t>New in box</t>
  </si>
  <si>
    <t>P2424HT</t>
  </si>
  <si>
    <t>3FMW4T3</t>
  </si>
  <si>
    <t>DataLogic</t>
  </si>
  <si>
    <t>PBT9500</t>
  </si>
  <si>
    <t>1980i</t>
  </si>
  <si>
    <t>18075B08E2</t>
  </si>
  <si>
    <t>Must be configured</t>
  </si>
  <si>
    <t>18067B03F4</t>
  </si>
  <si>
    <t>Broken top hook, but functional</t>
  </si>
  <si>
    <t>18167B2A5B</t>
  </si>
  <si>
    <t>18263B0D19</t>
  </si>
  <si>
    <t>3DDY4T3</t>
  </si>
  <si>
    <t>CNK9250SWH</t>
  </si>
  <si>
    <t>MMT2BAA003510088314208</t>
  </si>
  <si>
    <t>17216B05CD</t>
  </si>
  <si>
    <t>19348N00EF</t>
  </si>
  <si>
    <t>CNK9250SX4</t>
  </si>
  <si>
    <t>MMLXKAA013645038654245</t>
  </si>
  <si>
    <t>HP Z2 Mini G5 Workstation</t>
  </si>
  <si>
    <t>MXL1294VFR</t>
  </si>
  <si>
    <t>AIM-ITBKUP01-D</t>
  </si>
  <si>
    <t>MMLXKAA013645038964245</t>
  </si>
  <si>
    <t>MMLXKAA0136390E50E4245</t>
  </si>
  <si>
    <t>4B1827P31294</t>
  </si>
  <si>
    <t>4B2325P01799</t>
  </si>
  <si>
    <t>19347N1125</t>
  </si>
  <si>
    <t>4B1427P17081</t>
  </si>
  <si>
    <t>4B2324P09481</t>
  </si>
  <si>
    <t>HP 2013 UltraSlim Docking Station</t>
  </si>
  <si>
    <t>5CG645ZT0Y</t>
  </si>
  <si>
    <t>5CG835X2GB</t>
  </si>
  <si>
    <t>1910i</t>
  </si>
  <si>
    <t>17033B04AD</t>
  </si>
  <si>
    <t>MMLY6AA0045460A40E8511</t>
  </si>
  <si>
    <t>MMLXKAA01364503D154245</t>
  </si>
  <si>
    <t>MMLXKAA01364503C584245</t>
  </si>
  <si>
    <t>MMLXKAA01381701BD84245</t>
  </si>
  <si>
    <t>V226HQL</t>
  </si>
  <si>
    <t>MMT0WAA007533014F02442</t>
  </si>
  <si>
    <t>MMLXKAA01381701BF54245</t>
  </si>
  <si>
    <t>MMT0WAA007533015162442</t>
  </si>
  <si>
    <t>4B1427P16845</t>
  </si>
  <si>
    <t>New Battery 4/15/2025</t>
  </si>
  <si>
    <t>MMLXKAA0136390E5024245</t>
  </si>
  <si>
    <t>MMLXKAA0136390E1744245</t>
  </si>
  <si>
    <t>MMLXKAA003335016234207</t>
  </si>
  <si>
    <t>MMLXKAA01364503BBF4245</t>
  </si>
  <si>
    <t>MMLXKAA01364503D344245</t>
  </si>
  <si>
    <t>CNK9350Q4L</t>
  </si>
  <si>
    <t>CNK9242C5M</t>
  </si>
  <si>
    <t>CNK9250SWF</t>
  </si>
  <si>
    <t>CNK9250SWQ</t>
  </si>
  <si>
    <t>CNK9350Q49</t>
  </si>
  <si>
    <t>CNK9350Q48</t>
  </si>
  <si>
    <t>CNK9250SW6</t>
  </si>
  <si>
    <t>CNK9250SX5</t>
  </si>
  <si>
    <t>HP VH22 Monitor</t>
  </si>
  <si>
    <t>2MN85100Z4</t>
  </si>
  <si>
    <t>HP ProBook 4440s</t>
  </si>
  <si>
    <t>2CE2341RGY</t>
  </si>
  <si>
    <t>546TVM4987</t>
  </si>
  <si>
    <t>Marked 313</t>
  </si>
  <si>
    <t>18021523080233</t>
  </si>
  <si>
    <t>AIM-T1LWPACK1</t>
  </si>
  <si>
    <t>Training Room</t>
  </si>
  <si>
    <t>AIM-TRAINING1</t>
  </si>
  <si>
    <t>00:10:40:77:BA:76</t>
  </si>
  <si>
    <t>Printer "Ham"</t>
  </si>
  <si>
    <t>00:10:40:77:BA:8B</t>
  </si>
  <si>
    <t>Printer "Peppers"</t>
  </si>
  <si>
    <t>HP EliteBook 850 G7</t>
  </si>
  <si>
    <t>5CG8034QYB</t>
  </si>
  <si>
    <t>IT Spare Laptop</t>
  </si>
  <si>
    <t>AIM-TRAINING2</t>
  </si>
  <si>
    <t>AIM-TRAINING3</t>
  </si>
  <si>
    <t>HP rp5800 Retail System</t>
  </si>
  <si>
    <t>2UA4221DQ2</t>
  </si>
  <si>
    <t>T1XX - DT AGS Lower - Seal/Test 3</t>
  </si>
  <si>
    <t>10.68.134.165</t>
  </si>
  <si>
    <t>AIM-DTLWAGSSEL3</t>
  </si>
  <si>
    <t>2UA4211K5V</t>
  </si>
  <si>
    <t>PLANT-CHECK1</t>
  </si>
  <si>
    <t>2UA4211K5T</t>
  </si>
  <si>
    <t>PLANT-CHECK2</t>
  </si>
  <si>
    <t>G3FBKQ2</t>
  </si>
  <si>
    <t>DT Lower - Seal &amp; Test 2</t>
  </si>
  <si>
    <t>AIM-T1SPARE5-D</t>
  </si>
  <si>
    <t>8WQ97J2</t>
  </si>
  <si>
    <t>8WL37J2</t>
  </si>
  <si>
    <t>AIM-T1SPARE6-D</t>
  </si>
  <si>
    <t>453VCV2</t>
  </si>
  <si>
    <t>AIM-T1SPARE7-D</t>
  </si>
  <si>
    <t>6M25XH2</t>
  </si>
  <si>
    <t>AIM-T1SPARE8-D</t>
  </si>
  <si>
    <t>8WMB7J2</t>
  </si>
  <si>
    <t>AIM-T1SPARE9-D</t>
  </si>
  <si>
    <t>T1XX - AAD - Station 0.5</t>
  </si>
  <si>
    <t>AIM-DTAAD4</t>
  </si>
  <si>
    <t>T1XX - AAD - Station 3 (Pins)</t>
  </si>
  <si>
    <t>10.68.134.97</t>
  </si>
  <si>
    <t>AIM-DTAAD6</t>
  </si>
  <si>
    <t>00:10:40:77:BA:D2</t>
  </si>
  <si>
    <t>MXL1294VGF</t>
  </si>
  <si>
    <t>MXL1294VF7</t>
  </si>
  <si>
    <t>MXL50639TZ</t>
  </si>
  <si>
    <t>MXL50639QX</t>
  </si>
  <si>
    <t>MXL1294VFW</t>
  </si>
  <si>
    <t>Add / Edit Item</t>
  </si>
  <si>
    <t>What</t>
  </si>
  <si>
    <t>Manf.</t>
  </si>
  <si>
    <t>SType</t>
  </si>
  <si>
    <t>Where</t>
  </si>
  <si>
    <t>IP</t>
  </si>
  <si>
    <t>Who</t>
  </si>
  <si>
    <t>InUseAt</t>
  </si>
  <si>
    <t>NextID</t>
  </si>
  <si>
    <t>Add / Edit Multiple Items</t>
  </si>
  <si>
    <t>Change</t>
  </si>
  <si>
    <t>To</t>
  </si>
  <si>
    <t>Remove Item</t>
  </si>
  <si>
    <t>Serialized Storage Counts</t>
  </si>
  <si>
    <t xml:space="preserve">In Storage Inventory </t>
  </si>
  <si>
    <t>Serialized Storage
All - AQty - EQty - MQty</t>
  </si>
  <si>
    <t>Serialized Total
All - EQty - MQty</t>
  </si>
  <si>
    <t>Serialized - Missing</t>
  </si>
  <si>
    <t>Serialized - In Use</t>
  </si>
  <si>
    <t>No Location Defined</t>
  </si>
  <si>
    <t>Missing from Inventory
SQty - IQty</t>
  </si>
  <si>
    <t>Missing from Serialized
IQty - SQty</t>
  </si>
  <si>
    <t>IQty is total from Storage Count Table</t>
  </si>
  <si>
    <t>Quantities</t>
  </si>
  <si>
    <t>Qty is serialized count, IQty is basic count</t>
  </si>
  <si>
    <t>Faults for Fault List Filter</t>
  </si>
  <si>
    <t>IQTY</t>
  </si>
  <si>
    <t>Inventory</t>
  </si>
  <si>
    <t>In Storage Only</t>
  </si>
  <si>
    <t>IQty</t>
  </si>
  <si>
    <t>SQty</t>
  </si>
  <si>
    <t>TQty</t>
  </si>
  <si>
    <t>MQty</t>
  </si>
  <si>
    <t>AQty</t>
  </si>
  <si>
    <t>BQty</t>
  </si>
  <si>
    <t>UQty</t>
  </si>
  <si>
    <t>XQty</t>
  </si>
  <si>
    <t>Tag</t>
  </si>
  <si>
    <t>IsCounted</t>
  </si>
  <si>
    <t>DuplicateSerial</t>
  </si>
  <si>
    <t>DuplicateName</t>
  </si>
  <si>
    <t>DuplicateIP</t>
  </si>
  <si>
    <t>TQTY</t>
  </si>
  <si>
    <t>Serialized</t>
  </si>
  <si>
    <t>SQTY</t>
  </si>
  <si>
    <t>MQTY</t>
  </si>
  <si>
    <t>Missing Only</t>
  </si>
  <si>
    <t>Assigned and In Use Only</t>
  </si>
  <si>
    <t>Max(SQty - IQty, 0)</t>
  </si>
  <si>
    <t>Max(IQty - SQty, 0)</t>
  </si>
  <si>
    <t>Faults</t>
  </si>
  <si>
    <t>Storage Inventory</t>
  </si>
  <si>
    <t>Non-Matches</t>
  </si>
  <si>
    <t>Blanks</t>
  </si>
  <si>
    <t>IsValidated</t>
  </si>
  <si>
    <t>In Storage - Count Total</t>
  </si>
  <si>
    <t>All - Serialized Total</t>
  </si>
  <si>
    <t>Total In Use</t>
  </si>
  <si>
    <t>IsValidMatch</t>
  </si>
  <si>
    <t>Is Placeholder</t>
  </si>
  <si>
    <t>HP EliteDesk 705 G4 DM 35W (TAA)</t>
  </si>
  <si>
    <t>HP t510 Thin Client</t>
  </si>
  <si>
    <t>Active Directory Lookup</t>
  </si>
  <si>
    <t>computer.cn</t>
  </si>
  <si>
    <t>displayName</t>
  </si>
  <si>
    <t>computer.operatingSystem</t>
  </si>
  <si>
    <t>computer.operatingSystemVersion</t>
  </si>
  <si>
    <t>computer.mitHomeCode</t>
  </si>
  <si>
    <t>AIM-AKAZEMI-L</t>
  </si>
  <si>
    <t>Windows 10 Enterprise</t>
  </si>
  <si>
    <t>10.0 (19045)</t>
  </si>
  <si>
    <t>AIM-AUTO2-L$</t>
  </si>
  <si>
    <t>Windows 11 Enterprise</t>
  </si>
  <si>
    <t>10.0 (26100)</t>
  </si>
  <si>
    <t>AIM-AUTOMATION7$</t>
  </si>
  <si>
    <t>Windows 10 Enterprise 2016 LTSB</t>
  </si>
  <si>
    <t>10.0 (14393)</t>
  </si>
  <si>
    <t>AIM-BHEAPHY1-L$</t>
  </si>
  <si>
    <t>AIM-BKERANEN-L$</t>
  </si>
  <si>
    <t>AIM-BRANHATT-L$</t>
  </si>
  <si>
    <t>Windows 11 Pro</t>
  </si>
  <si>
    <t>Windows 10 Enterprise LTSC</t>
  </si>
  <si>
    <t>10.0 (17763)</t>
  </si>
  <si>
    <t>AIM</t>
  </si>
  <si>
    <t>AIM-BT1UPPLMTR</t>
  </si>
  <si>
    <t>10.0 (22631)</t>
  </si>
  <si>
    <t>10.0 (22621)</t>
  </si>
  <si>
    <t>10.0 (19044)</t>
  </si>
  <si>
    <t>AIM-BT1USLTST2$</t>
  </si>
  <si>
    <t>AIM-BT1XXJIT-D$</t>
  </si>
  <si>
    <t>AIM-D5CD328B53M$</t>
  </si>
  <si>
    <t>AIM-DASHBOARD5</t>
  </si>
  <si>
    <t>AIM-DISPLAY15</t>
  </si>
  <si>
    <t>AIM-DISPLAY4$</t>
  </si>
  <si>
    <t>AIM-DOCK74-D</t>
  </si>
  <si>
    <t>AIM-DPLANT-L$</t>
  </si>
  <si>
    <t>AIM-DSMAINT-D$</t>
  </si>
  <si>
    <t>AIM-DSTEAMLED-D</t>
  </si>
  <si>
    <t>AIM-DTAAD4$</t>
  </si>
  <si>
    <t>AIM-DTAAD6$</t>
  </si>
  <si>
    <t>AIM-DTAGSUPASY3$</t>
  </si>
  <si>
    <t>AIM-DTAGSUPRASS$</t>
  </si>
  <si>
    <t>AIM-DTAGSUPSEL3$</t>
  </si>
  <si>
    <t>AIM-DTAGSUPTST1$</t>
  </si>
  <si>
    <t>AIM-DTBEVFEMOP1</t>
  </si>
  <si>
    <t>AIM-DTBEVFEMOP1$</t>
  </si>
  <si>
    <t>AIM-DTBEVFEMOP2</t>
  </si>
  <si>
    <t>AIM-DTCARRIER</t>
  </si>
  <si>
    <t>Windows 10 Pro</t>
  </si>
  <si>
    <t>AIM-DTCARRIER1</t>
  </si>
  <si>
    <t>AIM-DTECM1</t>
  </si>
  <si>
    <t>AIM-DTECM2</t>
  </si>
  <si>
    <t>AIM-DTFEMDISP$</t>
  </si>
  <si>
    <t>AIM-DTKITTY$</t>
  </si>
  <si>
    <t>AIM-DTLOOKAHEAD</t>
  </si>
  <si>
    <t>AIM-DTLWAGSSEL3$</t>
  </si>
  <si>
    <t>AIM-DTMXGRL-D$</t>
  </si>
  <si>
    <t>AIM-DTSHIPSEQ2$</t>
  </si>
  <si>
    <t>AIM-DTSPARE19-D</t>
  </si>
  <si>
    <t>AIM-DTSPARE29-D</t>
  </si>
  <si>
    <t>AIM-DTTRUCK-D$</t>
  </si>
  <si>
    <t>AIM-DTUPAGSL2DS$</t>
  </si>
  <si>
    <t>AIM-ENGOMEN-D$</t>
  </si>
  <si>
    <t>AIM-FOGLIETTA-L</t>
  </si>
  <si>
    <t>AIM-FOGLIETTA-L$</t>
  </si>
  <si>
    <t>AIM-GMATHUR-L</t>
  </si>
  <si>
    <t>AIM-GMATHUR-L$</t>
  </si>
  <si>
    <t>AIM-GPOMEROY-L$</t>
  </si>
  <si>
    <t>AIM-HILL-L$</t>
  </si>
  <si>
    <t>AIM-HRMEETING</t>
  </si>
  <si>
    <t>AIM-HRTABLET1</t>
  </si>
  <si>
    <t>AIM-ILOVELL-L</t>
  </si>
  <si>
    <t>AIM-ILOVELL-L$</t>
  </si>
  <si>
    <t>AIM-INTERN2-L</t>
  </si>
  <si>
    <t>AIM-INTERN2-L$</t>
  </si>
  <si>
    <t>AIM-INTERN3-L</t>
  </si>
  <si>
    <t>AIM-JALOR-L</t>
  </si>
  <si>
    <t>AIM-JDELANEY-L$</t>
  </si>
  <si>
    <t>AIM-JKOLASSA-L</t>
  </si>
  <si>
    <t>AIM-JKOLASSA-L$</t>
  </si>
  <si>
    <t>AIM-JKONRAD-L$</t>
  </si>
  <si>
    <t>AIM-JORTISI2-L</t>
  </si>
  <si>
    <t>AIM-JORTISI-L</t>
  </si>
  <si>
    <t>AIM-JORTISI-L$</t>
  </si>
  <si>
    <t>AIM-JPALA2-L</t>
  </si>
  <si>
    <t>AIM-JPALA-L$</t>
  </si>
  <si>
    <t>AIM-JYANG-L</t>
  </si>
  <si>
    <t>AIM-KATHYB-L</t>
  </si>
  <si>
    <t>AIM-KBO-L</t>
  </si>
  <si>
    <t>AIM-KIMBONDY-L</t>
  </si>
  <si>
    <t>AIM-KYLESTAF-L</t>
  </si>
  <si>
    <t>AIM-LDAVIS-L$</t>
  </si>
  <si>
    <t>AIM-LOBBY2-T</t>
  </si>
  <si>
    <t>AIM-LRAYNER-L</t>
  </si>
  <si>
    <t>AIM-MATCLIENT-D</t>
  </si>
  <si>
    <t>AIM-MATCLIENT-D$</t>
  </si>
  <si>
    <t>AIM-MFOURNIER3</t>
  </si>
  <si>
    <t>AIM-MgrTab1-t</t>
  </si>
  <si>
    <t>10.0 (19042)</t>
  </si>
  <si>
    <t>AIMMSDC41</t>
  </si>
  <si>
    <t>Windows Server 2019 Standard</t>
  </si>
  <si>
    <t>Windows Server 2022 Standard</t>
  </si>
  <si>
    <t>10.0 (20348)</t>
  </si>
  <si>
    <t>AIM-PC18-L$</t>
  </si>
  <si>
    <t>AIM-PC22-L$</t>
  </si>
  <si>
    <t>AIM-PC23-L$</t>
  </si>
  <si>
    <t>AIM-PC33-L$</t>
  </si>
  <si>
    <t>AIM-PC37-L$</t>
  </si>
  <si>
    <t>AIM-PC41-L$</t>
  </si>
  <si>
    <t>AIM-PC44-L$</t>
  </si>
  <si>
    <t>AIM-PC47B-L</t>
  </si>
  <si>
    <t>AIM-PC47-L$</t>
  </si>
  <si>
    <t>AIM-PC48-L$</t>
  </si>
  <si>
    <t>AIM-PC57-L$</t>
  </si>
  <si>
    <t>AIM-PC63-L$</t>
  </si>
  <si>
    <t>AIM-PC80-T$</t>
  </si>
  <si>
    <t>AIM-PC81-L</t>
  </si>
  <si>
    <t>AIM-PRESS1-T</t>
  </si>
  <si>
    <t>AIMPRESS3-HMI$</t>
  </si>
  <si>
    <t>AIMPRESS5-HMI$</t>
  </si>
  <si>
    <t>AIM-PRESS6</t>
  </si>
  <si>
    <t>AIMPRESS6-HMI</t>
  </si>
  <si>
    <t>Windows 11 IoT Enterprise LTSC</t>
  </si>
  <si>
    <t>AIM-PRESS7</t>
  </si>
  <si>
    <t>AIMPRESS7-HMI</t>
  </si>
  <si>
    <t>AIM-PRODUCTION4</t>
  </si>
  <si>
    <t>AIM-QUALCOVE-D</t>
  </si>
  <si>
    <t>AIM-QUALGAGE3</t>
  </si>
  <si>
    <t>AIM-QUALITY1-L$</t>
  </si>
  <si>
    <t>AIM-QUALITY3-L</t>
  </si>
  <si>
    <t>AIM-QUALITY5-D$</t>
  </si>
  <si>
    <t>AIM-QUALITY7-D</t>
  </si>
  <si>
    <t>AIM-QUALITY7-D$</t>
  </si>
  <si>
    <t>AIM-RASLJANIN-L</t>
  </si>
  <si>
    <t>AIM-RLYLES-L</t>
  </si>
  <si>
    <t>AIM-RLYLES-L$</t>
  </si>
  <si>
    <t>AIM-RWHEATER-L$</t>
  </si>
  <si>
    <t>AIM-SERVICE2-D$</t>
  </si>
  <si>
    <t>AIM-SHIPPING3-D$</t>
  </si>
  <si>
    <t>AIM-SHIPPINGTAB</t>
  </si>
  <si>
    <t>AIM-SHIPPINGTAB$</t>
  </si>
  <si>
    <t>AIM-SHIPTAB1</t>
  </si>
  <si>
    <t>AIM-SHIPTABLET1</t>
  </si>
  <si>
    <t>6.3 (9600)</t>
  </si>
  <si>
    <t>AIM-SRVT1CHVASS$</t>
  </si>
  <si>
    <t>AIM-SRVT1CHVSEA$</t>
  </si>
  <si>
    <t>AIM-SRVT1CHVTES$</t>
  </si>
  <si>
    <t>AIM-SRVT1GMCASS$</t>
  </si>
  <si>
    <t>AIM-SRVT1GMCSEA$</t>
  </si>
  <si>
    <t>AIM-SRVT1GMCTES$</t>
  </si>
  <si>
    <t>AIM-SURFACE10-T$</t>
  </si>
  <si>
    <t>TEA</t>
  </si>
  <si>
    <t>AIM-SURFACE11-T$</t>
  </si>
  <si>
    <t>AIM-SURFACE1-T$</t>
  </si>
  <si>
    <t>AIM-SUVSEAL1DSP</t>
  </si>
  <si>
    <t>AIM-SUVSEAL2DSP</t>
  </si>
  <si>
    <t>AIM-T1LDCHVASY1$</t>
  </si>
  <si>
    <t>AIM-T1LDGMCASY2$</t>
  </si>
  <si>
    <t>AIM-T1LDGMCASYY</t>
  </si>
  <si>
    <t>AIM-T1X2LWRA1</t>
  </si>
  <si>
    <t>AIM-T1X2LWRA2</t>
  </si>
  <si>
    <t>AIM-T1X2LWRA3</t>
  </si>
  <si>
    <t>AIM-TEAMLEAD6-D</t>
  </si>
  <si>
    <t>AIMTEAMLEADT1$</t>
  </si>
  <si>
    <t>AIM-TMCLARTY</t>
  </si>
  <si>
    <t>AIM-TRAINING1$</t>
  </si>
  <si>
    <t>AIM-TRAINING2$</t>
  </si>
  <si>
    <t>AIM-TRAINING3$</t>
  </si>
  <si>
    <t>AIM-TRAINING4</t>
  </si>
  <si>
    <t>AIM-TRAINING4$</t>
  </si>
  <si>
    <t>AIM-TWICART-L$</t>
  </si>
  <si>
    <t>AIMWRNAPP01-NEW$</t>
  </si>
  <si>
    <t>Windows Server 2008 R2 Standard</t>
  </si>
  <si>
    <t>6.1 (7601)</t>
  </si>
  <si>
    <t>AIMWRNBLCK-OLD</t>
  </si>
  <si>
    <t>Windows Server 2016 Standard</t>
  </si>
  <si>
    <t>AIMWRNCOM05$</t>
  </si>
  <si>
    <t>AIMWRNDETECTIT2</t>
  </si>
  <si>
    <t>AIMWRNDETECTIT2$</t>
  </si>
  <si>
    <t>unknown</t>
  </si>
  <si>
    <t>AIMWRNMRP01$</t>
  </si>
  <si>
    <t>AIMWRNMRP01-NEW</t>
  </si>
  <si>
    <t>AIMWRNNYSSQL$</t>
  </si>
  <si>
    <t>AIMWRNNYSSQL-OL$</t>
  </si>
  <si>
    <t>AIMWRNOPC01$</t>
  </si>
  <si>
    <t>AIMWRNPIC</t>
  </si>
  <si>
    <t>AIMWRNVC01$</t>
  </si>
  <si>
    <t>SLES</t>
  </si>
  <si>
    <t>11</t>
  </si>
  <si>
    <t>AIMWS5CD328B4Y9$</t>
  </si>
  <si>
    <t>AIMWS5CD328B530$</t>
  </si>
  <si>
    <t>AIMWS5CD328B53M$</t>
  </si>
  <si>
    <t>AIMWS5CD328B54S$</t>
  </si>
  <si>
    <t>AIM-WSAGSL1HMI</t>
  </si>
  <si>
    <t>AIM-WSAGSL1HMI$</t>
  </si>
  <si>
    <t>AIM-WSAGSTSTHMI</t>
  </si>
  <si>
    <t>AIM-WSAGSTSTHMI$</t>
  </si>
  <si>
    <t>AIM-WSAGSUPSEL1</t>
  </si>
  <si>
    <t>AIM-WSAGSUPSEL1$</t>
  </si>
  <si>
    <t>AIM-WSAGSUPTST1</t>
  </si>
  <si>
    <t>AIM-WSAGSUPTST1$</t>
  </si>
  <si>
    <t>AIM-WSASY1HMI</t>
  </si>
  <si>
    <t>AIM-WSASY1HMI$</t>
  </si>
  <si>
    <t>AIM-WSASY2HMI</t>
  </si>
  <si>
    <t>AIM-WSASY2HMI$</t>
  </si>
  <si>
    <t>AIM-WSEOL-D</t>
  </si>
  <si>
    <t>AIM-WSFEM52</t>
  </si>
  <si>
    <t>AIM-WSFEM53</t>
  </si>
  <si>
    <t>AIM-WSFEM54</t>
  </si>
  <si>
    <t>AIM-WSFEM55</t>
  </si>
  <si>
    <t>AIM-WSFEM56</t>
  </si>
  <si>
    <t>AIM-WSHLASSY1-D</t>
  </si>
  <si>
    <t>AIM-WSUPAGSASY1</t>
  </si>
  <si>
    <t>AIM-WSUPAGSASY1$</t>
  </si>
  <si>
    <t>AIM-WSUPAGSASY2</t>
  </si>
  <si>
    <t>AIM-WSUPAGSASY2$</t>
  </si>
  <si>
    <t>AIM-WSWHTURNT</t>
  </si>
  <si>
    <t>AIM-ZEBRAMAT2-T</t>
  </si>
  <si>
    <t>AIM-ZEBRAMAT3-T</t>
  </si>
  <si>
    <t>10.0 (26200)</t>
  </si>
  <si>
    <t>AIM-PRODUCTION5</t>
  </si>
  <si>
    <t>AIM-PRODUCTION8</t>
  </si>
  <si>
    <t>AIM-WSFEM60</t>
  </si>
  <si>
    <t>AIM-SUVSWAP1-D$</t>
  </si>
  <si>
    <t>Needs Upgrade</t>
  </si>
  <si>
    <t>Row Labels</t>
  </si>
  <si>
    <t>Grand Total</t>
  </si>
  <si>
    <t>Count of OS Version</t>
  </si>
  <si>
    <t>10.0 (19042) Total</t>
  </si>
  <si>
    <t>10.0 (19044) Total</t>
  </si>
  <si>
    <t>10.0 (19045) Total</t>
  </si>
  <si>
    <t>(Multiple Items)</t>
  </si>
  <si>
    <t>Windows 10 Enterprise Total</t>
  </si>
  <si>
    <t>Windows 10 Pro Total</t>
  </si>
  <si>
    <t>Needs Serial, Location</t>
  </si>
  <si>
    <t>distinguishedName</t>
  </si>
  <si>
    <t>CN=AIM-AKAZEMI-L,OU=Automation,OU=Intune,OU=Computers,OU=AIM,OU=America,OU=Exteriors,OU=Magna Group,DC=magna,DC=global</t>
  </si>
  <si>
    <t>CN=AIM-CONTROLS1,OU=Automation,OU=Intune,OU=Computers,OU=AIM,OU=America,OU=Exteriors,OU=Magna Group,DC=magna,DC=global</t>
  </si>
  <si>
    <t>CN=AIM-DOCK74-D,OU=Materials,OU=Intune,OU=Computers,OU=AIM,OU=America,OU=Exteriors,OU=Magna Group,DC=magna,DC=global</t>
  </si>
  <si>
    <t>CN=AIM-DTBEVFEMOP2,OU=Production-DT,OU=Computers,OU=AIM,OU=America,OU=Exteriors,OU=Magna Group,DC=magna,DC=global</t>
  </si>
  <si>
    <t>CN=AIM-DTFEMMAIN,OU=Maintenance,OU=Intune,OU=Computers,OU=AIM,OU=America,OU=Exteriors,OU=Magna Group,DC=magna,DC=global</t>
  </si>
  <si>
    <t>CN=AIM-GHIFKO-L,OU=Automation,OU=Intune,OU=Computers,OU=AIM,OU=America,OU=Exteriors,OU=Magna Group,DC=magna,DC=global</t>
  </si>
  <si>
    <t>CN=AIM-INTERN3-L,OU=Intune,OU=Computers,OU=AIM,OU=America,OU=Exteriors,OU=Magna Group,DC=magna,DC=global</t>
  </si>
  <si>
    <t>CN=AIM-JALOR-L,OU=Management,OU=Intune,OU=Computers,OU=AIM,OU=America,OU=Exteriors,OU=Magna Group,DC=magna,DC=global</t>
  </si>
  <si>
    <t>CN=AIM-JEFFMCDO-L,OU=Automation,OU=Intune,OU=Computers,OU=AIM,OU=America,OU=Exteriors,OU=Magna Group,DC=magna,DC=global</t>
  </si>
  <si>
    <t>CN=AIM-JORTISI2-L,OU=Program Management,OU=Intune,OU=Computers,OU=AIM,OU=America,OU=Exteriors,OU=Magna Group,DC=magna,DC=global</t>
  </si>
  <si>
    <t>CN=AIM-JPALA2-L,OU=Purchasing,OU=Intune,OU=Computers,OU=AIM,OU=America,OU=Exteriors,OU=Magna Group,DC=magna,DC=global</t>
  </si>
  <si>
    <t>CN=AIM-JYANG-L,OU=Maintenance,OU=Intune,OU=Computers,OU=AIM,OU=America,OU=Exteriors,OU=Magna Group,DC=magna,DC=global</t>
  </si>
  <si>
    <t>CN=AIM-KBO-L,OU=IT,OU=Intune,OU=Computers,OU=AIM,OU=America,OU=Exteriors,OU=Magna Group,DC=magna,DC=global</t>
  </si>
  <si>
    <t>CN=AIM-KIMBONDY-L,OU=Intune,OU=Computers,OU=AIM,OU=America,OU=Exteriors,OU=Magna Group,DC=magna,DC=global</t>
  </si>
  <si>
    <t>CN=AIM-KYLESTAF-L,OU=Quality,OU=Intune,OU=Computers,OU=AIM,OU=America,OU=Exteriors,OU=Magna Group,DC=magna,DC=global</t>
  </si>
  <si>
    <t>CN=AIM-LRAYNER-L,OU=Production users,OU=Intune,OU=Computers,OU=AIM,OU=America,OU=Exteriors,OU=Magna Group,DC=magna,DC=global</t>
  </si>
  <si>
    <t>CN=AIM-MATCLERK-D,OU=Materials,OU=Intune,OU=Computers,OU=AIM,OU=America,OU=Exteriors,OU=Magna Group,DC=magna,DC=global</t>
  </si>
  <si>
    <t>CN=AIM-MFOURNIER3,OU=IT,OU=Intune,OU=Computers,OU=AIM,OU=America,OU=Exteriors,OU=Magna Group,DC=magna,DC=global</t>
  </si>
  <si>
    <t>CN=AIM-PC10-L,OU=Intune,OU=Computers,OU=AIM,OU=America,OU=Exteriors,OU=Magna Group,DC=magna,DC=global</t>
  </si>
  <si>
    <t>CN=AIM-PC11-L,OU=Intune,OU=Computers,OU=AIM,OU=America,OU=Exteriors,OU=Magna Group,DC=magna,DC=global</t>
  </si>
  <si>
    <t>CN=AIM-PC13-L,OU=IT,OU=Intune,OU=Computers,OU=AIM,OU=America,OU=Exteriors,OU=Magna Group,DC=magna,DC=global</t>
  </si>
  <si>
    <t>CN=AIM-PC2-L,OU=Intune,OU=Computers,OU=AIM,OU=America,OU=Exteriors,OU=Magna Group,DC=magna,DC=global</t>
  </si>
  <si>
    <t>CN=AIM-PC20-L,OU=Intune,OU=Computers,OU=AIM,OU=America,OU=Exteriors,OU=Magna Group,DC=magna,DC=global</t>
  </si>
  <si>
    <t>CN=AIM-PC21-L,OU=Intune,OU=Computers,OU=AIM,OU=America,OU=Exteriors,OU=Magna Group,DC=magna,DC=global</t>
  </si>
  <si>
    <t>CN=AIM-PC25-L,OU=Materials,OU=Intune,OU=Computers,OU=AIM,OU=America,OU=Exteriors,OU=Magna Group,DC=magna,DC=global</t>
  </si>
  <si>
    <t>CN=AIM-PC27-L,OU=Intune,OU=Computers,OU=AIM,OU=America,OU=Exteriors,OU=Magna Group,DC=magna,DC=global</t>
  </si>
  <si>
    <t>CN=AIM-PC28-L,OU=Management,OU=Intune,OU=Computers,OU=AIM,OU=America,OU=Exteriors,OU=Magna Group,DC=magna,DC=global</t>
  </si>
  <si>
    <t>CN=AIM-PC3-L,OU=Management,OU=Intune,OU=Computers,OU=AIM,OU=America,OU=Exteriors,OU=Magna Group,DC=magna,DC=global</t>
  </si>
  <si>
    <t>CN=AIM-PC30-L,OU=Intune,OU=Computers,OU=AIM,OU=America,OU=Exteriors,OU=Magna Group,DC=magna,DC=global</t>
  </si>
  <si>
    <t>CN=AIM-PC35-L,OU=Intune,OU=Computers,OU=AIM,OU=America,OU=Exteriors,OU=Magna Group,DC=magna,DC=global</t>
  </si>
  <si>
    <t>CN=AIM-PC36-L,OU=Finance,OU=Intune,OU=Computers,OU=AIM,OU=America,OU=Exteriors,OU=Magna Group,DC=magna,DC=global</t>
  </si>
  <si>
    <t>CN=AIM-PC38-L,OU=Quality,OU=Intune,OU=Computers,OU=AIM,OU=America,OU=Exteriors,OU=Magna Group,DC=magna,DC=global</t>
  </si>
  <si>
    <t>CN=AIM-PC39-L,OU=Intune,OU=Computers,OU=AIM,OU=America,OU=Exteriors,OU=Magna Group,DC=magna,DC=global</t>
  </si>
  <si>
    <t>CN=AIM-PC40-L,OU=Materials,OU=Intune,OU=Computers,OU=AIM,OU=America,OU=Exteriors,OU=Magna Group,DC=magna,DC=global</t>
  </si>
  <si>
    <t>CN=AIM-PC52-L,OU=Sales,OU=Intune,OU=Computers,OU=AIM,OU=America,OU=Exteriors,OU=Magna Group,DC=magna,DC=global</t>
  </si>
  <si>
    <t>CN=AIM-PC54-L,OU=Program Management,OU=Intune,OU=Computers,OU=AIM,OU=America,OU=Exteriors,OU=Magna Group,DC=magna,DC=global</t>
  </si>
  <si>
    <t>CN=AIM-PC55-T,OU=Materials,OU=Intune,OU=Computers,OU=AIM,OU=America,OU=Exteriors,OU=Magna Group,DC=magna,DC=global</t>
  </si>
  <si>
    <t>CN=AIM-PC56-L,OU=Purchasing,OU=Intune,OU=Computers,OU=AIM,OU=America,OU=Exteriors,OU=Magna Group,DC=magna,DC=global</t>
  </si>
  <si>
    <t>CN=AIM-PC58-L,OU=Quality,OU=Intune,OU=Computers,OU=AIM,OU=America,OU=Exteriors,OU=Magna Group,DC=magna,DC=global</t>
  </si>
  <si>
    <t>CN=AIM-PC59-L,OU=Engineering,OU=Intune,OU=Computers,OU=AIM,OU=America,OU=Exteriors,OU=Magna Group,DC=magna,DC=global</t>
  </si>
  <si>
    <t>CN=AIM-PC62-L,OU=Intune,OU=Computers,OU=AIM,OU=America,OU=Exteriors,OU=Magna Group,DC=magna,DC=global</t>
  </si>
  <si>
    <t>CN=AIM-PC64-L,OU=Intune,OU=Computers,OU=AIM,OU=America,OU=Exteriors,OU=Magna Group,DC=magna,DC=global</t>
  </si>
  <si>
    <t>CN=AIM-PC65-L,OU=IT,OU=Intune,OU=Computers,OU=AIM,OU=America,OU=Exteriors,OU=Magna Group,DC=magna,DC=global</t>
  </si>
  <si>
    <t>CN=AIM-PC68-L,OU=Intune,OU=Computers,OU=AIM,OU=America,OU=Exteriors,OU=Magna Group,DC=magna,DC=global</t>
  </si>
  <si>
    <t>CN=AIM-PC7-L,OU=Intune,OU=Computers,OU=AIM,OU=America,OU=Exteriors,OU=Magna Group,DC=magna,DC=global</t>
  </si>
  <si>
    <t>CN=AIM-PC70-L,OU=Intune,OU=Computers,OU=AIM,OU=America,OU=Exteriors,OU=Magna Group,DC=magna,DC=global</t>
  </si>
  <si>
    <t>CN=AIM-PC73-L,OU=Program Management,OU=Intune,OU=Computers,OU=AIM,OU=America,OU=Exteriors,OU=Magna Group,DC=magna,DC=global</t>
  </si>
  <si>
    <t>CN=AIM-PC74-L,OU=Materials,OU=Intune,OU=Computers,OU=AIM,OU=America,OU=Exteriors,OU=Magna Group,DC=magna,DC=global</t>
  </si>
  <si>
    <t>CN=AIM-PC76-L,OU=IT,OU=Intune,OU=Computers,OU=AIM,OU=America,OU=Exteriors,OU=Magna Group,DC=magna,DC=global</t>
  </si>
  <si>
    <t>CN=AIM-PC77-L,OU=Intune,OU=Computers,OU=AIM,OU=America,OU=Exteriors,OU=Magna Group,DC=magna,DC=global</t>
  </si>
  <si>
    <t>CN=AIM-PC78-L,OU=Intune,OU=Computers,OU=AIM,OU=America,OU=Exteriors,OU=Magna Group,DC=magna,DC=global</t>
  </si>
  <si>
    <t>CN=AIM-PC79-L,OU=Materials,OU=Intune,OU=Computers,OU=AIM,OU=America,OU=Exteriors,OU=Magna Group,DC=magna,DC=global</t>
  </si>
  <si>
    <t>CN=AIM-PC8-L,OU=Intune,OU=Computers,OU=AIM,OU=America,OU=Exteriors,OU=Magna Group,DC=magna,DC=global</t>
  </si>
  <si>
    <t>CN=AIM-PRESS1-T,OU=Production-Line,OU=Computers,OU=AIM,OU=America,OU=Exteriors,OU=Magna Group,DC=magna,DC=global</t>
  </si>
  <si>
    <t>CN=AIM-PRTGDISP,OU=Production-DT,OU=Computers,OU=AIM,OU=America,OU=Exteriors,OU=Magna Group,DC=magna,DC=global</t>
  </si>
  <si>
    <t>CN=AIM-QUALCOVE-D,OU=Quality,OU=Intune,OU=Computers,OU=AIM,OU=America,OU=Exteriors,OU=Magna Group,DC=magna,DC=global</t>
  </si>
  <si>
    <t>CN=AIM-QUALGAGE2-L,OU=Quality,OU=Intune,OU=Computers,OU=AIM,OU=America,OU=Exteriors,OU=Magna Group,DC=magna,DC=global</t>
  </si>
  <si>
    <t>CN=AIM-RASLJANIN-L,OU=Intune,OU=Computers,OU=AIM,OU=America,OU=Exteriors,OU=Magna Group,DC=magna,DC=global</t>
  </si>
  <si>
    <t>CN=AIM-RSCOTT-L,OU=Intune,OU=Computers,OU=AIM,OU=America,OU=Exteriors,OU=Magna Group,DC=magna,DC=global</t>
  </si>
  <si>
    <t>CN=AIM-T1X2LWRA1,OU=Production-DT,OU=Computers,OU=AIM,OU=America,OU=Exteriors,OU=Magna Group,DC=magna,DC=global</t>
  </si>
  <si>
    <t>CN=AIM-TLFEM-D,OU=Production users,OU=Intune,OU=Computers,OU=AIM,OU=America,OU=Exteriors,OU=Magna Group,DC=magna,DC=global</t>
  </si>
  <si>
    <t>CN=AIM-TMCLARTY,OU=Materials,OU=Intune,OU=Computers,OU=AIM,OU=America,OU=Exteriors,OU=Magna Group,DC=magna,DC=global</t>
  </si>
  <si>
    <t>CN=AIM-WSAGSDISP-L,OU=Production-Line,OU=Computers,OU=AIM,OU=America,OU=Exteriors,OU=Magna Group,DC=magna,DC=global</t>
  </si>
  <si>
    <t>CN=AIMWSSTT27E12BP,OU=Intune,OU=Computers,OU=AIM,OU=America,OU=Exteriors,OU=Magna Group,DC=magna,DC=global</t>
  </si>
  <si>
    <t>CN=AIM-AUTOMATION9,OU=Automation,OU=Intune,OU=Computers,OU=AIM,OU=America,OU=Exteriors,OU=Magna Group,DC=magna,DC=global</t>
  </si>
  <si>
    <t>CN=AIM-BT1LWRASSY,OU=Production-DT,OU=Computers,OU=AIM,OU=America,OU=Exteriors,OU=Magna Group,DC=magna,DC=global</t>
  </si>
  <si>
    <t>CN=AIM-BT1UPRSLTST,OU=Production-DT,OU=Computers,OU=AIM,OU=America,OU=Exteriors,OU=Magna Group,DC=magna,DC=global</t>
  </si>
  <si>
    <t>CN=AIM-DASHBOARD5,OU=Production-DT,OU=Computers,OU=AIM,OU=America,OU=Exteriors,OU=Magna Group,DC=magna,DC=global</t>
  </si>
  <si>
    <t>CN=AIM-DISPLAY13,OU=Production-DT,OU=Computers,OU=AIM,OU=America,OU=Exteriors,OU=Magna Group,DC=magna,DC=global</t>
  </si>
  <si>
    <t>CN=AIM-DISPLAY15,OU=Production-DT,OU=Computers,OU=AIM,OU=America,OU=Exteriors,OU=Magna Group,DC=magna,DC=global</t>
  </si>
  <si>
    <t>CN=AIM-DISPLAY16,OU=Production-DT,OU=Computers,OU=AIM,OU=America,OU=Exteriors,OU=Magna Group,DC=magna,DC=global</t>
  </si>
  <si>
    <t>CN=AIM-DTAGSLOWDSP,OU=Production-DT,OU=Computers,OU=AIM,OU=America,OU=Exteriors,OU=Magna Group,DC=magna,DC=global</t>
  </si>
  <si>
    <t>CN=AIM-DTBEVASSY1,OU=Production-DT,OU=Computers,OU=AIM,OU=America,OU=Exteriors,OU=Magna Group,DC=magna,DC=global</t>
  </si>
  <si>
    <t>CN=AIM-DTSPARE20-D,OU=Production-DT,OU=Computers,OU=AIM,OU=America,OU=Exteriors,OU=Magna Group,DC=magna,DC=global</t>
  </si>
  <si>
    <t>CN=AIM-DTSPARE25-D,OU=Production-DT,OU=Computers,OU=AIM,OU=America,OU=Exteriors,OU=Magna Group,DC=magna,DC=global</t>
  </si>
  <si>
    <t>CN=AIM-DTSPARE28-D,OU=Production-DT,OU=Computers,OU=AIM,OU=America,OU=Exteriors,OU=Magna Group,DC=magna,DC=global</t>
  </si>
  <si>
    <t>CN=AIM-HRMEETING,OU=Intune,OU=Computers,OU=AIM,OU=America,OU=Exteriors,OU=Magna Group,DC=magna,DC=global</t>
  </si>
  <si>
    <t>CN=AIM-HRTABLET1,OU=HR,OU=Intune,OU=Computers,OU=AIM,OU=America,OU=Exteriors,OU=Magna Group,DC=magna,DC=global</t>
  </si>
  <si>
    <t>CN=AIM-INTERN-L,OU=Engineering,OU=Intune,OU=Computers,OU=AIM,OU=America,OU=Exteriors,OU=Magna Group,DC=magna,DC=global</t>
  </si>
  <si>
    <t>CN=AIM-ITBKUP01-D,OU=IT Computers Spare,OU=IT,OU=Computers,OU=AIM,OU=America,OU=Exteriors,OU=Magna Group,DC=magna,DC=global</t>
  </si>
  <si>
    <t>CN=AIM-ITSPARE-L,OU=IT Computers Spare,OU=IT,OU=Computers,OU=AIM,OU=America,OU=Exteriors,OU=Magna Group,DC=magna,DC=global</t>
  </si>
  <si>
    <t>CN=AIM-ITSPARE81-L,OU=Intune,OU=Computers,OU=AIM,OU=America,OU=Exteriors,OU=Magna Group,DC=magna,DC=global</t>
  </si>
  <si>
    <t>CN=AIM-LOBBY2-T,OU=Production-DT,OU=Computers,OU=AIM,OU=America,OU=Exteriors,OU=Magna Group,DC=magna,DC=global</t>
  </si>
  <si>
    <t>CN=AIM-MANUALMODE,OU=Production-DT,OU=Computers,OU=AIM,OU=America,OU=Exteriors,OU=Magna Group,DC=magna,DC=global</t>
  </si>
  <si>
    <t>CN=AIM-MDIALLO-L,OU=IT,OU=Intune,OU=Computers,OU=AIM,OU=America,OU=Exteriors,OU=Magna Group,DC=magna,DC=global</t>
  </si>
  <si>
    <t>CN=AIM-MOLDTECH-D,OU=Molding,OU=Intune,OU=Computers,OU=AIM,OU=America,OU=Exteriors,OU=Magna Group,DC=magna,DC=global</t>
  </si>
  <si>
    <t>CN=AIM-MPILIBOS-L,OU=Quality,OU=Intune,OU=Computers,OU=AIM,OU=America,OU=Exteriors,OU=Magna Group,DC=magna,DC=global</t>
  </si>
  <si>
    <t>CN=AIM-OFFICEFEM2,OU=Production-DT,OU=Computers,OU=AIM,OU=America,OU=Exteriors,OU=Magna Group,DC=magna,DC=global</t>
  </si>
  <si>
    <t>CN=AIM-PC14-L,OU=Intune,OU=Computers,OU=AIM,OU=America,OU=Exteriors,OU=Magna Group,DC=magna,DC=global</t>
  </si>
  <si>
    <t>CN=AIM-PC15-L,OU=Intune,OU=Computers,OU=AIM,OU=America,OU=Exteriors,OU=Magna Group,DC=magna,DC=global</t>
  </si>
  <si>
    <t>CN=AIM-PC17-L,OU=IT,OU=Intune,OU=Computers,OU=AIM,OU=America,OU=Exteriors,OU=Magna Group,DC=magna,DC=global</t>
  </si>
  <si>
    <t>CN=AIM-PC31-L,OU=Intune,OU=Computers,OU=AIM,OU=America,OU=Exteriors,OU=Magna Group,DC=magna,DC=global</t>
  </si>
  <si>
    <t>CN=AIM-PC49-L,OU=Intune,OU=Computers,OU=AIM,OU=America,OU=Exteriors,OU=Magna Group,DC=magna,DC=global</t>
  </si>
  <si>
    <t>CN=AIM-PC51-L,OU=Intune,OU=Computers,OU=AIM,OU=America,OU=Exteriors,OU=Magna Group,DC=magna,DC=global</t>
  </si>
  <si>
    <t>CN=AIM-PC60-L,OU=Intune,OU=Computers,OU=AIM,OU=America,OU=Exteriors,OU=Magna Group,DC=magna,DC=global</t>
  </si>
  <si>
    <t>CN=AIM-PC61-L,OU=Intune,OU=Computers,OU=AIM,OU=America,OU=Exteriors,OU=Magna Group,DC=magna,DC=global</t>
  </si>
  <si>
    <t>CN=AIM-PC71-L,OU=Intune,OU=Computers,OU=AIM,OU=America,OU=Exteriors,OU=Magna Group,DC=magna,DC=global</t>
  </si>
  <si>
    <t>CN=AIM-PC81-L,OU=Production users,OU=Intune,OU=Computers,OU=AIM,OU=America,OU=Exteriors,OU=Magna Group,DC=magna,DC=global</t>
  </si>
  <si>
    <t>CN=AIM-PC9-L,OU=Intune,OU=Computers,OU=AIM,OU=America,OU=Exteriors,OU=Magna Group,DC=magna,DC=global</t>
  </si>
  <si>
    <t>CN=AIM-PRESS6,OU=Production-DT,OU=Computers,OU=AIM,OU=America,OU=Exteriors,OU=Magna Group,DC=magna,DC=global</t>
  </si>
  <si>
    <t>CN=AIM-PRESS7,OU=Production-DT,OU=Computers,OU=AIM,OU=America,OU=Exteriors,OU=Magna Group,DC=magna,DC=global</t>
  </si>
  <si>
    <t>CN=AIM-QTECH4-D,OU=Quality,OU=Intune,OU=Computers,OU=AIM,OU=America,OU=Exteriors,OU=Magna Group,DC=magna,DC=global</t>
  </si>
  <si>
    <t>CN=AIM-QUALGAGE3,OU=Quality,OU=Intune,OU=Computers,OU=AIM,OU=America,OU=Exteriors,OU=Magna Group,DC=magna,DC=global</t>
  </si>
  <si>
    <t>CN=AIM-QUALITY2-L,OU=Quality,OU=Intune,OU=Computers,OU=AIM,OU=America,OU=Exteriors,OU=Magna Group,DC=magna,DC=global</t>
  </si>
  <si>
    <t>CN=AIM-SDIFILIPPO,OU=Intune,OU=Computers,OU=AIM,OU=America,OU=Exteriors,OU=Magna Group,DC=magna,DC=global</t>
  </si>
  <si>
    <t>CN=AIM-SHIPTAB1,OU=Production-DT,OU=Computers,OU=AIM,OU=America,OU=Exteriors,OU=Magna Group,DC=magna,DC=global</t>
  </si>
  <si>
    <t>CN=AIM-SUVSEAL1DSP,OU=Production-DT,OU=Computers,OU=AIM,OU=America,OU=Exteriors,OU=Magna Group,DC=magna,DC=global</t>
  </si>
  <si>
    <t>CN=AIM-SUVSEAL2DSP,OU=Production-DT,OU=Computers,OU=AIM,OU=America,OU=Exteriors,OU=Magna Group,DC=magna,DC=global</t>
  </si>
  <si>
    <t>CN=AIM-T1DCHVTEST,OU=Production-DT,OU=Computers,OU=AIM,OU=America,OU=Exteriors,OU=Magna Group,DC=magna,DC=global</t>
  </si>
  <si>
    <t>CN=AIM-T1DGMCPACK,OU=Production-DT,OU=Computers,OU=AIM,OU=America,OU=Exteriors,OU=Magna Group,DC=magna,DC=global</t>
  </si>
  <si>
    <t>CN=AIM-T1LDCHVASY2,OU=Production-DT,OU=Computers,OU=AIM,OU=America,OU=Exteriors,OU=Magna Group,DC=magna,DC=global</t>
  </si>
  <si>
    <t>CN=AIM-T1LDCHVSEA1,OU=Production-DT,OU=Computers,OU=AIM,OU=America,OU=Exteriors,OU=Magna Group,DC=magna,DC=global</t>
  </si>
  <si>
    <t>CN=AIM-T1LDGMCASYY,OU=Production-DT,OU=Computers,OU=AIM,OU=America,OU=Exteriors,OU=Magna Group,DC=magna,DC=global</t>
  </si>
  <si>
    <t>CN=AIM-T1LDGMCSEAL,OU=Production-DT,OU=Computers,OU=AIM,OU=America,OU=Exteriors,OU=Magna Group,DC=magna,DC=global</t>
  </si>
  <si>
    <t>CN=AIM-T1LDGMCTEST,OU=Production-DT,OU=Computers,OU=AIM,OU=America,OU=Exteriors,OU=Magna Group,DC=magna,DC=global</t>
  </si>
  <si>
    <t>CN=AIM-T1LWASYTST4,OU=Production-DT,OU=Computers,OU=AIM,OU=America,OU=Exteriors,OU=Magna Group,DC=magna,DC=global</t>
  </si>
  <si>
    <t>CN=AIM-T1LWPACK2,OU=Production-DT,OU=Computers,OU=AIM,OU=America,OU=Exteriors,OU=Magna Group,DC=magna,DC=global</t>
  </si>
  <si>
    <t>CN=AIM-T1X2LWRA3,OU=Production-DT,OU=Computers,OU=AIM,OU=America,OU=Exteriors,OU=Magna Group,DC=magna,DC=global</t>
  </si>
  <si>
    <t>CN=AIM-TLAAD-D,OU=Production users,OU=Intune,OU=Computers,OU=AIM,OU=America,OU=Exteriors,OU=Magna Group,DC=magna,DC=global</t>
  </si>
  <si>
    <t>CN=AIM-WRN-ESX9,OU=ESX Host,OU=Servers,OU=AIM,OU=America,OU=Exteriors,OU=Magna Group,DC=magna,DC=global</t>
  </si>
  <si>
    <t>CN=AIM-WSEOL-D,OU=Production-Line,OU=Computers,OU=AIM,OU=America,OU=Exteriors,OU=Magna Group,DC=magna,DC=global</t>
  </si>
  <si>
    <t>CN=AIM-WSFEM26,OU=Production-Line,OU=Computers,OU=AIM,OU=America,OU=Exteriors,OU=Magna Group,DC=magna,DC=global</t>
  </si>
  <si>
    <t>CN=AIM-WSFEM60,OU=Production,OU=Computers,OU=AIM,OU=America,OU=Exteriors,OU=Magna Group,DC=magna,DC=global</t>
  </si>
  <si>
    <t>CN=AIM-WSHLASSY1-D,OU=Production-Line,OU=Computers,OU=AIM,OU=America,OU=Exteriors,OU=Magna Group,DC=magna,DC=global</t>
  </si>
  <si>
    <t>CN=AIMMSDC41,OU=Domain Controllers,DC=magna,DC=global</t>
  </si>
  <si>
    <t>CN=AIMNYSSQL02-NEW,OU=Servers,OU=AIM,OU=America,OU=Exteriors,OU=Magna Group,DC=magna,DC=global</t>
  </si>
  <si>
    <t>CN=AIMPRESS6-HMI,OU=Production-DT,OU=Computers,OU=AIM,OU=America,OU=Exteriors,OU=Magna Group,DC=magna,DC=global</t>
  </si>
  <si>
    <t>CN=AIMPRESS7-HMI,OU=Production-DT,OU=Computers,OU=AIM,OU=America,OU=Exteriors,OU=Magna Group,DC=magna,DC=global</t>
  </si>
  <si>
    <t>CN=AIMSQLAGL1,OU=SQL Cluster Servers,OU=AIM,OU=America,OU=Exteriors,OU=Magna Group,DC=magna,DC=global</t>
  </si>
  <si>
    <t>CN=AIMSQLCLS01,OU=SQL Cluster Servers,OU=AIM,OU=America,OU=Exteriors,OU=Magna Group,DC=magna,DC=global</t>
  </si>
  <si>
    <t>CN=AIMWRNAPP03,OU=Servers,OU=AIM,OU=America,OU=Exteriors,OU=Magna Group,DC=magna,DC=global</t>
  </si>
  <si>
    <t>CN=AIMWRNAPP07,OU=Servers,OU=AIM,OU=America,OU=Exteriors,OU=Magna Group,DC=magna,DC=global</t>
  </si>
  <si>
    <t>CN=AIMWRNAPP15,OU=Servers,OU=AIM,OU=America,OU=Exteriors,OU=Magna Group,DC=magna,DC=global</t>
  </si>
  <si>
    <t>CN=AIMWRNATCOP,OU=Servers,OU=AIM,OU=America,OU=Exteriors,OU=Magna Group,DC=magna,DC=global</t>
  </si>
  <si>
    <t>CN=AIMWRNBLCK,OU=Servers,OU=AIM,OU=America,OU=Exteriors,OU=Magna Group,DC=magna,DC=global</t>
  </si>
  <si>
    <t>CN=AIMWRNBLCK-OLD,OU=Servers,OU=AIM,OU=America,OU=Exteriors,OU=Magna Group,DC=magna,DC=global</t>
  </si>
  <si>
    <t>CN=AIMWRNBUPROXY,OU=Servers,OU=AIM,OU=America,OU=Exteriors,OU=Magna Group,DC=magna,DC=global</t>
  </si>
  <si>
    <t>CN=AIMWRNCOM01,OU=Servers,OU=AIM,OU=America,OU=Exteriors,OU=Magna Group,DC=magna,DC=global</t>
  </si>
  <si>
    <t>CN=AIMWRNCOM02,OU=Servers,OU=AIM,OU=America,OU=Exteriors,OU=Magna Group,DC=magna,DC=global</t>
  </si>
  <si>
    <t>CN=AIMWRNCOM04,OU=Servers,OU=AIM,OU=America,OU=Exteriors,OU=Magna Group,DC=magna,DC=global</t>
  </si>
  <si>
    <t>CN=AIMWRNDB03,OU=Servers,OU=AIM,OU=America,OU=Exteriors,OU=Magna Group,DC=magna,DC=global</t>
  </si>
  <si>
    <t>CN=AIMWRNDETECTIT,OU=Servers,OU=AIM,OU=America,OU=Exteriors,OU=Magna Group,DC=magna,DC=global</t>
  </si>
  <si>
    <t>CN=AIMWRNFS01,OU=Servers,OU=AIM,OU=America,OU=Exteriors,OU=Magna Group,DC=magna,DC=global</t>
  </si>
  <si>
    <t>CN=AIMWRNFS01-NEW,OU=Servers,OU=AIM,OU=America,OU=Exteriors,OU=Magna Group,DC=magna,DC=global</t>
  </si>
  <si>
    <t>CN=AIMWRNFTPC02,OU=Servers,OU=AIM,OU=America,OU=Exteriors,OU=Magna Group,DC=magna,DC=global</t>
  </si>
  <si>
    <t>CN=AIMWRNFTPC05,OU=Servers,OU=AIM,OU=America,OU=Exteriors,OU=Magna Group,DC=magna,DC=global</t>
  </si>
  <si>
    <t>CN=AIMWRNFTPC06,OU=Servers,OU=AIM,OU=America,OU=Exteriors,OU=Magna Group,DC=magna,DC=global</t>
  </si>
  <si>
    <t>CN=AIMWRNFTPC07,OU=Servers,OU=AIM,OU=America,OU=Exteriors,OU=Magna Group,DC=magna,DC=global</t>
  </si>
  <si>
    <t>CN=AIMWRNFTPC09,OU=Servers,OU=AIM,OU=America,OU=Exteriors,OU=Magna Group,DC=magna,DC=global</t>
  </si>
  <si>
    <t>CN=AIMWRNFTPC10,OU=Servers,OU=AIM,OU=America,OU=Exteriors,OU=Magna Group,DC=magna,DC=global</t>
  </si>
  <si>
    <t>CN=AIMWRNFTPC11,OU=Servers,OU=AIM,OU=America,OU=Exteriors,OU=Magna Group,DC=magna,DC=global</t>
  </si>
  <si>
    <t>CN=AIMWRNFTPC12,OU=Servers,OU=AIM,OU=America,OU=Exteriors,OU=Magna Group,DC=magna,DC=global</t>
  </si>
  <si>
    <t>CN=AIMWRNFTPC13,OU=SQL Cluster Servers,OU=AIM,OU=America,OU=Exteriors,OU=Magna Group,DC=magna,DC=global</t>
  </si>
  <si>
    <t>CN=AIMWRNFTPC14,OU=SQL Cluster Servers,OU=AIM,OU=America,OU=Exteriors,OU=Magna Group,DC=magna,DC=global</t>
  </si>
  <si>
    <t>CN=AIMWRNIT,OU=Servers,OU=AIM,OU=America,OU=Exteriors,OU=Magna Group,DC=magna,DC=global</t>
  </si>
  <si>
    <t>CN=AIMWRNMES01,OU=Servers,OU=AIM,OU=America,OU=Exteriors,OU=Magna Group,DC=magna,DC=global</t>
  </si>
  <si>
    <t>CN=AIMWRNMRP01-NEW,OU=Servers,OU=AIM,OU=America,OU=Exteriors,OU=Magna Group,DC=magna,DC=global</t>
  </si>
  <si>
    <t>CN=AIMWRNNYS01,OU=Servers,OU=AIM,OU=America,OU=Exteriors,OU=Magna Group,DC=magna,DC=global</t>
  </si>
  <si>
    <t>CN=AIMWRNNYS01-NEW,OU=Servers,OU=AIM,OU=America,OU=Exteriors,OU=Magna Group,DC=magna,DC=global</t>
  </si>
  <si>
    <t>CN=AIMWRNNYS02,OU=Servers,OU=AIM,OU=America,OU=Exteriors,OU=Magna Group,DC=magna,DC=global</t>
  </si>
  <si>
    <t>CN=AIMWRNNYS02-NEW,OU=Servers,OU=AIM,OU=America,OU=Exteriors,OU=Magna Group,DC=magna,DC=global</t>
  </si>
  <si>
    <t>CN=AIMWRNNYSMON,OU=Servers,OU=AIM,OU=America,OU=Exteriors,OU=Magna Group,DC=magna,DC=global</t>
  </si>
  <si>
    <t>CN=AIMWRNNYSSQL2,OU=Servers,OU=AIM,OU=America,OU=Exteriors,OU=Magna Group,DC=magna,DC=global</t>
  </si>
  <si>
    <t>CN=AIMWRNODSTEST,OU=Servers,OU=AIM,OU=America,OU=Exteriors,OU=Magna Group,DC=magna,DC=global</t>
  </si>
  <si>
    <t>CN=AIMWRNORA01,OU=Servers,OU=AIM,OU=America,OU=Exteriors,OU=Magna Group,DC=magna,DC=global</t>
  </si>
  <si>
    <t>CN=AIMWRNPIC,OU=Servers,OU=AIM,OU=America,OU=Exteriors,OU=Magna Group,DC=magna,DC=global</t>
  </si>
  <si>
    <t>CN=AIMWRNPRTG,OU=Servers,OU=AIM,OU=America,OU=Exteriors,OU=Magna Group,DC=magna,DC=global</t>
  </si>
  <si>
    <t>CN=AIMWRNPS03,OU=Servers,OU=AIM,OU=America,OU=Exteriors,OU=Magna Group,DC=magna,DC=global</t>
  </si>
  <si>
    <t>CN=AIMWRNSTRG1,OU=Servers,OU=AIM,OU=America,OU=Exteriors,OU=Magna Group,DC=magna,DC=global</t>
  </si>
  <si>
    <t>CN=AIMWRNUJI01,OU=Servers,OU=AIM,OU=America,OU=Exteriors,OU=Magna Group,DC=magna,DC=global</t>
  </si>
  <si>
    <t>CN=AIMWRNWEB06,OU=Servers,OU=AIM,OU=America,OU=Exteriors,OU=Magna Group,DC=magna,DC=global</t>
  </si>
  <si>
    <t>CN=AIM-BT1LWRTEST,OU=Production-DT,OU=Computers,OU=AIM,OU=America,OU=Exteriors,OU=Magna Group,DC=magna,DC=global</t>
  </si>
  <si>
    <t>CN=AIM-BT1UPRASSY,OU=Production-DT,OU=Computers,OU=AIM,OU=America,OU=Exteriors,OU=Magna Group,DC=magna,DC=global</t>
  </si>
  <si>
    <t>CN=AIM-MgrTab1-t,OU=Management,OU=Intune,OU=Computers,OU=AIM,OU=America,OU=Exteriors,OU=Magna Group,DC=magna,DC=global</t>
  </si>
  <si>
    <t>CN=AIM-BT1USLTST2,OU=Production-DT,OU=Computers,OU=AIM,OU=America,OU=Exteriors,OU=Magna Group,DC=magna,DC=global</t>
  </si>
  <si>
    <t>CN=AIM-SURFACE10-T,OU=Production-Line,OU=Computers,OU=AIM,OU=America,OU=Exteriors,OU=Magna Group,DC=magna,DC=global</t>
  </si>
  <si>
    <t>CN=AIM-T1LDCHVASY1,OU=Production-DT,OU=Computers,OU=AIM,OU=America,OU=Exteriors,OU=Magna Group,DC=magna,DC=global</t>
  </si>
  <si>
    <t>CN=AIM-AUTO2-L,OU=Automation,OU=Intune,OU=Computers,OU=AIM,OU=America,OU=Exteriors,OU=Magna Group,DC=magna,DC=global</t>
  </si>
  <si>
    <t>CN=AIM-AUTOMATION7,OU=Automation,OU=Intune,OU=Computers,OU=AIM,OU=America,OU=Exteriors,OU=Magna Group,DC=magna,DC=global</t>
  </si>
  <si>
    <t>CN=AIM-BHEAPHY1-L,OU=Intune,OU=Computers,OU=AIM,OU=America,OU=Exteriors,OU=Magna Group,DC=magna,DC=global</t>
  </si>
  <si>
    <t>CN=AIM-BKERANEN-L,OU=Finance,OU=Intune,OU=Computers,OU=AIM,OU=America,OU=Exteriors,OU=Magna Group,DC=magna,DC=global</t>
  </si>
  <si>
    <t>CN=AIM-BT1XXJIT-D,OU=Production-DT,OU=Computers,OU=AIM,OU=America,OU=Exteriors,OU=Magna Group,DC=magna,DC=global</t>
  </si>
  <si>
    <t>CN=AIM-D5CD328B53M,OU=Management,OU=Intune,OU=Computers,OU=AIM,OU=America,OU=Exteriors,OU=Magna Group,DC=magna,DC=global</t>
  </si>
  <si>
    <t>CN=AIM-DISPLAY4,OU=Production-DT,OU=Computers,OU=AIM,OU=America,OU=Exteriors,OU=Magna Group,DC=magna,DC=global</t>
  </si>
  <si>
    <t>CN=AIM-DPLANT-L,OU=Automation,OU=Intune,OU=Computers,OU=AIM,OU=America,OU=Exteriors,OU=Magna Group,DC=magna,DC=global</t>
  </si>
  <si>
    <t>CN=AIM-DSMAINT-D,OU=Maintenance,OU=Intune,OU=Computers,OU=AIM,OU=America,OU=Exteriors,OU=Magna Group,DC=magna,DC=global</t>
  </si>
  <si>
    <t>CN=AIM-DTAAD4,OU=Production-DT,OU=Computers,OU=AIM,OU=America,OU=Exteriors,OU=Magna Group,DC=magna,DC=global</t>
  </si>
  <si>
    <t>CN=AIM-DTAAD6,OU=Production-DT,OU=Computers,OU=AIM,OU=America,OU=Exteriors,OU=Magna Group,DC=magna,DC=global</t>
  </si>
  <si>
    <t>CN=AIM-DTAGSUPASY3,OU=Production-DT,OU=Computers,OU=AIM,OU=America,OU=Exteriors,OU=Magna Group,DC=magna,DC=global</t>
  </si>
  <si>
    <t>CN=AIM-DTAGSUPRASS,OU=Production-DT,OU=Computers,OU=AIM,OU=America,OU=Exteriors,OU=Magna Group,DC=magna,DC=global</t>
  </si>
  <si>
    <t>CN=AIM-DTAGSUPSEL3,OU=Production-DT,OU=Computers,OU=AIM,OU=America,OU=Exteriors,OU=Magna Group,DC=magna,DC=global</t>
  </si>
  <si>
    <t>CN=AIM-DTAGSUPTST1,OU=Production-DT,OU=Computers,OU=AIM,OU=America,OU=Exteriors,OU=Magna Group,DC=magna,DC=global</t>
  </si>
  <si>
    <t>CN=AIM-DTBEVFEMOP1,OU=Production-DT,OU=Computers,OU=AIM,OU=America,OU=Exteriors,OU=Magna Group,DC=magna,DC=global</t>
  </si>
  <si>
    <t>CN=AIM-DTCARRIER,OU=Production-DT,OU=Computers,OU=AIM,OU=America,OU=Exteriors,OU=Magna Group,DC=magna,DC=global</t>
  </si>
  <si>
    <t>CN=AIM-DTFEMDISP,OU=Production-DT,OU=Computers,OU=AIM,OU=America,OU=Exteriors,OU=Magna Group,DC=magna,DC=global</t>
  </si>
  <si>
    <t>CN=AIM-DTKITTY,OU=Production-DT,OU=Computers,OU=AIM,OU=America,OU=Exteriors,OU=Magna Group,DC=magna,DC=global</t>
  </si>
  <si>
    <t>CN=AIM-DTLWAGSSEL3,OU=Production-DT,OU=Computers,OU=AIM,OU=America,OU=Exteriors,OU=Magna Group,DC=magna,DC=global</t>
  </si>
  <si>
    <t>CN=AIM-DTSHIPSEQ2,OU=Production-DT,OU=Computers,OU=AIM,OU=America,OU=Exteriors,OU=Magna Group,DC=magna,DC=global</t>
  </si>
  <si>
    <t>CN=AIM-DTTRUCK-D,OU=Production-DT,OU=Computers,OU=AIM,OU=America,OU=Exteriors,OU=Magna Group,DC=magna,DC=global</t>
  </si>
  <si>
    <t>CN=AIM-DTUPAGSL2DS,OU=Production-DT,OU=Computers,OU=AIM,OU=America,OU=Exteriors,OU=Magna Group,DC=magna,DC=global</t>
  </si>
  <si>
    <t>CN=AIM-ENGOMEN-D,OU=Intune,OU=Computers,OU=AIM,OU=America,OU=Exteriors,OU=Magna Group,DC=magna,DC=global</t>
  </si>
  <si>
    <t>CN=AIM-FOGLIETTA-L,OU=HR,OU=Intune,OU=Computers,OU=AIM,OU=America,OU=Exteriors,OU=Magna Group,DC=magna,DC=global</t>
  </si>
  <si>
    <t>CN=AIM-GMATHUR-L,OU=Automation,OU=Intune,OU=Computers,OU=AIM,OU=America,OU=Exteriors,OU=Magna Group,DC=magna,DC=global</t>
  </si>
  <si>
    <t>CN=AIM-GPOMEROY-L,OU=Intune,OU=Computers,OU=AIM,OU=America,OU=Exteriors,OU=Magna Group,DC=magna,DC=global</t>
  </si>
  <si>
    <t>CN=AIM-HILL-L,OU=Quality,OU=Intune,OU=Computers,OU=AIM,OU=America,OU=Exteriors,OU=Magna Group,DC=magna,DC=global</t>
  </si>
  <si>
    <t>CN=AIM-ILOVELL-L,OU=Intune,OU=Computers,OU=AIM,OU=America,OU=Exteriors,OU=Magna Group,DC=magna,DC=global</t>
  </si>
  <si>
    <t>CN=AIM-INTERN2-L,OU=Intune,OU=Computers,OU=AIM,OU=America,OU=Exteriors,OU=Magna Group,DC=magna,DC=global</t>
  </si>
  <si>
    <t>CN=AIM-JDELANEY-L,OU=Intune,OU=Computers,OU=AIM,OU=America,OU=Exteriors,OU=Magna Group,DC=magna,DC=global</t>
  </si>
  <si>
    <t>CN=AIM-JKOLASSA-L,OU=Materials,OU=Intune,OU=Computers,OU=AIM,OU=America,OU=Exteriors,OU=Magna Group,DC=magna,DC=global</t>
  </si>
  <si>
    <t>CN=AIM-JKONRAD-L,OU=Program Management,OU=Intune,OU=Computers,OU=AIM,OU=America,OU=Exteriors,OU=Magna Group,DC=magna,DC=global</t>
  </si>
  <si>
    <t>CN=AIM-JORTISI-L,OU=Sales,OU=Intune,OU=Computers,OU=AIM,OU=America,OU=Exteriors,OU=Magna Group,DC=magna,DC=global</t>
  </si>
  <si>
    <t>CN=AIM-JPALA-L,OU=Intune,OU=Computers,OU=AIM,OU=America,OU=Exteriors,OU=Magna Group,DC=magna,DC=global</t>
  </si>
  <si>
    <t>CN=AIM-LDAVIS-L,OU=Intune,OU=Computers,OU=AIM,OU=America,OU=Exteriors,OU=Magna Group,DC=magna,DC=global</t>
  </si>
  <si>
    <t>CN=AIM-MATCLIENT-D,OU=Materials,OU=Intune,OU=Computers,OU=AIM,OU=America,OU=Exteriors,OU=Magna Group,DC=magna,DC=global</t>
  </si>
  <si>
    <t>CN=AIM-PC18-L,OU=Production users,OU=Intune,OU=Computers,OU=AIM,OU=America,OU=Exteriors,OU=Magna Group,DC=magna,DC=global</t>
  </si>
  <si>
    <t>CN=AIM-PC22-L,OU=Production users,OU=Intune,OU=Computers,OU=AIM,OU=America,OU=Exteriors,OU=Magna Group,DC=magna,DC=global</t>
  </si>
  <si>
    <t>CN=AIM-PC23-L,OU=Materials,OU=Intune,OU=Computers,OU=AIM,OU=America,OU=Exteriors,OU=Magna Group,DC=magna,DC=global</t>
  </si>
  <si>
    <t>CN=AIM-PC33-L,OU=Maintenance,OU=Intune,OU=Computers,OU=AIM,OU=America,OU=Exteriors,OU=Magna Group,DC=magna,DC=global</t>
  </si>
  <si>
    <t>CN=AIM-PC37-L,OU=Intune,OU=Computers,OU=AIM,OU=America,OU=Exteriors,OU=Magna Group,DC=magna,DC=global</t>
  </si>
  <si>
    <t>CN=AIM-PC41-L,OU=IT,OU=Intune,OU=Computers,OU=AIM,OU=America,OU=Exteriors,OU=Magna Group,DC=magna,DC=global</t>
  </si>
  <si>
    <t>CN=AIM-PC44-L,OU=Engineering,OU=Intune,OU=Computers,OU=AIM,OU=America,OU=Exteriors,OU=Magna Group,DC=magna,DC=global</t>
  </si>
  <si>
    <t>CN=AIM-PC47-L,OU=Intune,OU=Computers,OU=AIM,OU=America,OU=Exteriors,OU=Magna Group,DC=magna,DC=global</t>
  </si>
  <si>
    <t>CN=AIM-PC48-L,OU=Intune,OU=Computers,OU=AIM,OU=America,OU=Exteriors,OU=Magna Group,DC=magna,DC=global</t>
  </si>
  <si>
    <t>CN=AIM-PC57-L,OU=Program Management,OU=Intune,OU=Computers,OU=AIM,OU=America,OU=Exteriors,OU=Magna Group,DC=magna,DC=global</t>
  </si>
  <si>
    <t>CN=AIM-PC63-L,OU=Intune,OU=Computers,OU=AIM,OU=America,OU=Exteriors,OU=Magna Group,DC=magna,DC=global</t>
  </si>
  <si>
    <t>CN=AIM-PC80-T,OU=Production-Line,OU=Computers,OU=AIM,OU=America,OU=Exteriors,OU=Magna Group,DC=magna,DC=global</t>
  </si>
  <si>
    <t>CN=AIM-QUALITY1-L,OU=Quality,OU=Intune,OU=Computers,OU=AIM,OU=America,OU=Exteriors,OU=Magna Group,DC=magna,DC=global</t>
  </si>
  <si>
    <t>CN=AIM-QUALITY5-D,OU=Quality,OU=Intune,OU=Computers,OU=AIM,OU=America,OU=Exteriors,OU=Magna Group,DC=magna,DC=global</t>
  </si>
  <si>
    <t>CN=AIM-QUALITY7-D,OU=Quality,OU=Intune,OU=Computers,OU=AIM,OU=America,OU=Exteriors,OU=Magna Group,DC=magna,DC=global</t>
  </si>
  <si>
    <t>CN=AIM-RLYLES-L,OU=Molding,OU=Intune,OU=Computers,OU=AIM,OU=America,OU=Exteriors,OU=Magna Group,DC=magna,DC=global</t>
  </si>
  <si>
    <t>CN=AIM-RWHEATER-L,OU=Intune,OU=Computers,OU=AIM,OU=America,OU=Exteriors,OU=Magna Group,DC=magna,DC=global</t>
  </si>
  <si>
    <t>CN=AIM-SERVICE2-D,OU=Materials,OU=Intune,OU=Computers,OU=AIM,OU=America,OU=Exteriors,OU=Magna Group,DC=magna,DC=global</t>
  </si>
  <si>
    <t>CN=AIM-SHIPPING3-D,OU=Materials,OU=Intune,OU=Computers,OU=AIM,OU=America,OU=Exteriors,OU=Magna Group,DC=magna,DC=global</t>
  </si>
  <si>
    <t>CN=AIM-SHIPPINGTAB,OU=Production-DT,OU=Computers,OU=AIM,OU=America,OU=Exteriors,OU=Magna Group,DC=magna,DC=global</t>
  </si>
  <si>
    <t>CN=AIM-SRVT1CHVASS,OU=Production-DT,OU=Computers,OU=AIM,OU=America,OU=Exteriors,OU=Magna Group,DC=magna,DC=global</t>
  </si>
  <si>
    <t>CN=AIM-SRVT1CHVSEA,OU=Production,OU=Computers,OU=AIM,OU=America,OU=Exteriors,OU=Magna Group,DC=magna,DC=global</t>
  </si>
  <si>
    <t>CN=AIM-SRVT1CHVTES,OU=Production-DT,OU=Computers,OU=AIM,OU=America,OU=Exteriors,OU=Magna Group,DC=magna,DC=global</t>
  </si>
  <si>
    <t>CN=AIM-SRVT1GMCASS,OU=Production-DT,OU=Computers,OU=AIM,OU=America,OU=Exteriors,OU=Magna Group,DC=magna,DC=global</t>
  </si>
  <si>
    <t>CN=AIM-SRVT1GMCSEA,OU=Production-DT,OU=Computers,OU=AIM,OU=America,OU=Exteriors,OU=Magna Group,DC=magna,DC=global</t>
  </si>
  <si>
    <t>CN=AIM-SRVT1GMCTES,OU=Production-DT,OU=Computers,OU=AIM,OU=America,OU=Exteriors,OU=Magna Group,DC=magna,DC=global</t>
  </si>
  <si>
    <t>CN=AIM-SURFACE1-T,OU=Production-Line,OU=Computers,OU=AIM,OU=America,OU=Exteriors,OU=Magna Group,DC=magna,DC=global</t>
  </si>
  <si>
    <t>CN=AIM-SUVSWAP1-D,OU=Production-DT,OU=Computers,OU=AIM,OU=America,OU=Exteriors,OU=Magna Group,DC=magna,DC=global</t>
  </si>
  <si>
    <t>CN=AIM-T1LDGMCASY2,OU=Production-DT,OU=Computers,OU=AIM,OU=America,OU=Exteriors,OU=Magna Group,DC=magna,DC=global</t>
  </si>
  <si>
    <t>CN=AIM-TRAINING1,OU=Production-Line,OU=Computers,OU=AIM,OU=America,OU=Exteriors,OU=Magna Group,DC=magna,DC=global</t>
  </si>
  <si>
    <t>CN=AIM-TRAINING2,OU=Production-Line,OU=Computers,OU=AIM,OU=America,OU=Exteriors,OU=Magna Group,DC=magna,DC=global</t>
  </si>
  <si>
    <t>CN=AIM-TRAINING3,OU=Production-Line,OU=Computers,OU=AIM,OU=America,OU=Exteriors,OU=Magna Group,DC=magna,DC=global</t>
  </si>
  <si>
    <t>CN=AIM-TRAINING4,OU=Production-Line,OU=Computers,OU=AIM,OU=America,OU=Exteriors,OU=Magna Group,DC=magna,DC=global</t>
  </si>
  <si>
    <t>CN=AIM-TWICART-L,OU=Production users,OU=Intune,OU=Computers,OU=AIM,OU=America,OU=Exteriors,OU=Magna Group,DC=magna,DC=global</t>
  </si>
  <si>
    <t>CN=AIM-WSAGSL1HMI,OU=Production-Line,OU=Computers,OU=AIM,OU=America,OU=Exteriors,OU=Magna Group,DC=magna,DC=global</t>
  </si>
  <si>
    <t>CN=AIM-WSAGSTSTHMI,OU=Production-DT,OU=Computers,OU=AIM,OU=America,OU=Exteriors,OU=Magna Group,DC=magna,DC=global</t>
  </si>
  <si>
    <t>CN=AIM-WSAGSUPSEL1,OU=Production-Line,OU=Computers,OU=AIM,OU=America,OU=Exteriors,OU=Magna Group,DC=magna,DC=global</t>
  </si>
  <si>
    <t>CN=AIM-WSAGSUPTST1,OU=Production-Line,OU=Computers,OU=AIM,OU=America,OU=Exteriors,OU=Magna Group,DC=magna,DC=global</t>
  </si>
  <si>
    <t>CN=AIM-WSASY1HMI,OU=Production-DT,OU=Computers,OU=AIM,OU=America,OU=Exteriors,OU=Magna Group,DC=magna,DC=global</t>
  </si>
  <si>
    <t>CN=AIM-WSASY2HMI,OU=Production-DT,OU=Computers,OU=AIM,OU=America,OU=Exteriors,OU=Magna Group,DC=magna,DC=global</t>
  </si>
  <si>
    <t>CN=AIM-WSUPAGSASY1,OU=Production-Line,OU=Computers,OU=AIM,OU=America,OU=Exteriors,OU=Magna Group,DC=magna,DC=global</t>
  </si>
  <si>
    <t>CN=AIM-WSUPAGSASY2,OU=Production-Line,OU=Computers,OU=AIM,OU=America,OU=Exteriors,OU=Magna Group,DC=magna,DC=global</t>
  </si>
  <si>
    <t>CN=AIMPRESS3-HMI,OU=Production,OU=Computers,OU=AIM,OU=America,OU=Exteriors,OU=Magna Group,DC=magna,DC=global</t>
  </si>
  <si>
    <t>CN=AIMPRESS5-HMI,OU=Production,OU=Computers,OU=AIM,OU=America,OU=Exteriors,OU=Magna Group,DC=magna,DC=global</t>
  </si>
  <si>
    <t>CN=AIMTEAMLEADT1,OU=Production users,OU=Intune,OU=Computers,OU=AIM,OU=America,OU=Exteriors,OU=Magna Group,DC=magna,DC=global</t>
  </si>
  <si>
    <t>CN=AIMWRNAPP01-NEW,OU=Servers,OU=AIM,OU=America,OU=Exteriors,OU=Magna Group,DC=magna,DC=global</t>
  </si>
  <si>
    <t>CN=AIMWRNCOM05,OU=Servers,OU=AIM,OU=America,OU=Exteriors,OU=Magna Group,DC=magna,DC=global</t>
  </si>
  <si>
    <t>CN=AIMWRNDETECTIT2,OU=Servers,OU=AIM,OU=America,OU=Exteriors,OU=Magna Group,DC=magna,DC=global</t>
  </si>
  <si>
    <t>CN=AIMWRNESX8,OU=Servers,OU=AIM,OU=America,OU=Exteriors,OU=Magna Group,DC=magna,DC=global</t>
  </si>
  <si>
    <t>CN=AIMWRNMRP01,OU=Servers,OU=AIM,OU=America,OU=Exteriors,OU=Magna Group,DC=magna,DC=global</t>
  </si>
  <si>
    <t>CN=AIMWRNNYSSQL,OU=Servers,OU=AIM,OU=America,OU=Exteriors,OU=Magna Group,DC=magna,DC=global</t>
  </si>
  <si>
    <t>CN=AIMWRNNYSSQL-OL,OU=Servers,OU=AIM,OU=America,OU=Exteriors,OU=Magna Group,DC=magna,DC=global</t>
  </si>
  <si>
    <t>CN=AIMWRNOPC01,OU=No Lck,OU=Servers,OU=AIM,OU=America,OU=Exteriors,OU=Magna Group,DC=magna,DC=global</t>
  </si>
  <si>
    <t>CN=AIMWRNVC01,OU=Servers,OU=AIM,OU=America,OU=Exteriors,OU=Magna Group,DC=magna,DC=global</t>
  </si>
  <si>
    <t>CN=AIMWS5CD328B4Y9,OU=Intune,OU=Computers,OU=AIM,OU=America,OU=Exteriors,OU=Magna Group,DC=magna,DC=global</t>
  </si>
  <si>
    <t>CN=AIMWS5CD328B530,OU=Intune,OU=Computers,OU=AIM,OU=America,OU=Exteriors,OU=Magna Group,DC=magna,DC=global</t>
  </si>
  <si>
    <t>CN=AIMWS5CD328B53M,OU=Intune,OU=Computers,OU=AIM,OU=America,OU=Exteriors,OU=Magna Group,DC=magna,DC=global</t>
  </si>
  <si>
    <t>CN=AIMWS5CD328B54S,OU=Intune,OU=Computers,OU=AIM,OU=America,OU=Exteriors,OU=Magna Group,DC=magna,DC=global</t>
  </si>
  <si>
    <t>ClientName</t>
  </si>
  <si>
    <t>Folder</t>
  </si>
  <si>
    <t>DT Display - ECM</t>
  </si>
  <si>
    <t>DT Displays</t>
  </si>
  <si>
    <t>Press 2 Tablet</t>
  </si>
  <si>
    <t>Molding</t>
  </si>
  <si>
    <t>Press 3 Tablet</t>
  </si>
  <si>
    <t>Press 4 Tablet</t>
  </si>
  <si>
    <t>Press 6 Tablet</t>
  </si>
  <si>
    <t>Press 7 Tablet</t>
  </si>
  <si>
    <t>Service - Old K2</t>
  </si>
  <si>
    <t>Service</t>
  </si>
  <si>
    <t>Service - T1XX GMC Assembly</t>
  </si>
  <si>
    <t>Service - T1XX GMC Seal</t>
  </si>
  <si>
    <t>Service - T1XX GMC Test</t>
  </si>
  <si>
    <t>Service - DS AGS Assembly</t>
  </si>
  <si>
    <t>Service - DS AGS Seal</t>
  </si>
  <si>
    <t>Service - DS AGS Test</t>
  </si>
  <si>
    <t>DT Bolhoff - Left Hand</t>
  </si>
  <si>
    <t>10.68.134.114</t>
  </si>
  <si>
    <t>zzzzOBSOLETE</t>
  </si>
  <si>
    <t>DT Bolhoff - Right Hand</t>
  </si>
  <si>
    <t>10.68.134.115</t>
  </si>
  <si>
    <t>DT AGS Lower</t>
  </si>
  <si>
    <t>T1XX SUV - Seal 2</t>
  </si>
  <si>
    <t>aim-t1suvseal2</t>
  </si>
  <si>
    <t>T1XX SUV</t>
  </si>
  <si>
    <t>BT1XX Upper - Limiter</t>
  </si>
  <si>
    <t>10.68.134.151</t>
  </si>
  <si>
    <t>BT1XX Upper</t>
  </si>
  <si>
    <t>T1XX JIT - Chevy</t>
  </si>
  <si>
    <t>10.68.134.157</t>
  </si>
  <si>
    <t>aim-display5</t>
  </si>
  <si>
    <t>T1XX JIT</t>
  </si>
  <si>
    <t>IT Display - Display 1</t>
  </si>
  <si>
    <t>aim-itdisp1</t>
  </si>
  <si>
    <t>IT Displays</t>
  </si>
  <si>
    <t>IT Display - Display 2</t>
  </si>
  <si>
    <t>aim-itdisp2</t>
  </si>
  <si>
    <t>DT Display - FEM Buffer (St. 6 Camera)</t>
  </si>
  <si>
    <t>aim-fempoledisp</t>
  </si>
  <si>
    <t>DT AGS Upper - Seal 1</t>
  </si>
  <si>
    <t>10.68.134.171</t>
  </si>
  <si>
    <t>DT AGS Upper</t>
  </si>
  <si>
    <t>DT AGS Lower - Assembly 2</t>
  </si>
  <si>
    <t>10.68.134.173</t>
  </si>
  <si>
    <t>DT AGS Lower - Assembly 3</t>
  </si>
  <si>
    <t>10.68.134.174</t>
  </si>
  <si>
    <t>aim-dtlwagsasy3</t>
  </si>
  <si>
    <t>T1XX Lower - Assembly 2</t>
  </si>
  <si>
    <t>T1XX Lower</t>
  </si>
  <si>
    <t>T1XX Lower - Assembly 1</t>
  </si>
  <si>
    <t>DT AGS Upper - Assembly 2</t>
  </si>
  <si>
    <t>DT AGS Upper - Assembly 3</t>
  </si>
  <si>
    <t>DT AGS Upper - Seal 2</t>
  </si>
  <si>
    <t>10.68.134.179</t>
  </si>
  <si>
    <t>DT FEM - Station 0 (Hood Latch)</t>
  </si>
  <si>
    <t>aim-dtfem0</t>
  </si>
  <si>
    <t>DT FEM</t>
  </si>
  <si>
    <t>DT FEM - Station 1 (Load Carrier)</t>
  </si>
  <si>
    <t>aim-dtfem1</t>
  </si>
  <si>
    <t>DT FEM - Station 2 (Passthrough)</t>
  </si>
  <si>
    <t>aim-dtfem2</t>
  </si>
  <si>
    <t>T1XX JIT - SUV</t>
  </si>
  <si>
    <t>10.68.134.207</t>
  </si>
  <si>
    <t>aim-display12</t>
  </si>
  <si>
    <t>DT AGS Upper - Test</t>
  </si>
  <si>
    <t>WS Display - AGS Seal Lookahead</t>
  </si>
  <si>
    <t>10.68.134.209</t>
  </si>
  <si>
    <t>aim-wsagsdisp-l</t>
  </si>
  <si>
    <t>WS Displays</t>
  </si>
  <si>
    <t>DT FEM - Station 3 (Wire Harness Install)</t>
  </si>
  <si>
    <t>aim-dtfem3</t>
  </si>
  <si>
    <t>T1XX SUV - Assembly 3</t>
  </si>
  <si>
    <t>T1XX SUV - Assembly 1</t>
  </si>
  <si>
    <t>T1XX SUV - Assembly 2</t>
  </si>
  <si>
    <t>T1XX SUV - Seal 1</t>
  </si>
  <si>
    <t>T1XX SUV - Test</t>
  </si>
  <si>
    <t>aim-t1suvtest</t>
  </si>
  <si>
    <t>BT1XX Lower - Shutter</t>
  </si>
  <si>
    <t>10.68.134.219</t>
  </si>
  <si>
    <t>BT1XX Lower</t>
  </si>
  <si>
    <t>DT FEM - Station 4 (Bottles)</t>
  </si>
  <si>
    <t>aim-dtfem4</t>
  </si>
  <si>
    <t>T1XX Chevy - Assembly 1</t>
  </si>
  <si>
    <t>T1XX Chevy</t>
  </si>
  <si>
    <t>T1XX Chevy - Assembly 2</t>
  </si>
  <si>
    <t>T1XX Chevy - Seal 1</t>
  </si>
  <si>
    <t>T1XX Chevy - Seal 2</t>
  </si>
  <si>
    <t>T1XX Chevy - Test</t>
  </si>
  <si>
    <t>DT FEM - Station 5 (AGS Install)</t>
  </si>
  <si>
    <t>aim-dtfem5</t>
  </si>
  <si>
    <t>T1XX GMC - Assembly 1</t>
  </si>
  <si>
    <t>10.68.134.231</t>
  </si>
  <si>
    <t>T1XX GMC</t>
  </si>
  <si>
    <t>T1XX GMC - Assembly 2</t>
  </si>
  <si>
    <t>T1XX GMC - Seal</t>
  </si>
  <si>
    <t>T1XX GMC - Test</t>
  </si>
  <si>
    <t>T1XX Lower - Pack 1</t>
  </si>
  <si>
    <t>T1XX Lower - Assembly 3</t>
  </si>
  <si>
    <t>T1XX Lower - Assembly 4</t>
  </si>
  <si>
    <t>T1XX Lower - Pack 2</t>
  </si>
  <si>
    <t>10.68.134.245</t>
  </si>
  <si>
    <t>DT FEM - Station 6 (Wire Harness Routing)</t>
  </si>
  <si>
    <t>aim-dtfem7</t>
  </si>
  <si>
    <t>DT FEM - Station 7 (ECM Install)</t>
  </si>
  <si>
    <t>10.68.134.26</t>
  </si>
  <si>
    <t>aim-dtfem8</t>
  </si>
  <si>
    <t>DT FEM - Station 8 (E-Test)</t>
  </si>
  <si>
    <t>aim-dtfem9</t>
  </si>
  <si>
    <t>DT FEM - Station 9 (Lower Air Guide)</t>
  </si>
  <si>
    <t>aim-dtfem11</t>
  </si>
  <si>
    <t>DT FEM - Station 10 (Unload)</t>
  </si>
  <si>
    <t>aim-fem12</t>
  </si>
  <si>
    <t>DT FEM - Kitting (Wire Harness Kitting)</t>
  </si>
  <si>
    <t>aim-dtkitty</t>
  </si>
  <si>
    <t>DT ECM - Station 1 (ECM)</t>
  </si>
  <si>
    <t>10.68.134.36</t>
  </si>
  <si>
    <t>DT ECM - Station 2 (E-Fan)</t>
  </si>
  <si>
    <t>10.68.134.37</t>
  </si>
  <si>
    <t>DT AAD - Station 70 (Tester)</t>
  </si>
  <si>
    <t>DT AAD</t>
  </si>
  <si>
    <t>DT AAD - Station 50 (Torque)</t>
  </si>
  <si>
    <t>IT Display - PRTG</t>
  </si>
  <si>
    <t>10.68.134.40</t>
  </si>
  <si>
    <t>aim-prtgdisp</t>
  </si>
  <si>
    <t>WS AGS Upper - Assembly 1</t>
  </si>
  <si>
    <t>DT Carrier</t>
  </si>
  <si>
    <t>10.68.134.44</t>
  </si>
  <si>
    <t>aim-dtcarrier1</t>
  </si>
  <si>
    <t>T1XX SUV - Weld 1</t>
  </si>
  <si>
    <t>aim-t1suvweld1</t>
  </si>
  <si>
    <t>T1XX SUV - Weld 2</t>
  </si>
  <si>
    <t>BT1XX Lower - Assembly</t>
  </si>
  <si>
    <t>BT1XX Lower - Test</t>
  </si>
  <si>
    <t>WS AGS Upper - Assembly 2</t>
  </si>
  <si>
    <t>10.68.134.51</t>
  </si>
  <si>
    <t>WS AGS Upper - Seal</t>
  </si>
  <si>
    <t>10.68.134.52</t>
  </si>
  <si>
    <t>WS Turn Table</t>
  </si>
  <si>
    <t>10.68.134.55</t>
  </si>
  <si>
    <t>aim-wswhturnt</t>
  </si>
  <si>
    <t>WS FEM</t>
  </si>
  <si>
    <t>WS AGS Upper - Test</t>
  </si>
  <si>
    <t>10.68.134.56</t>
  </si>
  <si>
    <t>T1XX JIT - AAD</t>
  </si>
  <si>
    <t>aim-display13</t>
  </si>
  <si>
    <t>WS AGS Seal</t>
  </si>
  <si>
    <t>10.68.134.71</t>
  </si>
  <si>
    <t>aim-wsfem29</t>
  </si>
  <si>
    <t>DT Display - FEM Buffer Root</t>
  </si>
  <si>
    <t>10.68.134.74</t>
  </si>
  <si>
    <t>aim-officefem2</t>
  </si>
  <si>
    <t>DT AAD - Station 60 (Assembly)</t>
  </si>
  <si>
    <t>DT Carrier - Old</t>
  </si>
  <si>
    <t>10.68.134.79</t>
  </si>
  <si>
    <t>BT1XX Upper - Assembly 2</t>
  </si>
  <si>
    <t>10.68.134.8</t>
  </si>
  <si>
    <t>aim-bt1uprassy2</t>
  </si>
  <si>
    <t>WS Hood Latch</t>
  </si>
  <si>
    <t>10.68.134.80</t>
  </si>
  <si>
    <t>aim-wshlassy1-d</t>
  </si>
  <si>
    <t>WS EOL</t>
  </si>
  <si>
    <t>10.68.134.81</t>
  </si>
  <si>
    <t>aim-wseol-d</t>
  </si>
  <si>
    <t>BT1XX Upper - Assembly 1</t>
  </si>
  <si>
    <t>BT1XX Upper - Seal &amp; Test 1</t>
  </si>
  <si>
    <t>BT1XX Upper - Seal &amp; Test 2</t>
  </si>
  <si>
    <t>DT AAD - Station 0.5 (Limiter)</t>
  </si>
  <si>
    <t>aim-dtaad4</t>
  </si>
  <si>
    <t>DT AAD - Station 3 (Pins)</t>
  </si>
  <si>
    <t>aim-dtaad6</t>
  </si>
  <si>
    <t>Press 5 Tablet</t>
  </si>
  <si>
    <t>aim-press5-t</t>
  </si>
  <si>
    <t>WS Carousel - Station 9</t>
  </si>
  <si>
    <t>WS Carousel - Station 1</t>
  </si>
  <si>
    <t>WS Carousel - Station 8</t>
  </si>
  <si>
    <t>WS Carousel - Station 7</t>
  </si>
  <si>
    <t>WS Carousel - Station 6</t>
  </si>
  <si>
    <t>WS Carousel - Station 5</t>
  </si>
  <si>
    <t>WS Carousel - Station 4</t>
  </si>
  <si>
    <t>WS Carousel - Station 3</t>
  </si>
  <si>
    <t>WS Carousel - Station 2</t>
  </si>
  <si>
    <t>WS Display - Shipping Racks</t>
  </si>
  <si>
    <t>aim-wsfem60</t>
  </si>
  <si>
    <t>aim-srvspare4-d</t>
  </si>
  <si>
    <t>WS Display - Bond Cell Buffer</t>
  </si>
  <si>
    <t>10.68.89.170</t>
  </si>
  <si>
    <t>aim-wsfem40</t>
  </si>
  <si>
    <t>WS Carrier Cell</t>
  </si>
  <si>
    <t>Press 1 Tablet</t>
  </si>
  <si>
    <t>10.68.89.25</t>
  </si>
  <si>
    <t>aim-press1-t</t>
  </si>
  <si>
    <t>Service - T1XX Chevy Assembly</t>
  </si>
  <si>
    <t>10.68.89.4</t>
  </si>
  <si>
    <t>Service - T1XX Chevy Seal</t>
  </si>
  <si>
    <t>10.68.89.5</t>
  </si>
  <si>
    <t>Service - T1XX Chevy Test</t>
  </si>
  <si>
    <t>10.68.89.6</t>
  </si>
  <si>
    <t>WS Display - ECM Lookahead</t>
  </si>
  <si>
    <t>aim-wsfem6</t>
  </si>
  <si>
    <t>WS Display - WS Buffer (Pole)</t>
  </si>
  <si>
    <t>aim-dtspare25-d</t>
  </si>
  <si>
    <t>WS ECM</t>
  </si>
  <si>
    <t>aim-wsfem15</t>
  </si>
  <si>
    <t>WS Display - WS Camera</t>
  </si>
  <si>
    <t>aim-wscamera</t>
  </si>
  <si>
    <t>WS Display - Truck Driver Scans</t>
  </si>
  <si>
    <t>172.18.74.188</t>
  </si>
  <si>
    <t>aim-display4</t>
  </si>
  <si>
    <t>WS Display - WS Buffer Root</t>
  </si>
  <si>
    <t>172.18.74.37</t>
  </si>
  <si>
    <t>aim-dtspare20-d</t>
  </si>
  <si>
    <t>aim-itspare2-d</t>
  </si>
  <si>
    <t>Service - UF AGS</t>
  </si>
  <si>
    <t>172.18.75.66</t>
  </si>
  <si>
    <t>plant-ufags1</t>
  </si>
  <si>
    <t>T1XX JIT - BT1XX</t>
  </si>
  <si>
    <t>aim-bt1xxjit-d</t>
  </si>
  <si>
    <t>IP Address Lookup</t>
  </si>
  <si>
    <t>IPLookup</t>
  </si>
  <si>
    <t>Device name</t>
  </si>
  <si>
    <t>Enrollment date</t>
  </si>
  <si>
    <t>Last check-in</t>
  </si>
  <si>
    <t>OS version</t>
  </si>
  <si>
    <t>Serial number</t>
  </si>
  <si>
    <t>Manufacturer</t>
  </si>
  <si>
    <t>Compliance grace period expiration</t>
  </si>
  <si>
    <t>Primary user email address</t>
  </si>
  <si>
    <t>Primary user display name</t>
  </si>
  <si>
    <t>WiFiIPv4Address</t>
  </si>
  <si>
    <t>WiFiSubnetID</t>
  </si>
  <si>
    <t>Compliance</t>
  </si>
  <si>
    <t>10.0.26100.6899</t>
  </si>
  <si>
    <t>Richard.Scott@magna.com</t>
  </si>
  <si>
    <t>Scott, Richard</t>
  </si>
  <si>
    <t>10.68.91.165</t>
  </si>
  <si>
    <t>10.68.91.128</t>
  </si>
  <si>
    <t>Compliant</t>
  </si>
  <si>
    <t>AIM-BBECKNER2-L</t>
  </si>
  <si>
    <t>5CG01566C6</t>
  </si>
  <si>
    <t>Brad.Beckner@magna.com</t>
  </si>
  <si>
    <t>Beckner, Bradley</t>
  </si>
  <si>
    <t>192.168.0.104</t>
  </si>
  <si>
    <t>192.168.0.0</t>
  </si>
  <si>
    <t>HP ProBook 650 G8 Notebook PC</t>
  </si>
  <si>
    <t>Brandon.Hattaway@magna.com</t>
  </si>
  <si>
    <t>Hattaway, Brandon</t>
  </si>
  <si>
    <t>10.68.91.180</t>
  </si>
  <si>
    <t>67DLJK2</t>
  </si>
  <si>
    <t>Dell Inc.</t>
  </si>
  <si>
    <t>Michael.Fournier@magna.com</t>
  </si>
  <si>
    <t>Fournier, Michael F</t>
  </si>
  <si>
    <t>10.68.170.115</t>
  </si>
  <si>
    <t>10.68.170.0</t>
  </si>
  <si>
    <t>5CD224JFBW</t>
  </si>
  <si>
    <t>HP EliteBook 650 15.6 inch G9 Notebook PC</t>
  </si>
  <si>
    <t>Demetrius.Plant@magna.com</t>
  </si>
  <si>
    <t>Plant, Demetrius</t>
  </si>
  <si>
    <t>10.68.91.221</t>
  </si>
  <si>
    <t/>
  </si>
  <si>
    <t>5CD328B530</t>
  </si>
  <si>
    <t>HP EliteBook 650 15.6 inch G10 Notebook PC</t>
  </si>
  <si>
    <t>shelby.white@magna.com</t>
  </si>
  <si>
    <t>White, Shelby</t>
  </si>
  <si>
    <t>10.68.170.70</t>
  </si>
  <si>
    <t>5CD30241B1</t>
  </si>
  <si>
    <t>Gaurav.Mathur@magna.com</t>
  </si>
  <si>
    <t>Mathur, Gaurav</t>
  </si>
  <si>
    <t>10.68.170.151</t>
  </si>
  <si>
    <t>5CG02543NT</t>
  </si>
  <si>
    <t>Savannah.Hill@magna.com</t>
  </si>
  <si>
    <t>Hill, Savannah</t>
  </si>
  <si>
    <t>192.168.1.71</t>
  </si>
  <si>
    <t>192.168.1.0</t>
  </si>
  <si>
    <t>5CG8400RVG</t>
  </si>
  <si>
    <t>10.68.91.212</t>
  </si>
  <si>
    <t>Ja.Lor@magna.com</t>
  </si>
  <si>
    <t>Lor, Ja</t>
  </si>
  <si>
    <t>10.68.91.167</t>
  </si>
  <si>
    <t>Noncompliant</t>
  </si>
  <si>
    <t>5CG93692QD</t>
  </si>
  <si>
    <t>Jermaine.Daniel@magna.com</t>
  </si>
  <si>
    <t>Daniel, Jermaine</t>
  </si>
  <si>
    <t>10.68.91.233</t>
  </si>
  <si>
    <t>5CG01569DV</t>
  </si>
  <si>
    <t>Janis.Delaney1@magna.com</t>
  </si>
  <si>
    <t>Delaney, Janis1</t>
  </si>
  <si>
    <t>10.68.170.110</t>
  </si>
  <si>
    <t>5CG9152M1X</t>
  </si>
  <si>
    <t>Joseph.Kolassa@magna.com</t>
  </si>
  <si>
    <t>Kolassa, Joseph</t>
  </si>
  <si>
    <t>192.168.0.132</t>
  </si>
  <si>
    <t>5CD30241DJ</t>
  </si>
  <si>
    <t>jason.konrad@magna.com</t>
  </si>
  <si>
    <t>Konrad, Jason</t>
  </si>
  <si>
    <t>10.68.170.84</t>
  </si>
  <si>
    <t>5CG0156PFR</t>
  </si>
  <si>
    <t>Kimberly.Bondy@magna.com</t>
  </si>
  <si>
    <t>Bondy, Kimberly</t>
  </si>
  <si>
    <t>10.68.170.99</t>
  </si>
  <si>
    <t>1H844934ZC</t>
  </si>
  <si>
    <t>HP ProBook 465 16 inch G11 Notebook PC</t>
  </si>
  <si>
    <t>Jim.Ortisi@magna.com</t>
  </si>
  <si>
    <t>Ortisi, Jim</t>
  </si>
  <si>
    <t>10.68.91.199</t>
  </si>
  <si>
    <t>5CG02543NJ</t>
  </si>
  <si>
    <t>Jonathon.Palazzolo@magna.com</t>
  </si>
  <si>
    <t>Palazzolo, Jonathon</t>
  </si>
  <si>
    <t>10.68.170.55</t>
  </si>
  <si>
    <t>John.Yang@magna.com</t>
  </si>
  <si>
    <t>Yang, John</t>
  </si>
  <si>
    <t>10.68.170.145</t>
  </si>
  <si>
    <t>5CG0156Q4Z</t>
  </si>
  <si>
    <t>Kathy.Bommarito@magna.com</t>
  </si>
  <si>
    <t>Bommarito, Kathy</t>
  </si>
  <si>
    <t>192.168.1.83</t>
  </si>
  <si>
    <t>5CD328B54S</t>
  </si>
  <si>
    <t>10.68.170.184</t>
  </si>
  <si>
    <t>Joseph.Romanowski1@magna.com</t>
  </si>
  <si>
    <t>Romanowski, Joseph</t>
  </si>
  <si>
    <t>5CG4382JPH</t>
  </si>
  <si>
    <t>HP Dragonfly 13.5 inch G4 Notebook PC</t>
  </si>
  <si>
    <t>192.168.4.203</t>
  </si>
  <si>
    <t>192.168.4.0</t>
  </si>
  <si>
    <t>5CG9152LZ0</t>
  </si>
  <si>
    <t>kalavathi.marulappa@magna.com</t>
  </si>
  <si>
    <t>Marulappa, Kalavathi</t>
  </si>
  <si>
    <t>10.0.0.76</t>
  </si>
  <si>
    <t>10.0.0.0</t>
  </si>
  <si>
    <t>5CG01574W7</t>
  </si>
  <si>
    <t>Michael.Rocker@magna.com</t>
  </si>
  <si>
    <t>Rocker, Michael</t>
  </si>
  <si>
    <t>10.68.91.158</t>
  </si>
  <si>
    <t>5CD047RBPL</t>
  </si>
  <si>
    <t>john.taylor@magna.com</t>
  </si>
  <si>
    <t>Taylor, John</t>
  </si>
  <si>
    <t>10.68.170.98</t>
  </si>
  <si>
    <t>5CD116V8GZ</t>
  </si>
  <si>
    <t>Mamadou.Diallo@magna.com</t>
  </si>
  <si>
    <t>Diallo, Mamadou Kindy</t>
  </si>
  <si>
    <t>192.168.1.10</t>
  </si>
  <si>
    <t>5CD143F75K</t>
  </si>
  <si>
    <t>shishutosh.saha@magna.com</t>
  </si>
  <si>
    <t>Saha, Shishutosh</t>
  </si>
  <si>
    <t>10.68.170.56</t>
  </si>
  <si>
    <t>5CD047RBP4</t>
  </si>
  <si>
    <t>Mugeshkumar.Rathinasabapathy@magna.com</t>
  </si>
  <si>
    <t>Rathinasabapathy, Mugeshkumar</t>
  </si>
  <si>
    <t>10.68.170.120</t>
  </si>
  <si>
    <t>5CD116V75Y</t>
  </si>
  <si>
    <t>joann.karagiannakis@magna.com</t>
  </si>
  <si>
    <t>Karagiannakis, Joann</t>
  </si>
  <si>
    <t>10.68.170.132</t>
  </si>
  <si>
    <t>5CG7151DN8</t>
  </si>
  <si>
    <t>Chad.Yeskey@magna.com</t>
  </si>
  <si>
    <t>Yeskey, Chad</t>
  </si>
  <si>
    <t>10.68.170.157</t>
  </si>
  <si>
    <t>5CD116V7W9</t>
  </si>
  <si>
    <t>Jennifer.Patrick@magna.com</t>
  </si>
  <si>
    <t>Patrick, Jennifer</t>
  </si>
  <si>
    <t>192.168.7.58</t>
  </si>
  <si>
    <t>192.168.7.0</t>
  </si>
  <si>
    <t>Love.Lee@magna.com</t>
  </si>
  <si>
    <t>Lee, Love</t>
  </si>
  <si>
    <t>10.68.91.210</t>
  </si>
  <si>
    <t>5CD116V91K</t>
  </si>
  <si>
    <t>Steve.Allevato@magna.com</t>
  </si>
  <si>
    <t>Allevato, Steven</t>
  </si>
  <si>
    <t>10.0.0.220</t>
  </si>
  <si>
    <t>5CD224JF6Z</t>
  </si>
  <si>
    <t>Todd.Curtis@magna.com</t>
  </si>
  <si>
    <t>Curtis, Todd</t>
  </si>
  <si>
    <t>10.0.0.243</t>
  </si>
  <si>
    <t>5CG95279W0</t>
  </si>
  <si>
    <t>Rebecca.Humitz@magna.com</t>
  </si>
  <si>
    <t>Humitz, Rebecca</t>
  </si>
  <si>
    <t>192.168.1.163</t>
  </si>
  <si>
    <t>Steve.Xiong@magna.com</t>
  </si>
  <si>
    <t>Xiong, Steve</t>
  </si>
  <si>
    <t>10.68.91.235</t>
  </si>
  <si>
    <t>5CD116V74B</t>
  </si>
  <si>
    <t>Keith.Bell@magna.com</t>
  </si>
  <si>
    <t>Bell, Keith</t>
  </si>
  <si>
    <t>10.68.91.184</t>
  </si>
  <si>
    <t>priyen.patel@magna.com</t>
  </si>
  <si>
    <t>Patel, Priyen</t>
  </si>
  <si>
    <t>192.168.50.115</t>
  </si>
  <si>
    <t>192.168.50.0</t>
  </si>
  <si>
    <t>5CD1171BJV</t>
  </si>
  <si>
    <t>192.168.1.84</t>
  </si>
  <si>
    <t>5CD116V8DR</t>
  </si>
  <si>
    <t>Veronica.Owens@magna.com</t>
  </si>
  <si>
    <t>Owens, Veronica</t>
  </si>
  <si>
    <t>10.68.170.131</t>
  </si>
  <si>
    <t>5CD116V8Q0</t>
  </si>
  <si>
    <t>Ryan.Wheater@magna.com</t>
  </si>
  <si>
    <t>Wheater, Ryan</t>
  </si>
  <si>
    <t>192.168.1.175</t>
  </si>
  <si>
    <t>5CD1171BXN</t>
  </si>
  <si>
    <t>Anthony.Jones1@magna.com</t>
  </si>
  <si>
    <t>Jones, Anthony1</t>
  </si>
  <si>
    <t>10.0.0.226</t>
  </si>
  <si>
    <t>Wesley.Marmon@magna.com</t>
  </si>
  <si>
    <t>Marmon, Wesley Carroll</t>
  </si>
  <si>
    <t>192.168.1.12</t>
  </si>
  <si>
    <t>jason.capers@magna.com</t>
  </si>
  <si>
    <t>Capers, Jason</t>
  </si>
  <si>
    <t>10.68.91.166</t>
  </si>
  <si>
    <t>5CG0156QCT</t>
  </si>
  <si>
    <t>James.Adams@magna.com</t>
  </si>
  <si>
    <t>Adams, James</t>
  </si>
  <si>
    <t>10.68.91.213</t>
  </si>
  <si>
    <t>5CD224JFCF</t>
  </si>
  <si>
    <t>Dianne.Brown@magna.com</t>
  </si>
  <si>
    <t>Brown, Dianne</t>
  </si>
  <si>
    <t>10.68.170.93</t>
  </si>
  <si>
    <t>Senthilnathan.Selvarajan@magna.com</t>
  </si>
  <si>
    <t>Selvarajan, Senthilnathan</t>
  </si>
  <si>
    <t>192.168.40.18</t>
  </si>
  <si>
    <t>192.168.40.0</t>
  </si>
  <si>
    <t>003047920853</t>
  </si>
  <si>
    <t>Microsoft Corporation</t>
  </si>
  <si>
    <t>Surface Pro 7+</t>
  </si>
  <si>
    <t>Phil.Yax@magna.com</t>
  </si>
  <si>
    <t>Yax, Phil</t>
  </si>
  <si>
    <t>10.68.170.130</t>
  </si>
  <si>
    <t>5CD224JF9C</t>
  </si>
  <si>
    <t>Amy.Smith@magna.com</t>
  </si>
  <si>
    <t>Smith, Amy</t>
  </si>
  <si>
    <t>10.0.0.94</t>
  </si>
  <si>
    <t>farrah.richardson-gillette@magna.com</t>
  </si>
  <si>
    <t>Richardson-Gillette, Farrah</t>
  </si>
  <si>
    <t>10.68.170.177</t>
  </si>
  <si>
    <t>5CD224JDPR</t>
  </si>
  <si>
    <t>arshdeepsingh.dhindsa@magna.com</t>
  </si>
  <si>
    <t>Dhindsa, Arshdeep Singh</t>
  </si>
  <si>
    <t>192.168.50.45</t>
  </si>
  <si>
    <t>5CG0254210</t>
  </si>
  <si>
    <t>Ramana.Varma@magna.com</t>
  </si>
  <si>
    <t>Varma, Ramana</t>
  </si>
  <si>
    <t>192.168.2.15</t>
  </si>
  <si>
    <t>192.168.2.0</t>
  </si>
  <si>
    <t>5CD302419D</t>
  </si>
  <si>
    <t>Nicholas.Tomei@magna.com</t>
  </si>
  <si>
    <t>Tomei, Nicholas</t>
  </si>
  <si>
    <t>10.68.91.201</t>
  </si>
  <si>
    <t>5CG9042N6K</t>
  </si>
  <si>
    <t>Cassie.Seals@magna.com</t>
  </si>
  <si>
    <t>Seals, Cassie</t>
  </si>
  <si>
    <t>10.0.0.164</t>
  </si>
  <si>
    <t>5CD224JF5C</t>
  </si>
  <si>
    <t>daniel.rattee@magna.com</t>
  </si>
  <si>
    <t>Rattee, Daniel</t>
  </si>
  <si>
    <t>10.68.91.143</t>
  </si>
  <si>
    <t>5CD30241BY</t>
  </si>
  <si>
    <t>Shankar.Basavarajappa@magna.com</t>
  </si>
  <si>
    <t>Basavarajappa, Shankar</t>
  </si>
  <si>
    <t>10.0.0.32</t>
  </si>
  <si>
    <t>5CD30241CK</t>
  </si>
  <si>
    <t>Aaron.Romero@magna.com</t>
  </si>
  <si>
    <t>Romero, Aaron Michael</t>
  </si>
  <si>
    <t>10.68.170.170</t>
  </si>
  <si>
    <t>10.16.98.145</t>
  </si>
  <si>
    <t>10.16.98.0</t>
  </si>
  <si>
    <t>5CD302413H</t>
  </si>
  <si>
    <t>sahil.sharma@magna.com</t>
  </si>
  <si>
    <t>Sharma, Sahil</t>
  </si>
  <si>
    <t>10.68.170.81</t>
  </si>
  <si>
    <t>5CD302419X</t>
  </si>
  <si>
    <t>robert.miks@magna.com</t>
  </si>
  <si>
    <t>Miks, Robert</t>
  </si>
  <si>
    <t>192.168.5.212</t>
  </si>
  <si>
    <t>5CD302413N</t>
  </si>
  <si>
    <t>karthik.kandasamy@magna.com</t>
  </si>
  <si>
    <t>Kandasamy, Karthik</t>
  </si>
  <si>
    <t>10.68.170.106</t>
  </si>
  <si>
    <t>5CD30241C6</t>
  </si>
  <si>
    <t>carter.buchanan@magna.com</t>
  </si>
  <si>
    <t>Buchanan, Carter</t>
  </si>
  <si>
    <t>10.68.170.149</t>
  </si>
  <si>
    <t>zachary.rench@magna.com</t>
  </si>
  <si>
    <t>Rench, Zachary</t>
  </si>
  <si>
    <t>10.0.0.196</t>
  </si>
  <si>
    <t>5CG0156V23</t>
  </si>
  <si>
    <t>172.18.154.36</t>
  </si>
  <si>
    <t>172.18.154.0</t>
  </si>
  <si>
    <t>5CD8256FZY</t>
  </si>
  <si>
    <t>HP ProBook 450 G5</t>
  </si>
  <si>
    <t>william.o'reilly@magna.com</t>
  </si>
  <si>
    <t>O'Reilly, William</t>
  </si>
  <si>
    <t>10.68.91.187</t>
  </si>
  <si>
    <t>10.68.91.223</t>
  </si>
  <si>
    <t>5CD328B4Y9</t>
  </si>
  <si>
    <t>John.Rozzisi@magna.com</t>
  </si>
  <si>
    <t>Rozzisi, John</t>
  </si>
  <si>
    <t>10.68.91.198</t>
  </si>
  <si>
    <t>5CG0156V1S</t>
  </si>
  <si>
    <t>192.168.12.125</t>
  </si>
  <si>
    <t>192.168.12.0</t>
  </si>
  <si>
    <t>10.0.19045.6332</t>
  </si>
  <si>
    <t>Scott.Gaigalas1.offboarded@root.global</t>
  </si>
  <si>
    <t>Gaigalas, Scott1</t>
  </si>
  <si>
    <t>10.68.91.241</t>
  </si>
  <si>
    <t>10.0.26100.6584</t>
  </si>
  <si>
    <t>5CG1153Z9Y</t>
  </si>
  <si>
    <t>HP ZBook Firefly 15 G7 Mobile Workstation</t>
  </si>
  <si>
    <t>Gary.Hifko@magna.com</t>
  </si>
  <si>
    <t>Hifko, Gary</t>
  </si>
  <si>
    <t>10.68.170.140</t>
  </si>
  <si>
    <t>10.0.22631.6060</t>
  </si>
  <si>
    <t>5CD328B53M</t>
  </si>
  <si>
    <t>lynnette.underwood@magna.com</t>
  </si>
  <si>
    <t>Underwood, Lynnette</t>
  </si>
  <si>
    <t>10.68.91.254</t>
  </si>
  <si>
    <t>10.0.19045.6456</t>
  </si>
  <si>
    <t>Ron.Nemens@magna.com</t>
  </si>
  <si>
    <t>Nemens, Ron</t>
  </si>
  <si>
    <t>10.68.170.167</t>
  </si>
  <si>
    <t>MXL9521SYZ</t>
  </si>
  <si>
    <t>HP ProDesk 600 G5 Desktop Mini</t>
  </si>
  <si>
    <t>Wisam.Sami@magna.com</t>
  </si>
  <si>
    <t>Sami, Wisam</t>
  </si>
  <si>
    <t>10.68.91.207</t>
  </si>
  <si>
    <t>Patrick.Glide@magna.com</t>
  </si>
  <si>
    <t>Glide, Patrick</t>
  </si>
  <si>
    <t>10.68.170.122</t>
  </si>
  <si>
    <t>10.0.19044.6456</t>
  </si>
  <si>
    <t>10.68.91.156</t>
  </si>
  <si>
    <t>5CG4193FWS</t>
  </si>
  <si>
    <t>HP ZBook Fury 16 G10 Mobile Workstation PC</t>
  </si>
  <si>
    <t>10.68.91.249</t>
  </si>
  <si>
    <t>014663153052</t>
  </si>
  <si>
    <t>Surface 3</t>
  </si>
  <si>
    <t>10.68.91.224</t>
  </si>
  <si>
    <t>10.0.22631.5909</t>
  </si>
  <si>
    <t>5CG4193FTJ</t>
  </si>
  <si>
    <t>ian.lovell@magna.com</t>
  </si>
  <si>
    <t>Lovell, Ian</t>
  </si>
  <si>
    <t>10.68.91.234</t>
  </si>
  <si>
    <t>5CD224JF21</t>
  </si>
  <si>
    <t>10.68.170.105</t>
  </si>
  <si>
    <t>10.0.17763.7919</t>
  </si>
  <si>
    <t>Tim.McLarty@magna.com</t>
  </si>
  <si>
    <t>McLarty, Timothy</t>
  </si>
  <si>
    <t>192.168.12.246</t>
  </si>
  <si>
    <t>Hewlett-Packard</t>
  </si>
  <si>
    <t>Erica.Evans@magna.com</t>
  </si>
  <si>
    <t>Evans, Erica</t>
  </si>
  <si>
    <t>10.68.91.231</t>
  </si>
  <si>
    <t>Lynn.Rayner@magna.com</t>
  </si>
  <si>
    <t>Rayner, Lynn</t>
  </si>
  <si>
    <t>10.68.170.114</t>
  </si>
  <si>
    <t>5CG4193FWP</t>
  </si>
  <si>
    <t>jeffrey.mcdonald.offboarded@root.global</t>
  </si>
  <si>
    <t>McDonald, Jeffrey</t>
  </si>
  <si>
    <t>10.68.170.121</t>
  </si>
  <si>
    <t>Lemark.Seals@magna.com</t>
  </si>
  <si>
    <t>Seals, Lemark</t>
  </si>
  <si>
    <t>10.0.0.212</t>
  </si>
  <si>
    <t>10.0.22631.5472</t>
  </si>
  <si>
    <t>5CG4382JVF</t>
  </si>
  <si>
    <t>Keith.Boczkowski@magna.com</t>
  </si>
  <si>
    <t>Boczkowski, Keith</t>
  </si>
  <si>
    <t>5CG0156T4P</t>
  </si>
  <si>
    <t>andrew.house@magna.com</t>
  </si>
  <si>
    <t>House, Andrew</t>
  </si>
  <si>
    <t>192.168.2.13</t>
  </si>
  <si>
    <t>5CG8124PY0</t>
  </si>
  <si>
    <t>10.68.91.196</t>
  </si>
  <si>
    <t>Jackie.Jackson@magna.com</t>
  </si>
  <si>
    <t>Jackson, Jacqueline</t>
  </si>
  <si>
    <t>10.68.170.65</t>
  </si>
  <si>
    <t>Kao.Yang@magna.com</t>
  </si>
  <si>
    <t>Yang, Kao</t>
  </si>
  <si>
    <t>10.68.170.155</t>
  </si>
  <si>
    <t>5CD116V7DW</t>
  </si>
  <si>
    <t>Darryl.Cadarette@magna.com</t>
  </si>
  <si>
    <t>Cadarette, Darryl</t>
  </si>
  <si>
    <t>10.68.170.136</t>
  </si>
  <si>
    <t>5CD116V8PG</t>
  </si>
  <si>
    <t>lauree.abbott@magna.com</t>
  </si>
  <si>
    <t>Abbott, Lauree</t>
  </si>
  <si>
    <t>10.68.91.186</t>
  </si>
  <si>
    <t>10.68.91.162</t>
  </si>
  <si>
    <t>5CG1153Z9R</t>
  </si>
  <si>
    <t>10.68.91.245</t>
  </si>
  <si>
    <t>raphal.haywood@magna.com</t>
  </si>
  <si>
    <t>Haywood, Raphal</t>
  </si>
  <si>
    <t>10.0.22621.6060</t>
  </si>
  <si>
    <t>Malachi.William@magna.com</t>
  </si>
  <si>
    <t>Williams, Malachi</t>
  </si>
  <si>
    <t>10.68.170.95</t>
  </si>
  <si>
    <t>Rebecca.Bryant@magna.com</t>
  </si>
  <si>
    <t>Bryant, Rebecca</t>
  </si>
  <si>
    <t>10.68.170.126</t>
  </si>
  <si>
    <t>5CG4193FWR</t>
  </si>
  <si>
    <t>192.168.1.94</t>
  </si>
  <si>
    <t>Jessica.Hurd@magna.com</t>
  </si>
  <si>
    <t>Hurd, Jessica</t>
  </si>
  <si>
    <t>10.68.91.146</t>
  </si>
  <si>
    <t>10.68.91.189</t>
  </si>
  <si>
    <t>Austin.Ciesiolka@magna.com</t>
  </si>
  <si>
    <t>Ciesiolka, Austin</t>
  </si>
  <si>
    <t>10.68.170.69</t>
  </si>
  <si>
    <t>dale.wanamaker@magna.com</t>
  </si>
  <si>
    <t>Wanamaker, Dale</t>
  </si>
  <si>
    <t>8CC2271B9G</t>
  </si>
  <si>
    <t>HP All-in-One Desktop 27-cb0xxx</t>
  </si>
  <si>
    <t>10.68.91.141</t>
  </si>
  <si>
    <t>2YX2MP2</t>
  </si>
  <si>
    <t>Brandon.Curtis@magna.com</t>
  </si>
  <si>
    <t>Curtis, Brandon</t>
  </si>
  <si>
    <t>IntuneSerial</t>
  </si>
  <si>
    <t>Needs Model Only</t>
  </si>
  <si>
    <t>Locate</t>
  </si>
  <si>
    <t>No Missing</t>
  </si>
  <si>
    <t>No In Use, No Missing</t>
  </si>
  <si>
    <t>IntuneIP</t>
  </si>
  <si>
    <t>MXL9521R8R</t>
  </si>
  <si>
    <t>WS Team Lead Desk</t>
  </si>
  <si>
    <t>Updated 612</t>
  </si>
  <si>
    <t>AIM-CLIENT02-D</t>
  </si>
  <si>
    <t>AIM-CLIENT03-D</t>
  </si>
  <si>
    <t>CN=AIM-CLIENT03-D,OU=Production,OU=Computers,OU=AIM,OU=America,OU=Exteriors,OU=Magna Group,DC=magna,DC=global</t>
  </si>
  <si>
    <t>AIM-CLIENT04-D</t>
  </si>
  <si>
    <t>AIM-CLIENT05-D</t>
  </si>
  <si>
    <t>CN=AIM-CLIENT05-D,OU=Production,OU=Computers,OU=AIM,OU=America,OU=Exteriors,OU=Magna Group,DC=magna,DC=global</t>
  </si>
  <si>
    <t>AIM-CLIENT06-D</t>
  </si>
  <si>
    <t>CN=AIM-CLIENT06-D,OU=Production,OU=Computers,OU=AIM,OU=America,OU=Exteriors,OU=Magna Group,DC=magna,DC=global</t>
  </si>
  <si>
    <t>AIM-CLIENT07-D</t>
  </si>
  <si>
    <t>CN=AIM-CLIENT07-D,OU=Production,OU=Computers,OU=AIM,OU=America,OU=Exteriors,OU=Magna Group,DC=magna,DC=global</t>
  </si>
  <si>
    <t>AIM-CLIENT08-D</t>
  </si>
  <si>
    <t>AIM-CLIENT09-D</t>
  </si>
  <si>
    <t>CN=AIM-CLIENT09-D,OU=Production,OU=Computers,OU=AIM,OU=America,OU=Exteriors,OU=Magna Group,DC=magna,DC=global</t>
  </si>
  <si>
    <t>AIM-CLIENT10-D</t>
  </si>
  <si>
    <t>CN=AIM-CLIENT10-D,OU=Production,OU=Computers,OU=AIM,OU=America,OU=Exteriors,OU=Magna Group,DC=magna,DC=global</t>
  </si>
  <si>
    <t>AIM-CLIENT11-D</t>
  </si>
  <si>
    <t>CN=AIM-CLIENT11-D,OU=Production,OU=Computers,OU=AIM,OU=America,OU=Exteriors,OU=Magna Group,DC=magna,DC=global</t>
  </si>
  <si>
    <t>AIM-CLIENT12-D</t>
  </si>
  <si>
    <t>CN=AIM-CLIENT12-D,OU=Production,OU=Computers,OU=AIM,OU=America,OU=Exteriors,OU=Magna Group,DC=magna,DC=global</t>
  </si>
  <si>
    <t>AIM-CLIENT13-D</t>
  </si>
  <si>
    <t>CN=AIM-CLIENT13-D,OU=Production,OU=Computers,OU=AIM,OU=America,OU=Exteriors,OU=Magna Group,DC=magna,DC=global</t>
  </si>
  <si>
    <t>AIM-CLIENT14-D</t>
  </si>
  <si>
    <t>CN=AIM-CLIENT14-D,OU=Production,OU=Computers,OU=AIM,OU=America,OU=Exteriors,OU=Magna Group,DC=magna,DC=global</t>
  </si>
  <si>
    <t>AIM-CLIENT15-D</t>
  </si>
  <si>
    <t>CN=AIM-CLIENT15-D,OU=Production,OU=Computers,OU=AIM,OU=America,OU=Exteriors,OU=Magna Group,DC=magna,DC=global</t>
  </si>
  <si>
    <t>AIM-CLIENT16-D</t>
  </si>
  <si>
    <t>CN=AIM-CLIENT16-D,OU=Production,OU=Computers,OU=AIM,OU=America,OU=Exteriors,OU=Magna Group,DC=magna,DC=global</t>
  </si>
  <si>
    <t>AIM-CLIENT17-D</t>
  </si>
  <si>
    <t>CN=AIM-CLIENT17-D,OU=Production-Line,OU=Computers,OU=AIM,OU=America,OU=Exteriors,OU=Magna Group,DC=magna,DC=global</t>
  </si>
  <si>
    <t>AIM-CLIENT18-D</t>
  </si>
  <si>
    <t>CN=AIM-CLIENT18-D,OU=Production,OU=Computers,OU=AIM,OU=America,OU=Exteriors,OU=Magna Group,DC=magna,DC=global</t>
  </si>
  <si>
    <t>AIM-CLIENT19-D</t>
  </si>
  <si>
    <t>CN=AIM-CLIENT19-D,OU=Production,OU=Computers,OU=AIM,OU=America,OU=Exteriors,OU=Magna Group,DC=magna,DC=global</t>
  </si>
  <si>
    <t>AIM-CLIENT20-D</t>
  </si>
  <si>
    <t>CN=AIM-CLIENT20-D,OU=Production,OU=Computers,OU=AIM,OU=America,OU=Exteriors,OU=Magna Group,DC=magna,DC=global</t>
  </si>
  <si>
    <t>AIM-CLIENT21-D</t>
  </si>
  <si>
    <t>CN=AIM-CLIENT21-D,OU=Production,OU=Computers,OU=AIM,OU=America,OU=Exteriors,OU=Magna Group,DC=magna,DC=global</t>
  </si>
  <si>
    <t>AIM-CLIENT22-D</t>
  </si>
  <si>
    <t>CN=AIM-CLIENT22-D,OU=Production,OU=Computers,OU=AIM,OU=America,OU=Exteriors,OU=Magna Group,DC=magna,DC=global</t>
  </si>
  <si>
    <t>AIM-CLIENT23-D</t>
  </si>
  <si>
    <t>CN=AIM-CLIENT23-D,OU=Production,OU=Computers,OU=AIM,OU=America,OU=Exteriors,OU=Magna Group,DC=magna,DC=global</t>
  </si>
  <si>
    <t>AIM-CLIENT24-D</t>
  </si>
  <si>
    <t>CN=AIM-CLIENT24-D,OU=Production,OU=Computers,OU=AIM,OU=America,OU=Exteriors,OU=Magna Group,DC=magna,DC=global</t>
  </si>
  <si>
    <t>AIM-DTFEMST09-D</t>
  </si>
  <si>
    <t>CN=AIM-DTFEMST09-D,OU=Production-DT,OU=Computers,OU=AIM,OU=America,OU=Exteriors,OU=Magna Group,DC=magna,DC=global</t>
  </si>
  <si>
    <t>AIM-DTFEMST10-D</t>
  </si>
  <si>
    <t>CN=AIM-DTFEMST10-D,OU=Production-DT,OU=Computers,OU=AIM,OU=America,OU=Exteriors,OU=Magna Group,DC=magna,DC=global</t>
  </si>
  <si>
    <t>AIM-HPSPARE1-D</t>
  </si>
  <si>
    <t>AIM-HPSPARE2-D</t>
  </si>
  <si>
    <t>AIM-ITSWAP1</t>
  </si>
  <si>
    <t>AIM-MOLDDISP2-D</t>
  </si>
  <si>
    <t>CN=AIM-MOLDDISP2-D,OU=Production,OU=Computers,OU=AIM,OU=America,OU=Exteriors,OU=Magna Group,DC=magna,DC=global</t>
  </si>
  <si>
    <t>AIM-PRESS5</t>
  </si>
  <si>
    <t>CN=AIM-PRESS5,OU=Production-DT,OU=Computers,OU=AIM,OU=America,OU=Exteriors,OU=Magna Group,DC=magna,DC=global</t>
  </si>
  <si>
    <t>AIM-T1SPARE15-D</t>
  </si>
  <si>
    <t>AIM-T1SUVJIT</t>
  </si>
  <si>
    <t>CN=AIM-T1SUVJIT,OU=Production-Line,OU=Computers,OU=AIM,OU=America,OU=Exteriors,OU=Magna Group,DC=magna,DC=global</t>
  </si>
  <si>
    <t>AIM-TESTPROD-TM</t>
  </si>
  <si>
    <t>CN=AIM-WSWHTURNT,OU=Production-Line,OU=Computers,OU=AIM,OU=America,OU=Exteriors,OU=Magna Group,DC=magna,DC=global</t>
  </si>
  <si>
    <t>AIM-JTAYLOR-L</t>
  </si>
  <si>
    <t>AIM-JTAYLOR-L$</t>
  </si>
  <si>
    <t>CN=AIM-JTAYLOR-L,OU=IT,OU=Intune,OU=Computers,OU=AIM,OU=America,OU=Exteriors,OU=Magna Group,DC=magna,DC=global</t>
  </si>
  <si>
    <t>AIMWS1H844934ZF</t>
  </si>
  <si>
    <t>AIMWS1H844934ZF$</t>
  </si>
  <si>
    <t>CN=AIMWS1H844934ZF,OU=Intune,OU=Computers,OU=AIM,OU=America,OU=Exteriors,OU=Magna Group,DC=magna,DC=global</t>
  </si>
  <si>
    <t>AIMWS2MQ5310GVS</t>
  </si>
  <si>
    <t>AIMWS2MQ5310GVS$</t>
  </si>
  <si>
    <t>AIMWS2MQ5310GX5</t>
  </si>
  <si>
    <t>AIMWS2MQ5310GX5$</t>
  </si>
  <si>
    <t>CN=AIMWS2MQ5310GX5,OU=Intune,OU=Computers,OU=AIM,OU=America,OU=Exteriors,OU=Magna Group,DC=magna,DC=global</t>
  </si>
  <si>
    <t>LocLookup</t>
  </si>
  <si>
    <t>NameLookup</t>
  </si>
  <si>
    <t>Workstation</t>
  </si>
  <si>
    <t>MDSolidatWS</t>
  </si>
  <si>
    <t>Win11</t>
  </si>
  <si>
    <t>IoT</t>
  </si>
  <si>
    <t>ERROR</t>
  </si>
  <si>
    <t>bt1limiter</t>
  </si>
  <si>
    <t>aim-hpspare1-d</t>
  </si>
  <si>
    <t>dtaadtorqstn</t>
  </si>
  <si>
    <t>aim-hpspare2-d</t>
  </si>
  <si>
    <t>dtaadtesterpack</t>
  </si>
  <si>
    <t>aim-itswap1</t>
  </si>
  <si>
    <t>dtaadassym</t>
  </si>
  <si>
    <t>dtlwagsasy3</t>
  </si>
  <si>
    <t>AIM-DTAGSUPRSEAL1</t>
  </si>
  <si>
    <t>dtupragsseal1</t>
  </si>
  <si>
    <t>AIM-DTUPAGSSEL2</t>
  </si>
  <si>
    <t>dtupagssel2</t>
  </si>
  <si>
    <t>DT Display = FEM Lookahead</t>
  </si>
  <si>
    <t>10.68.134.186</t>
  </si>
  <si>
    <t>aim-dtlookahead</t>
  </si>
  <si>
    <t>Dt Display - Truck Display</t>
  </si>
  <si>
    <t>10.68.134.78</t>
  </si>
  <si>
    <t>aim-dttruck-d</t>
  </si>
  <si>
    <t>press1</t>
  </si>
  <si>
    <t>Press 3 HMI</t>
  </si>
  <si>
    <t>10.68.89.49</t>
  </si>
  <si>
    <t>Press 4 HMI</t>
  </si>
  <si>
    <t>10.68.89.46</t>
  </si>
  <si>
    <t>Press 5 HMI</t>
  </si>
  <si>
    <t>10.68.89.44</t>
  </si>
  <si>
    <t>10.68.134.120</t>
  </si>
  <si>
    <t>aim-press6</t>
  </si>
  <si>
    <t>press6</t>
  </si>
  <si>
    <t>Press 6 HMI</t>
  </si>
  <si>
    <t>10.68.89.58</t>
  </si>
  <si>
    <t>aim-press7</t>
  </si>
  <si>
    <t>press7</t>
  </si>
  <si>
    <t>Press 7 HMI</t>
  </si>
  <si>
    <t>10.68.89.60</t>
  </si>
  <si>
    <t>Team Lead Desk - SUV</t>
  </si>
  <si>
    <t>aim-client02-d</t>
  </si>
  <si>
    <t>Production Desks</t>
  </si>
  <si>
    <t>Maintenance Desk - Cage</t>
  </si>
  <si>
    <t>Maintenance Desk - DT FEM</t>
  </si>
  <si>
    <t>Maintenance Desk - WS</t>
  </si>
  <si>
    <t>Quality Desk - DT FEM</t>
  </si>
  <si>
    <t>Quality Desk - T1</t>
  </si>
  <si>
    <t>Team Lead Desk - AAD</t>
  </si>
  <si>
    <t>Team Lead Desk - DT FEM</t>
  </si>
  <si>
    <t>Team Lead Desk - WS</t>
  </si>
  <si>
    <t>AIM-SRVT1CHVASSY1</t>
  </si>
  <si>
    <t>srvt1chvasy1</t>
  </si>
  <si>
    <t>AIM-SRVT1CHVSEAL1</t>
  </si>
  <si>
    <t>srvt1chvsel1</t>
  </si>
  <si>
    <t>AIM-SRVT1CHVTEST</t>
  </si>
  <si>
    <t>srvt1chvtstpck</t>
  </si>
  <si>
    <t>10.68.89.7</t>
  </si>
  <si>
    <t>AIM-SRVT1GMCASSY1</t>
  </si>
  <si>
    <t>srvt1gmcasy1</t>
  </si>
  <si>
    <t>10.68.89.8</t>
  </si>
  <si>
    <t>AIM-SRVT1GMCSEAL1</t>
  </si>
  <si>
    <t>srvt1gmcsel1</t>
  </si>
  <si>
    <t>10.68.89.9</t>
  </si>
  <si>
    <t>AIM-SRVT1GMCTEST</t>
  </si>
  <si>
    <t>srvt1gmctstpck</t>
  </si>
  <si>
    <t>172.xx</t>
  </si>
  <si>
    <t>aim-t1ldgmcasyy1</t>
  </si>
  <si>
    <t>AIM-T1LDGMCASYY1</t>
  </si>
  <si>
    <t>0</t>
  </si>
  <si>
    <t>t1ldlwrasytest3</t>
  </si>
  <si>
    <t>t1ldlwrasytest1</t>
  </si>
  <si>
    <t>aim-client07-d</t>
  </si>
  <si>
    <t>t1suvasy3 (assy3)</t>
  </si>
  <si>
    <t>assy3</t>
  </si>
  <si>
    <t>aim-client09-d</t>
  </si>
  <si>
    <t>t1suvasy2 (assy2)</t>
  </si>
  <si>
    <t>assy2</t>
  </si>
  <si>
    <t>aim-client12-d</t>
  </si>
  <si>
    <t>seal1</t>
  </si>
  <si>
    <t>10.68.134.62</t>
  </si>
  <si>
    <t>T1XX-2 Lower</t>
  </si>
  <si>
    <t>10.68.134.133</t>
  </si>
  <si>
    <t>10.68.134.134</t>
  </si>
  <si>
    <t>T1XX-2 Lower - Actuator</t>
  </si>
  <si>
    <t>T1XX-2 Lower - Pack 1</t>
  </si>
  <si>
    <t>10.68.89.116</t>
  </si>
  <si>
    <t>t2lwagsasytstpck1</t>
  </si>
  <si>
    <t>T1XX-2 Lower = Pack 2</t>
  </si>
  <si>
    <t>10.68.89.117</t>
  </si>
  <si>
    <t>t2lwagsasytstpck2</t>
  </si>
  <si>
    <t>T1XX-2 Lower - Pack 3</t>
  </si>
  <si>
    <t>10.68.89.118</t>
  </si>
  <si>
    <t>t2lwagsasytstpck3</t>
  </si>
  <si>
    <t>WS AGS Upper</t>
  </si>
  <si>
    <t>wsmasupagssel1</t>
  </si>
  <si>
    <t>wsmasupagststpck1</t>
  </si>
  <si>
    <t>10.68.134.184</t>
  </si>
  <si>
    <t>wsmasupagsasy1</t>
  </si>
  <si>
    <t>wsmasupagsasy2</t>
  </si>
  <si>
    <t>aim-dtcarrier3</t>
  </si>
  <si>
    <t>DT AGS Lower - Seal &amp; Test 1</t>
  </si>
  <si>
    <t>dtagslwrsltst1</t>
  </si>
  <si>
    <t>DS Grill = Laramie</t>
  </si>
  <si>
    <t>10.68.89.85</t>
  </si>
  <si>
    <t>AIM-WSFEM12</t>
  </si>
  <si>
    <t>aim-bt1lwrassy</t>
  </si>
  <si>
    <t>bt1lwshtasypck</t>
  </si>
  <si>
    <t>aim-bt1lwrtest</t>
  </si>
  <si>
    <t>bt1lwflptstpck</t>
  </si>
  <si>
    <t>aim-wsfem34</t>
  </si>
  <si>
    <t>bt1lwflpasy</t>
  </si>
  <si>
    <t>aim-bt1uprassy</t>
  </si>
  <si>
    <t>bt1uprassy</t>
  </si>
  <si>
    <t>aim-bt1uprsltst</t>
  </si>
  <si>
    <t>bt1uprtestpack1</t>
  </si>
  <si>
    <t>bt1uprtestpack2</t>
  </si>
  <si>
    <t>dtaad05</t>
  </si>
  <si>
    <t>dtaad30</t>
  </si>
  <si>
    <t>DT FEM - AGS Lookahead</t>
  </si>
  <si>
    <t>10.68.134.65</t>
  </si>
  <si>
    <t>aim-dtagslowdsp</t>
  </si>
  <si>
    <t>DT AGS Lower - Seal &amp; Test 3</t>
  </si>
  <si>
    <t>aim-dtlwagssel3</t>
  </si>
  <si>
    <t>dtlwagsseltst3</t>
  </si>
  <si>
    <t>dtlwagsasy2</t>
  </si>
  <si>
    <t>DT AGS Lower - Seal &amp; Test 2</t>
  </si>
  <si>
    <t>dtlwagsseltst2</t>
  </si>
  <si>
    <t>aim-dtaadpack</t>
  </si>
  <si>
    <t>dtupragstestpack1</t>
  </si>
  <si>
    <t>DT AGS Upper - Assembly 1</t>
  </si>
  <si>
    <t>10.68.134.125</t>
  </si>
  <si>
    <t>srvdtupagsasy1</t>
  </si>
  <si>
    <t>10.68.134.123</t>
  </si>
  <si>
    <t>srvdtupagststpck</t>
  </si>
  <si>
    <t>dtupagsasy2</t>
  </si>
  <si>
    <t>dtupagsasy3</t>
  </si>
  <si>
    <t>DT Display - FEM Buffer By Dock 74</t>
  </si>
  <si>
    <t>10.68.134.54</t>
  </si>
  <si>
    <t>aim-display16</t>
  </si>
  <si>
    <t>DT Display = FEM Buffer (Dock)</t>
  </si>
  <si>
    <t>10.68.134.159</t>
  </si>
  <si>
    <t>aim-display7</t>
  </si>
  <si>
    <t>10.68.134.143</t>
  </si>
  <si>
    <t>DT Display - FEM Buffer (Wall)</t>
  </si>
  <si>
    <t>10.68.134.83</t>
  </si>
  <si>
    <t>aim-dtfemdisp</t>
  </si>
  <si>
    <t>DT Display - Shipping Sequence Display</t>
  </si>
  <si>
    <t>10.68.134.77</t>
  </si>
  <si>
    <t>aim-dtshipseq2</t>
  </si>
  <si>
    <t>DT Display - Keith's Display</t>
  </si>
  <si>
    <t>DT FEM - Rebuild Station</t>
  </si>
  <si>
    <t>aim-skynet1</t>
  </si>
  <si>
    <t>aim-picker6</t>
  </si>
  <si>
    <t>press3</t>
  </si>
  <si>
    <t>10.68.89.110</t>
  </si>
  <si>
    <t>aim-press0-t</t>
  </si>
  <si>
    <t>press4</t>
  </si>
  <si>
    <t>press5</t>
  </si>
  <si>
    <t>10.68.89.112</t>
  </si>
  <si>
    <t>aim-surface10-t</t>
  </si>
  <si>
    <t>press2</t>
  </si>
  <si>
    <t>Maintenance Desk - Molding</t>
  </si>
  <si>
    <t>Team Lead Desk - Molding</t>
  </si>
  <si>
    <t>DT AGS Lower - Assembly 1</t>
  </si>
  <si>
    <t>10.68.134.131</t>
  </si>
  <si>
    <t>dtagslwrassy1</t>
  </si>
  <si>
    <t>aim-t1dchvtest</t>
  </si>
  <si>
    <t>aim-t1ldchvasy1</t>
  </si>
  <si>
    <t>t1ldchvasy1</t>
  </si>
  <si>
    <t>aim-t1ldchvasy2</t>
  </si>
  <si>
    <t>t1ldchvasy2</t>
  </si>
  <si>
    <t>aim-t1ldchvsea1</t>
  </si>
  <si>
    <t>aim-t1ldchvsea2</t>
  </si>
  <si>
    <t>aim-t1ldgmcasy2</t>
  </si>
  <si>
    <t>aim-t1ldgmcseal</t>
  </si>
  <si>
    <t>aim-t1ldgmctest</t>
  </si>
  <si>
    <t>aim-t1dgmcpack</t>
  </si>
  <si>
    <t>t1lwrpack1</t>
  </si>
  <si>
    <t>aim-t1lwasytst4</t>
  </si>
  <si>
    <t>t1ldlwrasytest4</t>
  </si>
  <si>
    <t>aim-t1lwpack2</t>
  </si>
  <si>
    <t>t1lwrpack2</t>
  </si>
  <si>
    <t>t1ldlwrasytest2</t>
  </si>
  <si>
    <t>aim-suvswap1-d</t>
  </si>
  <si>
    <t>t1suvasy1 (assy1)</t>
  </si>
  <si>
    <t>assy1</t>
  </si>
  <si>
    <t>aim-suvswap5-d</t>
  </si>
  <si>
    <t>weld2</t>
  </si>
  <si>
    <t>seal2</t>
  </si>
  <si>
    <t>t1suvtesterpack</t>
  </si>
  <si>
    <t>weld1</t>
  </si>
  <si>
    <t>WS Carousel - Camera Tester</t>
  </si>
  <si>
    <t>10.68.89.222</t>
  </si>
  <si>
    <t>WS Carousel - Packout</t>
  </si>
  <si>
    <t>aim-wsfem42</t>
  </si>
  <si>
    <t>DT AGS Upper - Seal 3</t>
  </si>
  <si>
    <t>10.68.134.10</t>
  </si>
  <si>
    <t>srvdtupagssel1</t>
  </si>
  <si>
    <t>WS Display - Sequence Check</t>
  </si>
  <si>
    <t>WS AGS - Seal 2</t>
  </si>
  <si>
    <t>10.68.89.201</t>
  </si>
  <si>
    <t>WS AGS - Assembly 2</t>
  </si>
  <si>
    <t>10.68.89.202</t>
  </si>
  <si>
    <t>DS Grill - ORT</t>
  </si>
  <si>
    <t>10.68.89.88</t>
  </si>
  <si>
    <t>WS AGS - Test 1</t>
  </si>
  <si>
    <t>Team Lead Desk - Dock 74</t>
  </si>
  <si>
    <t>10.0 (26100) Total</t>
  </si>
  <si>
    <t>10.0 (26200) Total</t>
  </si>
  <si>
    <t>Windows 11 IoT Enterprise LTSC Total</t>
  </si>
  <si>
    <t>CN=AIM-SHIPTABLET1,OU=Production-Line,OU=Computers,OU=AIM,OU=America,OU=Exteriors,OU=Magna Group,DC=magna,DC=global</t>
  </si>
  <si>
    <t>CN=AIM-SURFACE9-T,OU=Production-Line,OU=Computers,OU=AIM,OU=America,OU=Exteriors,OU=Magna Group,DC=magna,DC=global</t>
  </si>
  <si>
    <t>AIM-CLIENT25-D</t>
  </si>
  <si>
    <t>CN=AIM-CLIENT25-D,OU=Production,OU=Computers,OU=AIM,OU=America,OU=Exteriors,OU=Magna Group,DC=magna,DC=global</t>
  </si>
  <si>
    <t>AIM-CLIENT35-D</t>
  </si>
  <si>
    <t>CN=AIM-CLIENT35-D,OU=Production,OU=Computers,OU=AIM,OU=America,OU=Exteriors,OU=Magna Group,DC=magna,DC=global</t>
  </si>
  <si>
    <t>AIM-HRTAB-T</t>
  </si>
  <si>
    <t>CN=AIM-SURFACE5-T,OU=Production-Line,OU=Computers,OU=AIM,OU=America,OU=Exteriors,OU=Magna Group,DC=magna,DC=global</t>
  </si>
  <si>
    <t>CN=AIM-ZEBRAMAT1-T,OU=Production-Line,OU=Computers,OU=AIM,OU=America,OU=Exteriors,OU=Magna Group,DC=magna,DC=global</t>
  </si>
  <si>
    <t>CN=AIM-ZEBRAMAT2-T,OU=Production-Line,OU=Computers,OU=AIM,OU=America,OU=Exteriors,OU=Magna Group,DC=magna,DC=global</t>
  </si>
  <si>
    <t>CN=AIM-ZEBRAMAT3-T,OU=Production-Line,OU=Computers,OU=AIM,OU=America,OU=Exteriors,OU=Magna Group,DC=magna,DC=global</t>
  </si>
  <si>
    <t>AIMHYPERV1</t>
  </si>
  <si>
    <t>Windows Server 2025 Datacenter</t>
  </si>
  <si>
    <t>CN=AIMHYPERV1,OU=AIM_Hyper-V,OU=Servers,OU=AIM,OU=America,OU=Exteriors,OU=Magna Group,DC=magna,DC=global</t>
  </si>
  <si>
    <t>AIMHYPERV2</t>
  </si>
  <si>
    <t>CN=AIMHYPERV2,OU=AIM_Hyper-V,OU=Servers,OU=AIM,OU=America,OU=Exteriors,OU=Magna Group,DC=magna,DC=global</t>
  </si>
  <si>
    <t>AIM-CLIENT27-D</t>
  </si>
  <si>
    <t>CN=AIM-CLIENT27-D,OU=Production,OU=Computers,OU=AIM,OU=America,OU=Exteriors,OU=Magna Group,DC=magna,DC=global</t>
  </si>
  <si>
    <t>AIM-CLIENT28-D</t>
  </si>
  <si>
    <t>CN=AIM-CLIENT28-D,OU=Production,OU=Computers,OU=AIM,OU=America,OU=Exteriors,OU=Magna Group,DC=magna,DC=global</t>
  </si>
  <si>
    <t>AIM-CLIENT29-D</t>
  </si>
  <si>
    <t>CN=AIM-CLIENT29-D,OU=Production,OU=Computers,OU=AIM,OU=America,OU=Exteriors,OU=Magna Group,DC=magna,DC=global</t>
  </si>
  <si>
    <t>AIM-CLIENT30-D</t>
  </si>
  <si>
    <t>CN=AIM-CLIENT30-D,OU=Production,OU=Computers,OU=AIM,OU=America,OU=Exteriors,OU=Magna Group,DC=magna,DC=global</t>
  </si>
  <si>
    <t>AIM-CLIENT31-D</t>
  </si>
  <si>
    <t>CN=AIM-CLIENT31-D,OU=Production,OU=Computers,OU=AIM,OU=America,OU=Exteriors,OU=Magna Group,DC=magna,DC=global</t>
  </si>
  <si>
    <t>AIM-CLIENT33-D</t>
  </si>
  <si>
    <t>CN=AIM-CLIENT33-D,OU=Production,OU=Computers,OU=AIM,OU=America,OU=Exteriors,OU=Magna Group,DC=magna,DC=global</t>
  </si>
  <si>
    <t>AIM-CLIENT34-D</t>
  </si>
  <si>
    <t>CN=AIM-CLIENT34-D,OU=Production,OU=Computers,OU=AIM,OU=America,OU=Exteriors,OU=Magna Group,DC=magna,DC=global</t>
  </si>
  <si>
    <t>AIM-CLIENT36-D</t>
  </si>
  <si>
    <t>CN=AIM-CLIENT36-D,OU=Production,OU=Computers,OU=AIM,OU=America,OU=Exteriors,OU=Magna Group,DC=magna,DC=global</t>
  </si>
  <si>
    <t>AIM-MATDISP-D</t>
  </si>
  <si>
    <t>CN=AIM-MATDISP-D,OU=Production,OU=Computers,OU=AIM,OU=America,OU=Exteriors,OU=Magna Group,DC=magna,DC=global</t>
  </si>
  <si>
    <t>AIM-UNION2-D</t>
  </si>
  <si>
    <t>AIM-ZEBRATAB3-T</t>
  </si>
  <si>
    <t>CN=AIM-ZEBRATAB3-T,OU=Production-Line,OU=Computers,OU=AIM,OU=America,OU=Exteriors,OU=Magna Group,DC=magna,DC=global</t>
  </si>
  <si>
    <t>AIM-CLIENT26-D</t>
  </si>
  <si>
    <t>AIM-CLIENT26-D$</t>
  </si>
  <si>
    <t>CN=AIM-CLIENT26-D,OU=Production-DT,OU=Computers,OU=AIM,OU=America,OU=Exteriors,OU=Magna Group,DC=magna,DC=global</t>
  </si>
  <si>
    <t>AIM-JROZZISI-L</t>
  </si>
  <si>
    <t>AIM-JROZZISI-L$</t>
  </si>
  <si>
    <t>CN=AIM-JROZZISI-L,OU=Materials,OU=Intune,OU=Computers,OU=AIM,OU=America,OU=Exteriors,OU=Magna Group,DC=magna,DC=global</t>
  </si>
  <si>
    <t>AIM-LSEALS-L$</t>
  </si>
  <si>
    <t>CN=AIM-LSEALS-L,OU=Intune,OU=Computers,OU=AIM,OU=America,OU=Exteriors,OU=Magna Group,DC=magna,DC=global</t>
  </si>
  <si>
    <t>CN=AIM-SURFACE11-T,OU=Production-Line,OU=Computers,OU=AIM,OU=America,OU=Exteriors,OU=Magna Group,DC=magna,DC=global</t>
  </si>
  <si>
    <t>AIM-CLIENT01-D</t>
  </si>
  <si>
    <t>CN=AIM-CLIENT01-D,OU=Production,OU=Computers,OU=AIM,OU=America,OU=Exteriors,OU=Magna Group,DC=magna,DC=global</t>
  </si>
  <si>
    <t>CN=AIM-CLIENT02-D,OU=Production users,OU=Intune,OU=Computers,OU=AIM,OU=America,OU=Exteriors,OU=Magna Group,DC=magna,DC=global</t>
  </si>
  <si>
    <t>CN=AIM-CLIENT04-D,OU=Production users,OU=Intune,OU=Computers,OU=AIM,OU=America,OU=Exteriors,OU=Magna Group,DC=magna,DC=global</t>
  </si>
  <si>
    <t>CN=AIM-CLIENT08-D,OU=Production users,OU=Intune,OU=Computers,OU=AIM,OU=America,OU=Exteriors,OU=Magna Group,DC=magna,DC=global</t>
  </si>
  <si>
    <t>AIM-CLIENT37-D</t>
  </si>
  <si>
    <t>CN=AIM-CLIENT37-D,OU=Production,OU=Computers,OU=AIM,OU=America,OU=Exteriors,OU=Magna Group,DC=magna,DC=global</t>
  </si>
  <si>
    <t>AIM-CLIENT38-D</t>
  </si>
  <si>
    <t>CN=AIM-CLIENT38-D,OU=Production,OU=Computers,OU=AIM,OU=America,OU=Exteriors,OU=Magna Group,DC=magna,DC=global</t>
  </si>
  <si>
    <t>AIM-CLIENT39-D</t>
  </si>
  <si>
    <t>CN=AIM-CLIENT39-D,OU=Production,OU=Computers,OU=AIM,OU=America,OU=Exteriors,OU=Magna Group,DC=magna,DC=global</t>
  </si>
  <si>
    <t>AIM-CLIENT40-D</t>
  </si>
  <si>
    <t>CN=AIM-CLIENT40-D,OU=Production,OU=Computers,OU=AIM,OU=America,OU=Exteriors,OU=Magna Group,DC=magna,DC=global</t>
  </si>
  <si>
    <t>AIM-CLIENT41-D</t>
  </si>
  <si>
    <t>CN=AIM-CLIENT41-D,OU=Production,OU=Computers,OU=AIM,OU=America,OU=Exteriors,OU=Magna Group,DC=magna,DC=global</t>
  </si>
  <si>
    <t>AIM-CLIENT42-D</t>
  </si>
  <si>
    <t>CN=AIM-CLIENT42-D,OU=Production,OU=Computers,OU=AIM,OU=America,OU=Exteriors,OU=Magna Group,DC=magna,DC=global</t>
  </si>
  <si>
    <t>AIM-CLIENT43-D</t>
  </si>
  <si>
    <t>CN=AIM-CLIENT43-D,OU=Production,OU=Computers,OU=AIM,OU=America,OU=Exteriors,OU=Magna Group,DC=magna,DC=global</t>
  </si>
  <si>
    <t>AIM-CLIENT44-D</t>
  </si>
  <si>
    <t>CN=AIM-CLIENT44-D,OU=Production,OU=Computers,OU=AIM,OU=America,OU=Exteriors,OU=Magna Group,DC=magna,DC=global</t>
  </si>
  <si>
    <t>AIM-CLIENT45-D</t>
  </si>
  <si>
    <t>CN=AIM-CLIENT45-D,OU=Production,OU=Computers,OU=AIM,OU=America,OU=Exteriors,OU=Magna Group,DC=magna,DC=global</t>
  </si>
  <si>
    <t>AIM-CLIENT46-D</t>
  </si>
  <si>
    <t>CN=AIM-CLIENT46-D,OU=Production,OU=Computers,OU=AIM,OU=America,OU=Exteriors,OU=Magna Group,DC=magna,DC=global</t>
  </si>
  <si>
    <t>AIM-CLIENT47-D</t>
  </si>
  <si>
    <t>CN=AIM-CLIENT47-D,OU=Production,OU=Computers,OU=AIM,OU=America,OU=Exteriors,OU=Magna Group,DC=magna,DC=global</t>
  </si>
  <si>
    <t>AIM-CLIENT48-D</t>
  </si>
  <si>
    <t>CN=AIM-CLIENT48-D,OU=Production,OU=Computers,OU=AIM,OU=America,OU=Exteriors,OU=Magna Group,DC=magna,DC=global</t>
  </si>
  <si>
    <t>AIM-CLIENT49-D</t>
  </si>
  <si>
    <t>CN=AIM-CLIENT49-D,OU=Production,OU=Computers,OU=AIM,OU=America,OU=Exteriors,OU=Magna Group,DC=magna,DC=global</t>
  </si>
  <si>
    <t>AIM-CLIENT51-D</t>
  </si>
  <si>
    <t>CN=AIM-CLIENT51-D,OU=Production,OU=Computers,OU=AIM,OU=America,OU=Exteriors,OU=Magna Group,DC=magna,DC=global</t>
  </si>
  <si>
    <t>AIM-CLIENT53-D</t>
  </si>
  <si>
    <t>CN=AIM-CLIENT53-D,OU=Production,OU=Computers,OU=AIM,OU=America,OU=Exteriors,OU=Magna Group,DC=magna,DC=global</t>
  </si>
  <si>
    <t>AIM-CLIENT54-D</t>
  </si>
  <si>
    <t>CN=AIM-CLIENT54-D,OU=Production,OU=Computers,OU=AIM,OU=America,OU=Exteriors,OU=Magna Group,DC=magna,DC=global</t>
  </si>
  <si>
    <t>AIM-CLIENT55-D</t>
  </si>
  <si>
    <t>CN=AIM-CLIENT55-D,OU=Production,OU=Computers,OU=AIM,OU=America,OU=Exteriors,OU=Magna Group,DC=magna,DC=global</t>
  </si>
  <si>
    <t>AIM-CLIENT56-D</t>
  </si>
  <si>
    <t>CN=AIM-CLIENT56-D,OU=Production,OU=Computers,OU=AIM,OU=America,OU=Exteriors,OU=Magna Group,DC=magna,DC=global</t>
  </si>
  <si>
    <t>AIM-CLIENT57-D</t>
  </si>
  <si>
    <t>CN=AIM-CLIENT57-D,OU=Production,OU=Computers,OU=AIM,OU=America,OU=Exteriors,OU=Magna Group,DC=magna,DC=global</t>
  </si>
  <si>
    <t>AIM-CLIENT58-D</t>
  </si>
  <si>
    <t>CN=AIM-CLIENT58-D,OU=Production,OU=Computers,OU=AIM,OU=America,OU=Exteriors,OU=Magna Group,DC=magna,DC=global</t>
  </si>
  <si>
    <t>AIM-CLIENT59-D</t>
  </si>
  <si>
    <t>CN=AIM-CLIENT59-D,OU=Production,OU=Computers,OU=AIM,OU=America,OU=Exteriors,OU=Magna Group,DC=magna,DC=global</t>
  </si>
  <si>
    <t>AIM-CLIENT63-D</t>
  </si>
  <si>
    <t>CN=AIM-CLIENT63-D,OU=Production,OU=Computers,OU=AIM,OU=America,OU=Exteriors,OU=Magna Group,DC=magna,DC=global</t>
  </si>
  <si>
    <t>AIM-CLIENT64-D</t>
  </si>
  <si>
    <t>CN=AIM-CLIENT64-D,OU=Production,OU=Computers,OU=AIM,OU=America,OU=Exteriors,OU=Magna Group,DC=magna,DC=global</t>
  </si>
  <si>
    <t>AIM-CLIENT75-D</t>
  </si>
  <si>
    <t>CN=AIM-CLIENT75-D,OU=Production,OU=Computers,OU=AIM,OU=America,OU=Exteriors,OU=Magna Group,DC=magna,DC=global</t>
  </si>
  <si>
    <t>AIM-T1X2LWR2</t>
  </si>
  <si>
    <t>CN=AIM-T1X2LWR2,OU=Production,OU=Computers,OU=AIM,OU=America,OU=Exteriors,OU=Magna Group,DC=magna,DC=global</t>
  </si>
  <si>
    <t>CN=AIM-UNION2-D,OU=Intune,OU=Computers,OU=AIM,OU=America,OU=Exteriors,OU=Magna Group,DC=magna,DC=global</t>
  </si>
  <si>
    <t>AIM-MFOURNIER4</t>
  </si>
  <si>
    <t>CN=AIM-MFOURNIER4,OU=IT,OU=Intune,OU=Computers,OU=AIM,OU=America,OU=Exteriors,OU=Magna Group,DC=magna,DC=global</t>
  </si>
  <si>
    <t>AIM-BCURETON-L</t>
  </si>
  <si>
    <t>CN=AIM-BCURETON-L,OU=Automation,OU=Intune,OU=Computers,OU=AIM,OU=America,OU=Exteriors,OU=Magna Group,DC=magna,DC=global</t>
  </si>
  <si>
    <t>AIM-CLIENT60-D</t>
  </si>
  <si>
    <t>CN=AIM-CLIENT60-D,OU=Production,OU=Computers,OU=AIM,OU=America,OU=Exteriors,OU=Magna Group,DC=magna,DC=global</t>
  </si>
  <si>
    <t>CN=AIM-DSTEAMLED-D,OU=Production users,OU=Intune,OU=Computers,OU=AIM,OU=America,OU=Exteriors,OU=Magna Group,DC=magna,DC=global</t>
  </si>
  <si>
    <t>CN=AIM-HRTAB-T,OU=Disabled Computers,OU=Computers,OU=AIM,OU=America,OU=Exteriors,OU=Magna Group,DC=magna,DC=global</t>
  </si>
  <si>
    <t>AIM-MDIALLO2</t>
  </si>
  <si>
    <t>CN=AIM-MDIALLO2,OU=IT,OU=Intune,OU=Computers,OU=AIM,OU=America,OU=Exteriors,OU=Magna Group,DC=magna,DC=global</t>
  </si>
  <si>
    <t>AIM-RHARRIS-L</t>
  </si>
  <si>
    <t>CN=AIM-RHARRIS-L,OU=Automation,OU=Intune,OU=Computers,OU=AIM,OU=America,OU=Exteriors,OU=Magna Group,DC=magna,DC=global</t>
  </si>
  <si>
    <t>AIM-RSALJANIN2</t>
  </si>
  <si>
    <t>CN=AIM-RSALJANIN2,OU=Production users,OU=Intune,OU=Computers,OU=AIM,OU=America,OU=Exteriors,OU=Magna Group,DC=magna,DC=global</t>
  </si>
  <si>
    <t>CN=AIM-TESTPROD-TM,OU=Testing,OU=IT,OU=Computers,OU=AIM,OU=America,OU=Exteriors,OU=Magna Group,DC=magna,DC=global</t>
  </si>
  <si>
    <t>CN=AIM-PRESS3-T,OU=Production,OU=Computers,OU=AIM,OU=America,OU=Exteriors,OU=Magna Group,DC=magna,DC=global</t>
  </si>
  <si>
    <t>CN=AIM-BRANHATT-L,OU=Production users,OU=Intune,OU=Computers,OU=AIM,OU=America,OU=Exteriors,OU=Magna Group,DC=magna,DC=global</t>
  </si>
  <si>
    <t>AIM-BYPASSDISP</t>
  </si>
  <si>
    <t>AIM-BYPASSDISP$</t>
  </si>
  <si>
    <t>CN=AIM-BYPASSDISP,OU=Production,OU=Computers,OU=AIM,OU=America,OU=Exteriors,OU=Magna Group,DC=magna,DC=global</t>
  </si>
  <si>
    <t>AIM-CYESKEY-L</t>
  </si>
  <si>
    <t>AIM-CYESKEY-L$</t>
  </si>
  <si>
    <t>CN=AIM-CYESKEY-L,OU=Automation,OU=Intune,OU=Computers,OU=AIM,OU=America,OU=Exteriors,OU=Magna Group,DC=magna,DC=global</t>
  </si>
  <si>
    <t>AIM-DSTESTER-D$</t>
  </si>
  <si>
    <t>CN=AIM-DSTESTER-D,OU=Production,OU=Computers,OU=AIM,OU=America,OU=Exteriors,OU=Magna Group,DC=magna,DC=global</t>
  </si>
  <si>
    <t>AIM-DTECMST01-D</t>
  </si>
  <si>
    <t>AIM-DTECMST01-D$</t>
  </si>
  <si>
    <t>CN=AIM-DTECMST01-D,OU=Production,OU=Computers,OU=AIM,OU=America,OU=Exteriors,OU=Magna Group,DC=magna,DC=global</t>
  </si>
  <si>
    <t>AIM-DTECMST02-D</t>
  </si>
  <si>
    <t>AIM-DTECMST02-D$</t>
  </si>
  <si>
    <t>CN=AIM-DTECMST02-D,OU=Production-DT,OU=Computers,OU=AIM,OU=America,OU=Exteriors,OU=Magna Group,DC=magna,DC=global</t>
  </si>
  <si>
    <t>AIM-DTFEMST00-D</t>
  </si>
  <si>
    <t>AIM-DTFEMST00-D$</t>
  </si>
  <si>
    <t>CN=AIM-DTFEMST00-D,OU=Production-DT,OU=Computers,OU=AIM,OU=America,OU=Exteriors,OU=Magna Group,DC=magna,DC=global</t>
  </si>
  <si>
    <t>AIM-DTFEMST01-D</t>
  </si>
  <si>
    <t>AIM-DTFEMST01-D$</t>
  </si>
  <si>
    <t>CN=AIM-DTFEMST01-D,OU=Production-DT,OU=Computers,OU=AIM,OU=America,OU=Exteriors,OU=Magna Group,DC=magna,DC=global</t>
  </si>
  <si>
    <t>AIM-DTFEMST02-D</t>
  </si>
  <si>
    <t>AIM-DTFEMST02-D$</t>
  </si>
  <si>
    <t>CN=AIM-DTFEMST02-D,OU=Production-DT,OU=Computers,OU=AIM,OU=America,OU=Exteriors,OU=Magna Group,DC=magna,DC=global</t>
  </si>
  <si>
    <t>AIM-DTFEMST03-D</t>
  </si>
  <si>
    <t>AIM-DTFEMST03-D$</t>
  </si>
  <si>
    <t>CN=AIM-DTFEMST03-D,OU=Production-DT,OU=Computers,OU=AIM,OU=America,OU=Exteriors,OU=Magna Group,DC=magna,DC=global</t>
  </si>
  <si>
    <t>AIM-DTFEMST04-D</t>
  </si>
  <si>
    <t>AIM-DTFEMST04-D$</t>
  </si>
  <si>
    <t>CN=AIM-DTFEMST04-D,OU=Production-DT,OU=Computers,OU=AIM,OU=America,OU=Exteriors,OU=Magna Group,DC=magna,DC=global</t>
  </si>
  <si>
    <t>AIM-DTFEMST05-D</t>
  </si>
  <si>
    <t>AIM-DTFEMST05-D$</t>
  </si>
  <si>
    <t>CN=AIM-DTFEMST05-D,OU=Production-DT,OU=Computers,OU=AIM,OU=America,OU=Exteriors,OU=Magna Group,DC=magna,DC=global</t>
  </si>
  <si>
    <t>AIM-DTFEMST06-D</t>
  </si>
  <si>
    <t>AIM-DTFEMST06-D$</t>
  </si>
  <si>
    <t>CN=AIM-DTFEMST06-D,OU=Production-DT,OU=Computers,OU=AIM,OU=America,OU=Exteriors,OU=Magna Group,DC=magna,DC=global</t>
  </si>
  <si>
    <t>AIM-DTFEMST07-D</t>
  </si>
  <si>
    <t>AIM-DTFEMST07-D$</t>
  </si>
  <si>
    <t>CN=AIM-DTFEMST07-D,OU=Production-DT,OU=Computers,OU=AIM,OU=America,OU=Exteriors,OU=Magna Group,DC=magna,DC=global</t>
  </si>
  <si>
    <t>AIM-DTFEMST08-D</t>
  </si>
  <si>
    <t>AIM-DTFEMST08-D$</t>
  </si>
  <si>
    <t>CN=AIM-DTFEMST08-D,OU=Production-DT,OU=Computers,OU=AIM,OU=America,OU=Exteriors,OU=Magna Group,DC=magna,DC=global</t>
  </si>
  <si>
    <t>CN=AIM-DTMXGRL-D,OU=Maintenance,OU=Intune,OU=Computers,OU=AIM,OU=America,OU=Exteriors,OU=Magna Group,DC=magna,DC=global</t>
  </si>
  <si>
    <t>AIM-DTREWORK-D</t>
  </si>
  <si>
    <t>AIM-DTREWORK-D$</t>
  </si>
  <si>
    <t>CN=AIM-DTREWORK-D,OU=Production,OU=Computers,OU=AIM,OU=America,OU=Exteriors,OU=Magna Group,DC=magna,DC=global</t>
  </si>
  <si>
    <t>AIM-JCAPERS-L</t>
  </si>
  <si>
    <t>AIM-JCAPERS-L$</t>
  </si>
  <si>
    <t>CN=AIM-JCAPERS-L,OU=Maintenance,OU=Intune,OU=Computers,OU=AIM,OU=America,OU=Exteriors,OU=Magna Group,DC=magna,DC=global</t>
  </si>
  <si>
    <t>AIM-QUALITY3-L$</t>
  </si>
  <si>
    <t>CN=AIM-QUALITY3-L,OU=HR,OU=Intune,OU=Computers,OU=AIM,OU=America,OU=Exteriors,OU=Magna Group,DC=magna,DC=global</t>
  </si>
  <si>
    <t>AIM-RASLJANIN4</t>
  </si>
  <si>
    <t>AIM-RASLJANIN4$</t>
  </si>
  <si>
    <t>CN=AIM-RASLJANIN4,OU=Production users,OU=Intune,OU=Computers,OU=AIM,OU=America,OU=Exteriors,OU=Magna Group,DC=magna,DC=global</t>
  </si>
  <si>
    <t>AIM-T1LDCHVSEA2$</t>
  </si>
  <si>
    <t>CN=AIM-T1LDCHVSEA2,OU=Production,OU=Computers,OU=AIM,OU=America,OU=Exteriors,OU=Magna Group,DC=magna,DC=global</t>
  </si>
  <si>
    <t>AIM-WSBUFFER</t>
  </si>
  <si>
    <t>AIM-WSBUFFER$</t>
  </si>
  <si>
    <t>CN=AIM-WSBUFFER,OU=Production,OU=Computers,OU=AIM,OU=America,OU=Exteriors,OU=Magna Group,DC=magna,DC=global</t>
  </si>
  <si>
    <t>AIM-WSDISPLAY-D</t>
  </si>
  <si>
    <t>AIM-WSDISPLAY-D$</t>
  </si>
  <si>
    <t>CN=AIM-WSDISPLAY-D,OU=Production,OU=Computers,OU=AIM,OU=America,OU=Exteriors,OU=Magna Group,DC=magna,DC=global</t>
  </si>
  <si>
    <t>AIM-WSTURN-D</t>
  </si>
  <si>
    <t>AIM-WSTURN-D$</t>
  </si>
  <si>
    <t>CN=AIM-WSTURN-D,OU=Production,OU=Computers,OU=AIM,OU=America,OU=Exteriors,OU=Magna Group,DC=magna,DC=global</t>
  </si>
  <si>
    <t>CN=AIMWS2MQ5310GVS,OU=GPO Test,OU=Intune,OU=Computers,OU=AIM,OU=America,OU=Exteriors,OU=Magna Group,DC=magna,DC=global</t>
  </si>
  <si>
    <t>KeyChg</t>
  </si>
  <si>
    <t>HP ProDesk 600 G6 DM</t>
  </si>
  <si>
    <t>MXL10251Q8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</si>
</sst>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dd\-yy"/>
    <numFmt numFmtId="165" formatCode="0.0%"/>
    <numFmt numFmtId="166" formatCode="0000"/>
  </numFmts>
  <fonts count="52" x14ac:knownFonts="1">
    <font>
      <sz val="11"/>
      <name val="Bahnschrift"/>
      <family val="2"/>
      <scheme val="major"/>
    </font>
    <font>
      <sz val="11"/>
      <color theme="1"/>
      <name val="OCRB"/>
      <family val="2"/>
    </font>
    <font>
      <b/>
      <sz val="15"/>
      <color theme="3"/>
      <name val="OCRB"/>
      <family val="2"/>
    </font>
    <font>
      <b/>
      <sz val="13"/>
      <color theme="3"/>
      <name val="OCRB"/>
      <family val="2"/>
    </font>
    <font>
      <b/>
      <sz val="11"/>
      <color theme="3"/>
      <name val="OCRB"/>
      <family val="2"/>
    </font>
    <font>
      <sz val="11"/>
      <color rgb="FF006100"/>
      <name val="OCRB"/>
      <family val="2"/>
    </font>
    <font>
      <sz val="11"/>
      <color rgb="FF9C0006"/>
      <name val="OCRB"/>
      <family val="2"/>
    </font>
    <font>
      <sz val="11"/>
      <color rgb="FF9C5700"/>
      <name val="OCRB"/>
      <family val="2"/>
    </font>
    <font>
      <sz val="11"/>
      <color rgb="FF3F3F76"/>
      <name val="OCRB"/>
      <family val="2"/>
    </font>
    <font>
      <b/>
      <sz val="11"/>
      <color rgb="FF3F3F3F"/>
      <name val="OCRB"/>
      <family val="2"/>
    </font>
    <font>
      <b/>
      <sz val="11"/>
      <color rgb="FFFA7D00"/>
      <name val="OCRB"/>
      <family val="2"/>
    </font>
    <font>
      <sz val="11"/>
      <color rgb="FFFA7D00"/>
      <name val="OCRB"/>
      <family val="2"/>
    </font>
    <font>
      <b/>
      <sz val="11"/>
      <color theme="0"/>
      <name val="OCRB"/>
      <family val="2"/>
    </font>
    <font>
      <sz val="11"/>
      <color rgb="FFFF0000"/>
      <name val="OCRB"/>
      <family val="2"/>
    </font>
    <font>
      <i/>
      <sz val="11"/>
      <color rgb="FF7F7F7F"/>
      <name val="OCRB"/>
      <family val="2"/>
    </font>
    <font>
      <b/>
      <sz val="11"/>
      <color theme="1"/>
      <name val="OCRB"/>
      <family val="2"/>
    </font>
    <font>
      <sz val="11"/>
      <color theme="0"/>
      <name val="OCRB"/>
      <family val="2"/>
    </font>
    <font>
      <sz val="16"/>
      <color theme="4" tint="0.79992065187536243"/>
      <name val="Bahnschrift"/>
      <family val="2"/>
      <scheme val="major"/>
    </font>
    <font>
      <i/>
      <sz val="11"/>
      <color theme="9" tint="-0.499984740745262"/>
      <name val="Bahnschrift"/>
      <family val="2"/>
      <scheme val="major"/>
    </font>
    <font>
      <sz val="11"/>
      <color theme="4" tint="0.79995117038483843"/>
      <name val="Bahnschrift"/>
      <family val="2"/>
      <scheme val="major"/>
    </font>
    <font>
      <sz val="11"/>
      <color theme="7" tint="0.79998168889431442"/>
      <name val="Bahnschrift"/>
      <family val="2"/>
      <scheme val="major"/>
    </font>
    <font>
      <sz val="11"/>
      <color theme="1"/>
      <name val="Bahnschrift"/>
      <family val="2"/>
      <scheme val="major"/>
    </font>
    <font>
      <i/>
      <sz val="11"/>
      <color theme="4" tint="-0.499984740745262"/>
      <name val="Bahnschrift"/>
      <family val="2"/>
      <scheme val="major"/>
    </font>
    <font>
      <i/>
      <sz val="11"/>
      <color theme="0" tint="-0.499984740745262"/>
      <name val="Bahnschrift"/>
      <family val="2"/>
      <scheme val="major"/>
    </font>
    <font>
      <i/>
      <sz val="11"/>
      <color theme="6" tint="-0.499984740745262"/>
      <name val="Bahnschrift"/>
      <family val="2"/>
      <scheme val="major"/>
    </font>
    <font>
      <i/>
      <sz val="11"/>
      <color theme="7" tint="-0.499984740745262"/>
      <name val="Bahnschrift"/>
      <family val="2"/>
      <scheme val="major"/>
    </font>
    <font>
      <i/>
      <sz val="11"/>
      <color theme="8" tint="-0.499984740745262"/>
      <name val="Bahnschrift"/>
      <family val="2"/>
      <scheme val="major"/>
    </font>
    <font>
      <i/>
      <sz val="11"/>
      <color theme="5" tint="-0.499984740745262"/>
      <name val="Bahnschrift"/>
      <family val="2"/>
      <scheme val="major"/>
    </font>
    <font>
      <sz val="11"/>
      <color theme="4" tint="-0.499984740745262"/>
      <name val="Bahnschrift"/>
      <family val="2"/>
      <scheme val="major"/>
    </font>
    <font>
      <sz val="11"/>
      <color theme="3"/>
      <name val="Bahnschrift"/>
      <family val="2"/>
      <scheme val="major"/>
    </font>
    <font>
      <sz val="11"/>
      <color theme="0" tint="0.79998168889431442"/>
      <name val="Bahnschrift"/>
      <family val="2"/>
      <scheme val="major"/>
    </font>
    <font>
      <sz val="11"/>
      <color theme="0" tint="-0.249977111117893"/>
      <name val="Bahnschrift"/>
      <family val="2"/>
      <scheme val="major"/>
    </font>
    <font>
      <sz val="11"/>
      <color theme="1" tint="0.499984740745262"/>
      <name val="Bahnschrift"/>
      <family val="2"/>
      <scheme val="major"/>
    </font>
    <font>
      <sz val="11"/>
      <color theme="6" tint="0.79998168889431442"/>
      <name val="Bahnschrift"/>
      <family val="2"/>
      <scheme val="major"/>
    </font>
    <font>
      <b/>
      <u val="double"/>
      <sz val="11"/>
      <color rgb="FF7030A0"/>
      <name val="Bahnschrift"/>
      <family val="2"/>
      <scheme val="major"/>
    </font>
    <font>
      <b/>
      <u val="double"/>
      <sz val="11"/>
      <color rgb="FF00B0F0"/>
      <name val="Bahnschrift"/>
      <family val="2"/>
      <scheme val="major"/>
    </font>
    <font>
      <sz val="11"/>
      <color theme="5" tint="0.79998168889431442"/>
      <name val="Bahnschrift"/>
      <family val="2"/>
      <scheme val="major"/>
    </font>
    <font>
      <sz val="11"/>
      <color theme="9" tint="0.79998168889431442"/>
      <name val="Bahnschrift"/>
      <family val="2"/>
      <scheme val="major"/>
    </font>
    <font>
      <sz val="11"/>
      <color theme="8" tint="0.79998168889431442"/>
      <name val="Bahnschrift"/>
      <family val="2"/>
      <scheme val="major"/>
    </font>
    <font>
      <sz val="11"/>
      <color theme="4" tint="0.79992065187536243"/>
      <name val="Bahnschrift"/>
      <family val="2"/>
      <scheme val="major"/>
    </font>
    <font>
      <sz val="16"/>
      <color theme="3"/>
      <name val="Bahnschrift"/>
      <family val="2"/>
      <scheme val="major"/>
    </font>
    <font>
      <sz val="11"/>
      <color theme="1"/>
      <name val="OCR A Extended"/>
      <family val="3"/>
    </font>
    <font>
      <sz val="11"/>
      <color theme="3"/>
      <name val="OCR A Extended"/>
      <family val="3"/>
    </font>
    <font>
      <sz val="11"/>
      <color theme="4" tint="-0.499984740745262"/>
      <name val="OCR A Extended"/>
      <family val="3"/>
    </font>
    <font>
      <sz val="11"/>
      <color theme="1"/>
      <name val="Bahnschrift Condensed"/>
      <family val="2"/>
    </font>
    <font>
      <sz val="11"/>
      <name val="Bahnschrift"/>
      <family val="2"/>
      <scheme val="minor"/>
    </font>
    <font>
      <sz val="11"/>
      <name val="OCR A Extended"/>
      <family val="3"/>
    </font>
    <font>
      <sz val="8"/>
      <name val="Bahnschrift"/>
      <family val="2"/>
      <scheme val="major"/>
    </font>
    <font>
      <sz val="11"/>
      <name val="Lucida Console"/>
      <family val="3"/>
    </font>
    <font>
      <sz val="11"/>
      <color theme="6" tint="-0.249977111117893"/>
      <name val="Bahnschrift"/>
      <family val="2"/>
      <scheme val="major"/>
    </font>
    <font>
      <sz val="11"/>
      <color theme="6" tint="0.59996337778862885"/>
      <name val="Bahnschrift"/>
      <family val="2"/>
      <scheme val="major"/>
    </font>
    <font>
      <sz val="12"/>
      <color rgb="FF000000"/>
      <name val="Bahnschrift"/>
      <family val="2"/>
    </font>
  </fonts>
  <fills count="8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499984740745262"/>
        <bgColor indexed="64"/>
      </patternFill>
    </fill>
    <fill>
      <patternFill patternType="darkDown">
        <fgColor theme="9" tint="0.79995117038483843"/>
        <bgColor theme="9" tint="0.59996337778862885"/>
      </patternFill>
    </fill>
    <fill>
      <patternFill patternType="solid">
        <fgColor theme="4" tint="-0.24994659260841701"/>
        <bgColor indexed="64"/>
      </patternFill>
    </fill>
    <fill>
      <patternFill patternType="solid">
        <fgColor theme="7" tint="-0.499984740745262"/>
        <bgColor indexed="64"/>
      </patternFill>
    </fill>
    <fill>
      <patternFill patternType="solid">
        <fgColor theme="7" tint="0.39994506668294322"/>
        <bgColor indexed="64"/>
      </patternFill>
    </fill>
    <fill>
      <patternFill patternType="solid">
        <fgColor theme="9" tint="-0.499984740745262"/>
        <bgColor indexed="64"/>
      </patternFill>
    </fill>
    <fill>
      <patternFill patternType="solid">
        <fgColor theme="9" tint="0.39994506668294322"/>
        <bgColor indexed="64"/>
      </patternFill>
    </fill>
    <fill>
      <patternFill patternType="solid">
        <fgColor theme="9" tint="0.79998168889431442"/>
        <bgColor indexed="64"/>
      </patternFill>
    </fill>
    <fill>
      <patternFill patternType="darkDown">
        <fgColor theme="4" tint="0.79992065187536243"/>
        <bgColor theme="4" tint="0.59996337778862885"/>
      </patternFill>
    </fill>
    <fill>
      <patternFill patternType="darkDown">
        <fgColor theme="1" tint="0.34998626667073579"/>
        <bgColor theme="0"/>
      </patternFill>
    </fill>
    <fill>
      <patternFill patternType="darkDown">
        <fgColor theme="6" tint="0.79992065187536243"/>
        <bgColor theme="6" tint="0.59996337778862885"/>
      </patternFill>
    </fill>
    <fill>
      <patternFill patternType="darkDown">
        <fgColor theme="7" tint="0.79998168889431442"/>
        <bgColor theme="7"/>
      </patternFill>
    </fill>
    <fill>
      <patternFill patternType="darkDown">
        <fgColor theme="8" tint="0.79995117038483843"/>
        <bgColor theme="8" tint="0.39994506668294322"/>
      </patternFill>
    </fill>
    <fill>
      <patternFill patternType="darkDown">
        <fgColor theme="5" tint="0.79998168889431442"/>
        <bgColor theme="5"/>
      </patternFill>
    </fill>
    <fill>
      <patternFill patternType="solid">
        <fgColor theme="4" tint="0.79998168889431442"/>
        <bgColor indexed="64"/>
      </patternFill>
    </fill>
    <fill>
      <patternFill patternType="solid">
        <fgColor theme="4" tint="0.39994506668294322"/>
        <bgColor indexed="64"/>
      </patternFill>
    </fill>
    <fill>
      <patternFill patternType="solid">
        <fgColor theme="4" tint="0.59996337778862885"/>
        <bgColor indexed="64"/>
      </patternFill>
    </fill>
    <fill>
      <patternFill patternType="solid">
        <fgColor theme="2" tint="-4.9989318521683403E-2"/>
        <bgColor indexed="64"/>
      </patternFill>
    </fill>
    <fill>
      <patternFill patternType="solid">
        <fgColor theme="1" tint="0.34998626667073579"/>
        <bgColor indexed="64"/>
      </patternFill>
    </fill>
    <fill>
      <patternFill patternType="solid">
        <fgColor theme="3" tint="-0.499984740745262"/>
        <bgColor indexed="64"/>
      </patternFill>
    </fill>
    <fill>
      <patternFill patternType="solid">
        <fgColor theme="2" tint="-0.24994659260841701"/>
        <bgColor indexed="64"/>
      </patternFill>
    </fill>
    <fill>
      <patternFill patternType="solid">
        <fgColor theme="2" tint="-0.14996795556505021"/>
        <bgColor indexed="64"/>
      </patternFill>
    </fill>
    <fill>
      <patternFill patternType="darkDown">
        <fgColor theme="0"/>
        <bgColor theme="0"/>
      </patternFill>
    </fill>
    <fill>
      <patternFill patternType="darkDown">
        <fgColor theme="3"/>
        <bgColor theme="3" tint="-0.499984740745262"/>
      </patternFill>
    </fill>
    <fill>
      <patternFill patternType="solid">
        <fgColor theme="6" tint="0.79998168889431442"/>
        <bgColor indexed="64"/>
      </patternFill>
    </fill>
    <fill>
      <patternFill patternType="solid">
        <fgColor theme="6" tint="-0.24994659260841701"/>
        <bgColor indexed="64"/>
      </patternFill>
    </fill>
    <fill>
      <patternFill patternType="darkDown">
        <fgColor theme="1"/>
        <bgColor theme="6" tint="-0.499984740745262"/>
      </patternFill>
    </fill>
    <fill>
      <patternFill patternType="solid">
        <fgColor theme="6" tint="0.39997558519241921"/>
        <bgColor indexed="64"/>
      </patternFill>
    </fill>
    <fill>
      <patternFill patternType="solid">
        <fgColor theme="6" tint="0.59996337778862885"/>
        <bgColor indexed="64"/>
      </patternFill>
    </fill>
    <fill>
      <patternFill patternType="solid">
        <fgColor theme="5" tint="0.79998168889431442"/>
        <bgColor indexed="64"/>
      </patternFill>
    </fill>
    <fill>
      <patternFill patternType="solid">
        <fgColor theme="5" tint="0.59996337778862885"/>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9" tint="0.59996337778862885"/>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theme="8" tint="0.59996337778862885"/>
        <bgColor indexed="64"/>
      </patternFill>
    </fill>
    <fill>
      <patternFill patternType="solid">
        <fgColor rgb="FFB686DA"/>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92D050"/>
        <bgColor indexed="64"/>
      </patternFill>
    </fill>
    <fill>
      <patternFill patternType="solid">
        <fgColor rgb="FF81C6FF"/>
        <bgColor indexed="64"/>
      </patternFill>
    </fill>
    <fill>
      <patternFill patternType="solid">
        <fgColor rgb="FFFF9900"/>
        <bgColor indexed="64"/>
      </patternFill>
    </fill>
  </fills>
  <borders count="3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indexed="64"/>
      </top>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top/>
      <bottom/>
      <diagonal/>
    </border>
    <border>
      <left/>
      <right style="medium">
        <color indexed="64"/>
      </right>
      <top/>
      <bottom/>
      <diagonal/>
    </border>
    <border>
      <left/>
      <right/>
      <top/>
      <bottom style="medium">
        <color indexed="64"/>
      </bottom>
      <diagonal/>
    </border>
    <border>
      <left style="thin">
        <color auto="1"/>
      </left>
      <right style="medium">
        <color indexed="64"/>
      </right>
      <top style="thin">
        <color auto="1"/>
      </top>
      <bottom style="medium">
        <color indexed="64"/>
      </bottom>
      <diagonal/>
    </border>
    <border>
      <left style="medium">
        <color auto="1"/>
      </left>
      <right/>
      <top/>
      <bottom style="medium">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auto="1"/>
      </right>
      <top/>
      <bottom style="thin">
        <color auto="1"/>
      </bottom>
      <diagonal/>
    </border>
    <border>
      <left/>
      <right/>
      <top/>
      <bottom style="thin">
        <color indexed="64"/>
      </bottom>
      <diagonal/>
    </border>
    <border>
      <left style="medium">
        <color auto="1"/>
      </left>
      <right/>
      <top/>
      <bottom style="thin">
        <color indexed="64"/>
      </bottom>
      <diagonal/>
    </border>
    <border>
      <left/>
      <right/>
      <top style="thin">
        <color auto="1"/>
      </top>
      <bottom style="medium">
        <color indexed="64"/>
      </bottom>
      <diagonal/>
    </border>
    <border>
      <left style="medium">
        <color auto="1"/>
      </left>
      <right/>
      <top style="thin">
        <color auto="1"/>
      </top>
      <bottom style="medium">
        <color indexed="64"/>
      </bottom>
      <diagonal/>
    </border>
    <border>
      <left/>
      <right style="medium">
        <color indexed="64"/>
      </right>
      <top/>
      <bottom style="thin">
        <color indexed="64"/>
      </bottom>
      <diagonal/>
    </border>
    <border>
      <left style="thin">
        <color auto="1"/>
      </left>
      <right style="thin">
        <color auto="1"/>
      </right>
      <top/>
      <bottom/>
      <diagonal/>
    </border>
    <border>
      <left style="thin">
        <color auto="1"/>
      </left>
      <right/>
      <top/>
      <bottom style="thin">
        <color auto="1"/>
      </bottom>
      <diagonal/>
    </border>
    <border>
      <left style="thin">
        <color auto="1"/>
      </left>
      <right/>
      <top/>
      <bottom/>
      <diagonal/>
    </border>
  </borders>
  <cellStyleXfs count="100">
    <xf numFmtId="0" fontId="0" fillId="0" borderId="0" applyNumberFormat="0" applyAlignment="0"/>
    <xf numFmtId="43" fontId="1" fillId="0" borderId="0" applyNumberFormat="0" applyFill="0" applyBorder="0" applyAlignment="0" applyProtection="0"/>
    <xf numFmtId="41" fontId="1" fillId="0" borderId="0" applyNumberFormat="0" applyFill="0" applyBorder="0" applyAlignment="0" applyProtection="0"/>
    <xf numFmtId="44" fontId="1" fillId="0" borderId="0" applyNumberFormat="0" applyFill="0" applyBorder="0" applyAlignment="0" applyProtection="0"/>
    <xf numFmtId="42" fontId="1" fillId="0" borderId="0" applyNumberFormat="0" applyFill="0" applyBorder="0" applyAlignment="0" applyProtection="0"/>
    <xf numFmtId="9" fontId="1" fillId="0" borderId="0" applyFont="0" applyFill="0" applyBorder="0" applyAlignment="0" applyProtection="0"/>
    <xf numFmtId="0" fontId="40" fillId="0" borderId="0" applyNumberForma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4" fillId="0" borderId="3" applyNumberFormat="0" applyFill="0" applyAlignment="0" applyProtection="0"/>
    <xf numFmtId="0" fontId="4" fillId="0" borderId="0" applyNumberForma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0" applyNumberFormat="0" applyBorder="0" applyAlignment="0" applyProtection="0"/>
    <xf numFmtId="0" fontId="8" fillId="5" borderId="4" applyNumberFormat="0" applyAlignment="0" applyProtection="0"/>
    <xf numFmtId="0" fontId="9" fillId="6" borderId="5" applyNumberFormat="0" applyAlignment="0" applyProtection="0"/>
    <xf numFmtId="0" fontId="10" fillId="6" borderId="4" applyNumberFormat="0" applyAlignment="0" applyProtection="0"/>
    <xf numFmtId="0" fontId="11" fillId="0" borderId="6" applyNumberFormat="0" applyFill="0" applyAlignment="0" applyProtection="0"/>
    <xf numFmtId="0" fontId="12" fillId="7" borderId="7" applyNumberFormat="0" applyAlignment="0" applyProtection="0"/>
    <xf numFmtId="0" fontId="13" fillId="0" borderId="0" applyNumberFormat="0" applyFill="0" applyBorder="0" applyAlignment="0" applyProtection="0"/>
    <xf numFmtId="0" fontId="1" fillId="8" borderId="8" applyNumberFormat="0" applyAlignment="0" applyProtection="0"/>
    <xf numFmtId="0" fontId="14" fillId="0" borderId="0" applyNumberFormat="0" applyFill="0" applyBorder="0" applyAlignment="0" applyProtection="0"/>
    <xf numFmtId="0" fontId="15" fillId="0" borderId="9" applyNumberFormat="0" applyFill="0" applyAlignment="0" applyProtection="0"/>
    <xf numFmtId="0" fontId="16"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6"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6"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6"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6"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6"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9" fontId="17" fillId="33" borderId="10" applyNumberFormat="0">
      <alignment horizontal="center" vertical="center"/>
    </xf>
    <xf numFmtId="49" fontId="18" fillId="34" borderId="10" applyNumberFormat="0" applyAlignment="0"/>
    <xf numFmtId="49" fontId="19" fillId="35" borderId="10" applyNumberFormat="0">
      <alignment horizontal="center" vertical="center"/>
    </xf>
    <xf numFmtId="49" fontId="20" fillId="36" borderId="10" applyNumberFormat="0" applyAlignment="0"/>
    <xf numFmtId="0" fontId="21" fillId="37" borderId="10" applyNumberFormat="0" applyAlignment="0"/>
    <xf numFmtId="49" fontId="22" fillId="41" borderId="10" applyNumberFormat="0">
      <alignment horizontal="center" vertical="center"/>
    </xf>
    <xf numFmtId="0" fontId="23" fillId="42" borderId="10" applyNumberFormat="0" applyAlignment="0"/>
    <xf numFmtId="0" fontId="24" fillId="43" borderId="10" applyNumberFormat="0" applyAlignment="0"/>
    <xf numFmtId="0" fontId="25" fillId="44" borderId="10" applyNumberFormat="0" applyAlignment="0">
      <protection locked="0"/>
    </xf>
    <xf numFmtId="0" fontId="26" fillId="45" borderId="10" applyNumberFormat="0" applyAlignment="0"/>
    <xf numFmtId="0" fontId="27" fillId="46" borderId="10" applyNumberFormat="0" applyAlignment="0">
      <protection locked="0"/>
    </xf>
    <xf numFmtId="0" fontId="28" fillId="47" borderId="10" applyNumberFormat="0" applyProtection="0">
      <alignment horizontal="center" vertical="center"/>
    </xf>
    <xf numFmtId="49" fontId="19" fillId="33" borderId="10" applyNumberFormat="0">
      <alignment horizontal="center" vertical="center"/>
    </xf>
    <xf numFmtId="0" fontId="28" fillId="48" borderId="10" applyNumberFormat="0" applyProtection="0">
      <alignment horizontal="center" vertical="center"/>
    </xf>
    <xf numFmtId="0" fontId="43" fillId="49" borderId="10" applyNumberFormat="0" applyProtection="0">
      <alignment horizontal="center" vertical="center"/>
    </xf>
    <xf numFmtId="0" fontId="29" fillId="50" borderId="10" applyNumberFormat="0" applyAlignment="0"/>
    <xf numFmtId="49" fontId="30" fillId="51" borderId="10" applyNumberFormat="0" applyAlignment="0"/>
    <xf numFmtId="49" fontId="30" fillId="52" borderId="10" applyNumberFormat="0" applyAlignment="0"/>
    <xf numFmtId="0" fontId="29" fillId="53" borderId="10" applyNumberFormat="0" applyAlignment="0"/>
    <xf numFmtId="0" fontId="42" fillId="54" borderId="10" applyNumberFormat="0" applyAlignment="0"/>
    <xf numFmtId="0" fontId="31" fillId="55" borderId="10" applyNumberFormat="0" applyAlignment="0"/>
    <xf numFmtId="0" fontId="32" fillId="51" borderId="10" applyNumberFormat="0" applyAlignment="0"/>
    <xf numFmtId="49" fontId="31" fillId="56" borderId="10" applyNumberFormat="0" applyAlignment="0"/>
    <xf numFmtId="0" fontId="21" fillId="57" borderId="10" applyNumberFormat="0" applyAlignment="0"/>
    <xf numFmtId="0" fontId="33" fillId="58" borderId="10" applyNumberFormat="0" applyAlignment="0"/>
    <xf numFmtId="49" fontId="33" fillId="59" borderId="10" applyNumberFormat="0" applyAlignment="0"/>
    <xf numFmtId="0" fontId="21" fillId="60" borderId="10" applyNumberFormat="0" applyAlignment="0"/>
    <xf numFmtId="0" fontId="41" fillId="61" borderId="10" applyNumberFormat="0" applyAlignment="0"/>
    <xf numFmtId="0" fontId="34" fillId="0" borderId="0" applyNumberFormat="0" applyFill="0" applyBorder="0" applyAlignment="0" applyProtection="0"/>
    <xf numFmtId="0" fontId="35" fillId="0" borderId="0" applyNumberFormat="0" applyFill="0" applyBorder="0" applyAlignment="0" applyProtection="0"/>
    <xf numFmtId="0" fontId="21" fillId="62" borderId="10" applyNumberFormat="0" applyAlignment="0">
      <protection locked="0"/>
    </xf>
    <xf numFmtId="164" fontId="41" fillId="63" borderId="10" applyNumberFormat="0" applyAlignment="0">
      <protection locked="0"/>
    </xf>
    <xf numFmtId="49" fontId="36" fillId="64" borderId="10" applyNumberFormat="0" applyAlignment="0"/>
    <xf numFmtId="49" fontId="36" fillId="65" borderId="10" applyNumberFormat="0" applyAlignment="0"/>
    <xf numFmtId="0" fontId="21" fillId="66" borderId="10" applyNumberFormat="0" applyAlignment="0">
      <protection locked="0"/>
    </xf>
    <xf numFmtId="0" fontId="41" fillId="63" borderId="10" applyNumberFormat="0" applyAlignment="0">
      <alignment horizontal="left"/>
      <protection locked="0"/>
    </xf>
    <xf numFmtId="0" fontId="21" fillId="40" borderId="10" applyNumberFormat="0" applyAlignment="0"/>
    <xf numFmtId="49" fontId="37" fillId="67" borderId="10" applyNumberFormat="0" applyAlignment="0"/>
    <xf numFmtId="49" fontId="37" fillId="38" borderId="10" applyNumberFormat="0" applyAlignment="0"/>
    <xf numFmtId="0" fontId="21" fillId="39" borderId="10" applyNumberFormat="0" applyAlignment="0"/>
    <xf numFmtId="0" fontId="41" fillId="68" borderId="10" applyNumberFormat="0" applyAlignment="0"/>
    <xf numFmtId="0" fontId="21" fillId="69" borderId="10" applyNumberFormat="0" applyAlignment="0"/>
    <xf numFmtId="164" fontId="41" fillId="70" borderId="10" applyNumberFormat="0" applyAlignment="0">
      <alignment horizontal="left"/>
    </xf>
    <xf numFmtId="49" fontId="20" fillId="71" borderId="10" applyNumberFormat="0" applyAlignment="0"/>
    <xf numFmtId="0" fontId="41" fillId="70" borderId="10" applyNumberFormat="0" applyAlignment="0">
      <alignment horizontal="left"/>
    </xf>
    <xf numFmtId="0" fontId="21" fillId="72" borderId="10" applyNumberFormat="0" applyAlignment="0"/>
    <xf numFmtId="49" fontId="38" fillId="73" borderId="10" applyNumberFormat="0" applyAlignment="0"/>
    <xf numFmtId="49" fontId="38" fillId="74" borderId="10" applyNumberFormat="0" applyAlignment="0"/>
    <xf numFmtId="0" fontId="21" fillId="75" borderId="10" applyNumberFormat="0" applyAlignment="0"/>
    <xf numFmtId="0" fontId="41" fillId="76" borderId="10" applyNumberFormat="0" applyAlignment="0"/>
    <xf numFmtId="0" fontId="44" fillId="77" borderId="10" applyNumberFormat="0" applyFill="0" applyBorder="0" applyAlignment="0" applyProtection="0"/>
    <xf numFmtId="0" fontId="41" fillId="77" borderId="10" applyNumberFormat="0" applyFill="0" applyBorder="0" applyAlignment="0" applyProtection="0"/>
    <xf numFmtId="0" fontId="50" fillId="51" borderId="10" applyNumberFormat="0" applyAlignment="0" applyProtection="0">
      <alignment horizontal="center"/>
    </xf>
  </cellStyleXfs>
  <cellXfs count="361">
    <xf numFmtId="0" fontId="0" fillId="0" borderId="0" xfId="0"/>
    <xf numFmtId="0" fontId="0" fillId="0" borderId="0" xfId="0" applyAlignment="1">
      <alignment horizontal="center"/>
    </xf>
    <xf numFmtId="49" fontId="20" fillId="36" borderId="10" xfId="50" applyAlignment="1">
      <alignment horizontal="center"/>
    </xf>
    <xf numFmtId="49" fontId="17" fillId="33" borderId="17" xfId="47" applyBorder="1">
      <alignment horizontal="center" vertical="center"/>
    </xf>
    <xf numFmtId="49" fontId="30" fillId="52" borderId="10" xfId="64"/>
    <xf numFmtId="0" fontId="29" fillId="50" borderId="10" xfId="62"/>
    <xf numFmtId="0" fontId="42" fillId="54" borderId="13" xfId="66" applyBorder="1" applyAlignment="1">
      <alignment horizontal="left"/>
    </xf>
    <xf numFmtId="0" fontId="42" fillId="54" borderId="10" xfId="66" applyAlignment="1">
      <alignment horizontal="left"/>
    </xf>
    <xf numFmtId="0" fontId="42" fillId="54" borderId="10" xfId="66" applyAlignment="1">
      <alignment horizontal="center"/>
    </xf>
    <xf numFmtId="49" fontId="30" fillId="51" borderId="10" xfId="63"/>
    <xf numFmtId="0" fontId="42" fillId="54" borderId="10" xfId="66"/>
    <xf numFmtId="0" fontId="29" fillId="53" borderId="10" xfId="65"/>
    <xf numFmtId="0" fontId="29" fillId="50" borderId="10" xfId="62" applyNumberFormat="1"/>
    <xf numFmtId="0" fontId="0" fillId="0" borderId="20" xfId="0" applyBorder="1"/>
    <xf numFmtId="0" fontId="29" fillId="50" borderId="21" xfId="62" applyBorder="1"/>
    <xf numFmtId="0" fontId="42" fillId="54" borderId="24" xfId="66" applyBorder="1" applyAlignment="1">
      <alignment horizontal="left"/>
    </xf>
    <xf numFmtId="0" fontId="42" fillId="54" borderId="25" xfId="66" applyBorder="1" applyAlignment="1">
      <alignment horizontal="left"/>
    </xf>
    <xf numFmtId="0" fontId="42" fillId="54" borderId="25" xfId="66" applyBorder="1"/>
    <xf numFmtId="49" fontId="31" fillId="56" borderId="10" xfId="69"/>
    <xf numFmtId="0" fontId="29" fillId="50" borderId="26" xfId="62" applyBorder="1"/>
    <xf numFmtId="0" fontId="42" fillId="54" borderId="30" xfId="66" applyBorder="1" applyAlignment="1">
      <alignment horizontal="left"/>
    </xf>
    <xf numFmtId="0" fontId="42" fillId="54" borderId="26" xfId="66" applyBorder="1" applyAlignment="1">
      <alignment horizontal="left"/>
    </xf>
    <xf numFmtId="0" fontId="42" fillId="54" borderId="26" xfId="66" applyBorder="1"/>
    <xf numFmtId="0" fontId="32" fillId="51" borderId="10" xfId="68"/>
    <xf numFmtId="0" fontId="31" fillId="55" borderId="10" xfId="67"/>
    <xf numFmtId="0" fontId="23" fillId="42" borderId="10" xfId="53"/>
    <xf numFmtId="49" fontId="39" fillId="33" borderId="10" xfId="47" applyFont="1" applyAlignment="1">
      <alignment horizontal="left"/>
    </xf>
    <xf numFmtId="49" fontId="19" fillId="33" borderId="10" xfId="59" applyAlignment="1">
      <alignment vertical="center"/>
    </xf>
    <xf numFmtId="0" fontId="19" fillId="35" borderId="10" xfId="49" applyNumberFormat="1" applyAlignment="1">
      <alignment horizontal="left" vertical="center"/>
    </xf>
    <xf numFmtId="0" fontId="28" fillId="48" borderId="10" xfId="60" applyAlignment="1">
      <alignment vertical="center"/>
    </xf>
    <xf numFmtId="0" fontId="0" fillId="0" borderId="31" xfId="0" applyBorder="1"/>
    <xf numFmtId="0" fontId="43" fillId="49" borderId="10" xfId="61" applyNumberFormat="1" applyAlignment="1">
      <alignment horizontal="left" vertical="center"/>
    </xf>
    <xf numFmtId="0" fontId="28" fillId="47" borderId="10" xfId="58" applyAlignment="1">
      <alignment horizontal="left"/>
    </xf>
    <xf numFmtId="49" fontId="22" fillId="41" borderId="10" xfId="52" applyAlignment="1">
      <alignment horizontal="left" vertical="center"/>
    </xf>
    <xf numFmtId="0" fontId="0" fillId="0" borderId="33" xfId="0" applyBorder="1"/>
    <xf numFmtId="0" fontId="42" fillId="54" borderId="24" xfId="66" applyNumberFormat="1" applyBorder="1" applyAlignment="1">
      <alignment horizontal="left"/>
    </xf>
    <xf numFmtId="49" fontId="36" fillId="65" borderId="10" xfId="80"/>
    <xf numFmtId="49" fontId="36" fillId="64" borderId="10" xfId="79"/>
    <xf numFmtId="0" fontId="21" fillId="66" borderId="10" xfId="81">
      <protection locked="0"/>
    </xf>
    <xf numFmtId="164" fontId="41" fillId="63" borderId="10" xfId="78" applyAlignment="1">
      <protection locked="0"/>
    </xf>
    <xf numFmtId="0" fontId="41" fillId="63" borderId="10" xfId="82" applyNumberFormat="1" applyAlignment="1">
      <alignment horizontal="left"/>
      <protection locked="0"/>
    </xf>
    <xf numFmtId="0" fontId="21" fillId="62" borderId="10" xfId="77" applyNumberFormat="1">
      <protection locked="0"/>
    </xf>
    <xf numFmtId="0" fontId="27" fillId="46" borderId="10" xfId="57">
      <protection locked="0"/>
    </xf>
    <xf numFmtId="49" fontId="33" fillId="59" borderId="10" xfId="72"/>
    <xf numFmtId="0" fontId="33" fillId="58" borderId="10" xfId="71"/>
    <xf numFmtId="0" fontId="21" fillId="60" borderId="10" xfId="73"/>
    <xf numFmtId="0" fontId="41" fillId="61" borderId="10" xfId="74"/>
    <xf numFmtId="0" fontId="21" fillId="57" borderId="10" xfId="70"/>
    <xf numFmtId="0" fontId="24" fillId="43" borderId="10" xfId="54"/>
    <xf numFmtId="49" fontId="20" fillId="36" borderId="10" xfId="50"/>
    <xf numFmtId="49" fontId="20" fillId="71" borderId="10" xfId="90"/>
    <xf numFmtId="0" fontId="21" fillId="37" borderId="10" xfId="51"/>
    <xf numFmtId="164" fontId="41" fillId="70" borderId="10" xfId="89" applyAlignment="1"/>
    <xf numFmtId="0" fontId="41" fillId="70" borderId="10" xfId="91" applyNumberFormat="1" applyAlignment="1">
      <alignment horizontal="left"/>
    </xf>
    <xf numFmtId="0" fontId="21" fillId="69" borderId="10" xfId="88" applyNumberFormat="1"/>
    <xf numFmtId="0" fontId="25" fillId="44" borderId="10" xfId="55">
      <protection locked="0"/>
    </xf>
    <xf numFmtId="49" fontId="38" fillId="74" borderId="10" xfId="94"/>
    <xf numFmtId="49" fontId="38" fillId="73" borderId="10" xfId="93"/>
    <xf numFmtId="0" fontId="21" fillId="75" borderId="10" xfId="95"/>
    <xf numFmtId="0" fontId="41" fillId="76" borderId="10" xfId="96"/>
    <xf numFmtId="0" fontId="21" fillId="72" borderId="10" xfId="92"/>
    <xf numFmtId="0" fontId="26" fillId="45" borderId="10" xfId="56"/>
    <xf numFmtId="49" fontId="37" fillId="38" borderId="10" xfId="85"/>
    <xf numFmtId="49" fontId="37" fillId="67" borderId="10" xfId="84"/>
    <xf numFmtId="0" fontId="21" fillId="39" borderId="10" xfId="86"/>
    <xf numFmtId="0" fontId="21" fillId="40" borderId="10" xfId="83"/>
    <xf numFmtId="49" fontId="18" fillId="34" borderId="10" xfId="48"/>
    <xf numFmtId="0" fontId="0" fillId="78" borderId="10" xfId="0" applyFill="1" applyBorder="1" applyAlignment="1">
      <alignment horizontal="center"/>
    </xf>
    <xf numFmtId="0" fontId="44" fillId="79" borderId="10" xfId="97" applyFill="1" applyBorder="1" applyAlignment="1">
      <alignment horizontal="center"/>
    </xf>
    <xf numFmtId="0" fontId="41" fillId="80" borderId="0" xfId="98" applyFill="1" applyBorder="1" applyAlignment="1">
      <alignment horizontal="center"/>
    </xf>
    <xf numFmtId="0" fontId="0" fillId="40" borderId="17" xfId="0" applyFill="1" applyBorder="1" applyAlignment="1">
      <alignment horizontal="center"/>
    </xf>
    <xf numFmtId="0" fontId="0" fillId="72" borderId="36" xfId="0" applyFill="1" applyBorder="1" applyAlignment="1">
      <alignment horizontal="center"/>
    </xf>
    <xf numFmtId="0" fontId="0" fillId="40" borderId="26" xfId="0" applyFill="1" applyBorder="1" applyAlignment="1">
      <alignment horizontal="center"/>
    </xf>
    <xf numFmtId="0" fontId="0" fillId="69" borderId="17" xfId="0" applyFill="1" applyBorder="1" applyAlignment="1">
      <alignment horizontal="center"/>
    </xf>
    <xf numFmtId="0" fontId="0" fillId="72" borderId="26" xfId="0" applyFill="1" applyBorder="1" applyAlignment="1">
      <alignment horizontal="center"/>
    </xf>
    <xf numFmtId="0" fontId="0" fillId="69" borderId="26" xfId="0" applyFill="1" applyBorder="1" applyAlignment="1">
      <alignment horizontal="center"/>
    </xf>
    <xf numFmtId="0" fontId="30" fillId="51" borderId="10" xfId="63" applyNumberFormat="1"/>
    <xf numFmtId="9" fontId="42" fillId="54" borderId="10" xfId="66" applyNumberFormat="1" applyAlignment="1">
      <alignment horizontal="center"/>
    </xf>
    <xf numFmtId="0" fontId="41" fillId="68" borderId="10" xfId="87"/>
    <xf numFmtId="0" fontId="41" fillId="47" borderId="17" xfId="98" applyFill="1" applyBorder="1" applyAlignment="1">
      <alignment horizontal="center"/>
    </xf>
    <xf numFmtId="0" fontId="41" fillId="47" borderId="36" xfId="98" applyFill="1" applyBorder="1" applyAlignment="1">
      <alignment horizontal="center"/>
    </xf>
    <xf numFmtId="0" fontId="41" fillId="47" borderId="26" xfId="98" applyFill="1" applyBorder="1" applyAlignment="1">
      <alignment horizontal="center"/>
    </xf>
    <xf numFmtId="0" fontId="44" fillId="62" borderId="17" xfId="97" applyFill="1" applyBorder="1" applyAlignment="1">
      <alignment horizontal="center"/>
    </xf>
    <xf numFmtId="0" fontId="44" fillId="62" borderId="36" xfId="97" applyFill="1" applyBorder="1" applyAlignment="1">
      <alignment horizontal="center"/>
    </xf>
    <xf numFmtId="0" fontId="44" fillId="62" borderId="26" xfId="97" applyFill="1" applyBorder="1" applyAlignment="1">
      <alignment horizontal="center"/>
    </xf>
    <xf numFmtId="0" fontId="21" fillId="37" borderId="10" xfId="51" applyAlignment="1">
      <alignment horizontal="center"/>
    </xf>
    <xf numFmtId="0" fontId="29" fillId="0" borderId="0" xfId="0" applyFont="1"/>
    <xf numFmtId="0" fontId="44" fillId="0" borderId="0" xfId="97" applyFill="1" applyBorder="1"/>
    <xf numFmtId="0" fontId="41" fillId="0" borderId="0" xfId="98" applyFill="1" applyBorder="1"/>
    <xf numFmtId="0" fontId="45" fillId="0" borderId="0" xfId="0" applyFont="1"/>
    <xf numFmtId="0" fontId="30" fillId="52" borderId="10" xfId="64" applyNumberFormat="1"/>
    <xf numFmtId="0" fontId="29" fillId="53" borderId="10" xfId="65" applyNumberFormat="1"/>
    <xf numFmtId="0" fontId="42" fillId="54" borderId="10" xfId="66" applyNumberFormat="1"/>
    <xf numFmtId="0" fontId="31" fillId="56" borderId="10" xfId="69" applyNumberFormat="1"/>
    <xf numFmtId="0" fontId="32" fillId="51" borderId="10" xfId="68" applyNumberFormat="1"/>
    <xf numFmtId="0" fontId="31" fillId="55" borderId="10" xfId="67" applyNumberFormat="1"/>
    <xf numFmtId="0" fontId="23" fillId="42" borderId="10" xfId="53" applyNumberFormat="1"/>
    <xf numFmtId="0" fontId="39" fillId="33" borderId="10" xfId="47" applyNumberFormat="1" applyFont="1" applyAlignment="1">
      <alignment horizontal="left"/>
    </xf>
    <xf numFmtId="0" fontId="19" fillId="33" borderId="10" xfId="59" applyNumberFormat="1" applyAlignment="1">
      <alignment vertical="center"/>
    </xf>
    <xf numFmtId="0" fontId="28" fillId="48" borderId="10" xfId="60" applyNumberFormat="1" applyAlignment="1">
      <alignment vertical="center"/>
    </xf>
    <xf numFmtId="0" fontId="43" fillId="49" borderId="10" xfId="61" applyNumberFormat="1" applyAlignment="1"/>
    <xf numFmtId="0" fontId="28" fillId="47" borderId="10" xfId="58" applyNumberFormat="1" applyAlignment="1">
      <alignment horizontal="left" vertical="center"/>
    </xf>
    <xf numFmtId="0" fontId="22" fillId="41" borderId="10" xfId="52" applyNumberFormat="1" applyAlignment="1">
      <alignment horizontal="left" vertical="center"/>
    </xf>
    <xf numFmtId="0" fontId="36" fillId="65" borderId="10" xfId="80" applyNumberFormat="1"/>
    <xf numFmtId="0" fontId="36" fillId="64" borderId="10" xfId="79" applyNumberFormat="1"/>
    <xf numFmtId="0" fontId="33" fillId="59" borderId="10" xfId="72" applyNumberFormat="1"/>
    <xf numFmtId="0" fontId="33" fillId="58" borderId="10" xfId="71" applyNumberFormat="1"/>
    <xf numFmtId="0" fontId="21" fillId="60" borderId="10" xfId="73" applyNumberFormat="1"/>
    <xf numFmtId="0" fontId="41" fillId="61" borderId="10" xfId="74" applyNumberFormat="1"/>
    <xf numFmtId="0" fontId="21" fillId="57" borderId="10" xfId="70" applyNumberFormat="1"/>
    <xf numFmtId="0" fontId="24" fillId="43" borderId="10" xfId="54" applyNumberFormat="1"/>
    <xf numFmtId="0" fontId="20" fillId="36" borderId="10" xfId="50" applyNumberFormat="1"/>
    <xf numFmtId="0" fontId="20" fillId="71" borderId="10" xfId="90" applyNumberFormat="1"/>
    <xf numFmtId="0" fontId="21" fillId="37" borderId="10" xfId="51" applyNumberFormat="1"/>
    <xf numFmtId="0" fontId="41" fillId="70" borderId="10" xfId="89" applyNumberFormat="1" applyAlignment="1"/>
    <xf numFmtId="0" fontId="41" fillId="70" borderId="10" xfId="91" applyNumberFormat="1" applyAlignment="1"/>
    <xf numFmtId="0" fontId="38" fillId="74" borderId="10" xfId="94" applyNumberFormat="1"/>
    <xf numFmtId="0" fontId="38" fillId="73" borderId="10" xfId="93" applyNumberFormat="1"/>
    <xf numFmtId="0" fontId="21" fillId="75" borderId="10" xfId="95" applyNumberFormat="1"/>
    <xf numFmtId="0" fontId="41" fillId="76" borderId="10" xfId="96" applyNumberFormat="1"/>
    <xf numFmtId="0" fontId="21" fillId="72" borderId="10" xfId="92" applyNumberFormat="1"/>
    <xf numFmtId="0" fontId="26" fillId="45" borderId="10" xfId="56" applyNumberFormat="1"/>
    <xf numFmtId="0" fontId="37" fillId="38" borderId="10" xfId="85" applyNumberFormat="1"/>
    <xf numFmtId="0" fontId="37" fillId="67" borderId="10" xfId="84" applyNumberFormat="1"/>
    <xf numFmtId="0" fontId="21" fillId="39" borderId="10" xfId="86" applyNumberFormat="1"/>
    <xf numFmtId="0" fontId="41" fillId="68" borderId="10" xfId="87" applyNumberFormat="1"/>
    <xf numFmtId="0" fontId="21" fillId="40" borderId="10" xfId="83" applyNumberFormat="1"/>
    <xf numFmtId="0" fontId="18" fillId="34" borderId="10" xfId="48" applyNumberFormat="1"/>
    <xf numFmtId="0" fontId="21" fillId="66" borderId="10" xfId="81" applyNumberFormat="1" applyProtection="1"/>
    <xf numFmtId="0" fontId="41" fillId="63" borderId="10" xfId="78" applyNumberFormat="1" applyAlignment="1" applyProtection="1"/>
    <xf numFmtId="0" fontId="41" fillId="63" borderId="10" xfId="82" applyNumberFormat="1" applyAlignment="1" applyProtection="1"/>
    <xf numFmtId="0" fontId="21" fillId="62" borderId="10" xfId="77" applyNumberFormat="1" applyProtection="1"/>
    <xf numFmtId="0" fontId="27" fillId="46" borderId="10" xfId="57" applyNumberFormat="1" applyProtection="1"/>
    <xf numFmtId="0" fontId="25" fillId="44" borderId="10" xfId="55" applyNumberFormat="1" applyProtection="1"/>
    <xf numFmtId="0" fontId="46" fillId="0" borderId="18" xfId="0" applyFont="1" applyBorder="1" applyAlignment="1">
      <alignment horizontal="center"/>
    </xf>
    <xf numFmtId="0" fontId="46" fillId="0" borderId="0" xfId="0" applyFont="1" applyAlignment="1">
      <alignment horizontal="center"/>
    </xf>
    <xf numFmtId="0" fontId="46" fillId="0" borderId="19" xfId="0" applyFont="1" applyBorder="1" applyAlignment="1">
      <alignment horizontal="center"/>
    </xf>
    <xf numFmtId="0" fontId="46" fillId="0" borderId="22" xfId="0" applyFont="1" applyBorder="1" applyAlignment="1">
      <alignment horizontal="center"/>
    </xf>
    <xf numFmtId="0" fontId="46" fillId="0" borderId="20" xfId="0" applyFont="1" applyBorder="1" applyAlignment="1">
      <alignment horizontal="center"/>
    </xf>
    <xf numFmtId="0" fontId="46" fillId="0" borderId="23" xfId="0" applyFont="1" applyBorder="1" applyAlignment="1">
      <alignment horizontal="center"/>
    </xf>
    <xf numFmtId="0" fontId="46" fillId="0" borderId="27" xfId="0" applyFont="1" applyBorder="1" applyAlignment="1">
      <alignment horizontal="center"/>
    </xf>
    <xf numFmtId="0" fontId="46" fillId="0" borderId="28" xfId="0" applyFont="1" applyBorder="1" applyAlignment="1">
      <alignment horizontal="center"/>
    </xf>
    <xf numFmtId="0" fontId="46" fillId="0" borderId="29" xfId="0" applyFont="1" applyBorder="1" applyAlignment="1">
      <alignment horizontal="center"/>
    </xf>
    <xf numFmtId="0" fontId="46" fillId="0" borderId="32" xfId="0" applyFont="1" applyBorder="1" applyAlignment="1">
      <alignment horizontal="center"/>
    </xf>
    <xf numFmtId="0" fontId="46" fillId="0" borderId="31" xfId="0" applyFont="1" applyBorder="1" applyAlignment="1">
      <alignment horizontal="center"/>
    </xf>
    <xf numFmtId="0" fontId="46" fillId="0" borderId="34" xfId="0" applyFont="1" applyBorder="1" applyAlignment="1">
      <alignment horizontal="center"/>
    </xf>
    <xf numFmtId="0" fontId="46" fillId="0" borderId="33" xfId="0" applyFont="1" applyBorder="1" applyAlignment="1">
      <alignment horizontal="center"/>
    </xf>
    <xf numFmtId="0" fontId="41" fillId="0" borderId="18" xfId="98" applyFill="1" applyBorder="1" applyAlignment="1">
      <alignment horizontal="center"/>
    </xf>
    <xf numFmtId="0" fontId="46" fillId="0" borderId="35" xfId="0" applyFont="1" applyBorder="1" applyAlignment="1">
      <alignment horizontal="center"/>
    </xf>
    <xf numFmtId="0" fontId="21" fillId="40" borderId="10" xfId="83" quotePrefix="1"/>
    <xf numFmtId="0" fontId="28" fillId="48" borderId="10" xfId="60" applyNumberFormat="1" applyAlignment="1">
      <alignment horizontal="left" vertical="center"/>
    </xf>
    <xf numFmtId="0" fontId="0" fillId="0" borderId="0" xfId="0" applyNumberFormat="1"/>
    <xf numFmtId="0" fontId="19" fillId="35" borderId="12" xfId="49" applyNumberFormat="1" applyBorder="1" applyAlignment="1">
      <alignment vertical="center"/>
    </xf>
    <xf numFmtId="165" fontId="1" fillId="49" borderId="10" xfId="5" applyNumberFormat="1" applyFill="1" applyBorder="1" applyAlignment="1">
      <alignment horizontal="center" vertical="center"/>
    </xf>
    <xf numFmtId="0" fontId="0" fillId="0" borderId="0" xfId="0" applyAlignment="1">
      <alignment horizontal="left"/>
    </xf>
    <xf numFmtId="166" fontId="0" fillId="0" borderId="0" xfId="0" applyNumberFormat="1" applyAlignment="1">
      <alignment horizontal="center"/>
    </xf>
    <xf numFmtId="0" fontId="17" fillId="33" borderId="17" xfId="47" applyNumberFormat="1" applyBorder="1">
      <alignment horizontal="center" vertical="center"/>
    </xf>
    <xf numFmtId="0" fontId="21" fillId="66" borderId="17" xfId="81" applyBorder="1">
      <protection locked="0"/>
    </xf>
    <xf numFmtId="0" fontId="0" fillId="0" borderId="0" xfId="0" applyAlignment="1">
      <alignment textRotation="90"/>
    </xf>
    <xf numFmtId="0" fontId="29" fillId="50" borderId="10" xfId="62" applyAlignment="1">
      <alignment horizontal="center"/>
    </xf>
    <xf numFmtId="0" fontId="29" fillId="50" borderId="17" xfId="62" applyNumberFormat="1" applyBorder="1" applyAlignment="1">
      <alignment horizontal="center"/>
    </xf>
    <xf numFmtId="0" fontId="29" fillId="50" borderId="10" xfId="62" applyNumberFormat="1" applyAlignment="1">
      <alignment horizontal="center"/>
    </xf>
    <xf numFmtId="0" fontId="17" fillId="33" borderId="10" xfId="47" applyNumberFormat="1">
      <alignment horizontal="center" vertical="center"/>
    </xf>
    <xf numFmtId="0" fontId="19" fillId="35" borderId="17" xfId="49" applyNumberFormat="1" applyBorder="1">
      <alignment horizontal="center" vertical="center"/>
    </xf>
    <xf numFmtId="0" fontId="0" fillId="0" borderId="10" xfId="0" applyBorder="1" applyAlignment="1">
      <alignment horizontal="center"/>
    </xf>
    <xf numFmtId="0" fontId="29" fillId="50" borderId="17" xfId="62" applyBorder="1" applyAlignment="1">
      <alignment horizontal="center"/>
    </xf>
    <xf numFmtId="0" fontId="24" fillId="43" borderId="0" xfId="54" applyBorder="1" applyAlignment="1">
      <alignment horizontal="center"/>
    </xf>
    <xf numFmtId="0" fontId="19" fillId="35" borderId="10" xfId="49" applyNumberFormat="1">
      <alignment horizontal="center" vertical="center"/>
    </xf>
    <xf numFmtId="0" fontId="0" fillId="0" borderId="0" xfId="0" applyNumberFormat="1" applyAlignment="1">
      <alignment horizontal="center"/>
    </xf>
    <xf numFmtId="0" fontId="28" fillId="48" borderId="10" xfId="60" applyNumberFormat="1">
      <alignment horizontal="center" vertical="center"/>
    </xf>
    <xf numFmtId="0" fontId="19" fillId="35" borderId="10" xfId="49" applyNumberFormat="1" applyAlignment="1">
      <alignment vertical="center"/>
    </xf>
    <xf numFmtId="0" fontId="19" fillId="35" borderId="37" xfId="49" applyNumberFormat="1" applyBorder="1" applyAlignment="1">
      <alignment vertical="center"/>
    </xf>
    <xf numFmtId="0" fontId="19" fillId="35" borderId="31" xfId="49" applyNumberFormat="1" applyBorder="1" applyAlignment="1">
      <alignment vertical="center"/>
    </xf>
    <xf numFmtId="0" fontId="19" fillId="35" borderId="11" xfId="49" applyNumberFormat="1" applyBorder="1" applyAlignment="1">
      <alignment vertical="center"/>
    </xf>
    <xf numFmtId="0" fontId="28" fillId="48" borderId="10" xfId="60">
      <alignment horizontal="center" vertical="center"/>
    </xf>
    <xf numFmtId="10" fontId="28" fillId="48" borderId="10" xfId="5" applyNumberFormat="1" applyFont="1" applyFill="1" applyBorder="1" applyAlignment="1">
      <alignment horizontal="center" vertical="center"/>
    </xf>
    <xf numFmtId="10" fontId="28" fillId="48" borderId="10" xfId="5" applyNumberFormat="1" applyFont="1" applyFill="1" applyBorder="1" applyAlignment="1">
      <alignment horizontal="left" vertical="center"/>
    </xf>
    <xf numFmtId="0" fontId="19" fillId="33" borderId="10" xfId="59" applyNumberFormat="1">
      <alignment horizontal="center" vertical="center"/>
    </xf>
    <xf numFmtId="165" fontId="19" fillId="33" borderId="11" xfId="59" applyNumberFormat="1" applyBorder="1" applyAlignment="1">
      <alignment vertical="center"/>
    </xf>
    <xf numFmtId="165" fontId="19" fillId="33" borderId="12" xfId="59" applyNumberFormat="1" applyBorder="1" applyAlignment="1">
      <alignment vertical="center"/>
    </xf>
    <xf numFmtId="165" fontId="19" fillId="33" borderId="13" xfId="59" applyNumberFormat="1" applyBorder="1" applyAlignment="1">
      <alignment vertical="center"/>
    </xf>
    <xf numFmtId="166" fontId="28" fillId="47" borderId="10" xfId="58" applyNumberFormat="1">
      <alignment horizontal="center" vertical="center"/>
    </xf>
    <xf numFmtId="10" fontId="19" fillId="35" borderId="11" xfId="49" applyNumberFormat="1" applyBorder="1" applyAlignment="1">
      <alignment vertical="center"/>
    </xf>
    <xf numFmtId="10" fontId="19" fillId="35" borderId="13" xfId="49" applyNumberFormat="1" applyBorder="1" applyAlignment="1">
      <alignment vertical="center"/>
    </xf>
    <xf numFmtId="0" fontId="29" fillId="53" borderId="17" xfId="65" applyNumberFormat="1" applyBorder="1"/>
    <xf numFmtId="0" fontId="0" fillId="0" borderId="0" xfId="0" applyNumberFormat="1" applyAlignment="1">
      <alignment horizontal="center" vertical="center"/>
    </xf>
    <xf numFmtId="0" fontId="29" fillId="53" borderId="17" xfId="65" applyBorder="1"/>
    <xf numFmtId="0" fontId="24" fillId="43" borderId="10" xfId="54" applyAlignment="1">
      <alignment horizontal="center"/>
    </xf>
    <xf numFmtId="0" fontId="0" fillId="0" borderId="10" xfId="0" applyBorder="1" applyAlignment="1" applyProtection="1">
      <alignment horizontal="center"/>
      <protection locked="0"/>
    </xf>
    <xf numFmtId="0" fontId="0" fillId="0" borderId="0" xfId="0" applyAlignment="1" applyProtection="1">
      <alignment horizontal="center"/>
      <protection locked="0"/>
    </xf>
    <xf numFmtId="0" fontId="28" fillId="47" borderId="10" xfId="58" applyNumberFormat="1">
      <alignment horizontal="center" vertical="center"/>
    </xf>
    <xf numFmtId="0" fontId="21" fillId="66" borderId="10" xfId="81" applyAlignment="1">
      <alignment horizontal="center"/>
      <protection locked="0"/>
    </xf>
    <xf numFmtId="0" fontId="0" fillId="0" borderId="0" xfId="0" applyAlignment="1">
      <alignment horizontal="center" wrapText="1"/>
    </xf>
    <xf numFmtId="0" fontId="0" fillId="0" borderId="0" xfId="0" applyNumberFormat="1" applyAlignment="1" applyProtection="1">
      <alignment horizontal="center"/>
      <protection locked="0"/>
    </xf>
    <xf numFmtId="0" fontId="48" fillId="0" borderId="0" xfId="0" applyFont="1" applyAlignment="1">
      <alignment horizontal="center"/>
    </xf>
    <xf numFmtId="49" fontId="0" fillId="0" borderId="0" xfId="0" applyNumberFormat="1" applyAlignment="1">
      <alignment horizontal="center"/>
    </xf>
    <xf numFmtId="0" fontId="21" fillId="69" borderId="17" xfId="88" applyBorder="1" applyAlignment="1">
      <alignment horizontal="center"/>
    </xf>
    <xf numFmtId="0" fontId="21" fillId="78" borderId="17" xfId="95" applyFill="1" applyBorder="1" applyAlignment="1">
      <alignment horizontal="center"/>
    </xf>
    <xf numFmtId="0" fontId="21" fillId="39" borderId="17" xfId="86" applyBorder="1" applyAlignment="1">
      <alignment horizontal="center"/>
    </xf>
    <xf numFmtId="0" fontId="0" fillId="81" borderId="0" xfId="0" applyFill="1" applyAlignment="1">
      <alignment horizontal="center"/>
    </xf>
    <xf numFmtId="0" fontId="21" fillId="82" borderId="17" xfId="0" applyFont="1" applyFill="1" applyBorder="1" applyAlignment="1">
      <alignment horizontal="center"/>
    </xf>
    <xf numFmtId="49" fontId="0" fillId="0" borderId="0" xfId="0" applyNumberFormat="1" applyAlignment="1" applyProtection="1">
      <alignment horizontal="center"/>
      <protection locked="0"/>
    </xf>
    <xf numFmtId="0" fontId="21" fillId="66" borderId="17" xfId="81" applyBorder="1" applyAlignment="1">
      <alignment horizontal="center"/>
      <protection locked="0"/>
    </xf>
    <xf numFmtId="0" fontId="0" fillId="0" borderId="0" xfId="0" quotePrefix="1" applyAlignment="1">
      <alignment horizontal="center"/>
    </xf>
    <xf numFmtId="165" fontId="28" fillId="48" borderId="10" xfId="60" applyNumberFormat="1">
      <alignment horizontal="center" vertical="center"/>
    </xf>
    <xf numFmtId="0" fontId="21" fillId="66" borderId="17" xfId="81" applyNumberFormat="1" applyBorder="1">
      <protection locked="0"/>
    </xf>
    <xf numFmtId="0" fontId="30" fillId="52" borderId="10" xfId="64" applyNumberFormat="1" applyAlignment="1">
      <alignment horizontal="center" textRotation="45" wrapText="1"/>
    </xf>
    <xf numFmtId="0" fontId="36" fillId="65" borderId="10" xfId="80" applyNumberFormat="1" applyAlignment="1">
      <alignment horizontal="center" textRotation="45" wrapText="1"/>
    </xf>
    <xf numFmtId="0" fontId="0" fillId="0" borderId="0" xfId="0" applyAlignment="1">
      <alignment horizontal="center" textRotation="45" wrapText="1"/>
    </xf>
    <xf numFmtId="0" fontId="30" fillId="51" borderId="10" xfId="63" applyNumberFormat="1" applyAlignment="1">
      <alignment horizontal="center" textRotation="45" wrapText="1"/>
    </xf>
    <xf numFmtId="0" fontId="49" fillId="51" borderId="10" xfId="63" applyNumberFormat="1" applyFont="1" applyAlignment="1">
      <alignment horizontal="center"/>
    </xf>
    <xf numFmtId="0" fontId="17" fillId="33" borderId="11" xfId="47" applyNumberFormat="1" applyBorder="1">
      <alignment horizontal="center" vertical="center"/>
    </xf>
    <xf numFmtId="0" fontId="17" fillId="33" borderId="12" xfId="47" applyNumberFormat="1" applyBorder="1">
      <alignment horizontal="center" vertical="center"/>
    </xf>
    <xf numFmtId="0" fontId="17" fillId="33" borderId="13" xfId="47" applyNumberFormat="1" applyBorder="1">
      <alignment horizontal="center" vertical="center"/>
    </xf>
    <xf numFmtId="0" fontId="17" fillId="33" borderId="31" xfId="47" applyNumberFormat="1" applyBorder="1">
      <alignment horizontal="center" vertical="center"/>
    </xf>
    <xf numFmtId="10" fontId="28" fillId="48" borderId="11" xfId="5" applyNumberFormat="1" applyFont="1" applyFill="1" applyBorder="1" applyAlignment="1">
      <alignment horizontal="center" vertical="center"/>
    </xf>
    <xf numFmtId="0" fontId="38" fillId="73" borderId="36" xfId="93" applyNumberFormat="1" applyBorder="1"/>
    <xf numFmtId="166" fontId="0" fillId="0" borderId="0" xfId="0" applyNumberFormat="1" applyAlignment="1" applyProtection="1">
      <alignment horizontal="center"/>
      <protection locked="0"/>
    </xf>
    <xf numFmtId="0" fontId="0" fillId="0" borderId="0" xfId="0" applyAlignment="1">
      <alignment horizontal="center" vertical="center"/>
    </xf>
    <xf numFmtId="0" fontId="0" fillId="0" borderId="0" xfId="0" applyAlignment="1" applyProtection="1">
      <alignment horizontal="left"/>
      <protection locked="0"/>
    </xf>
    <xf numFmtId="49" fontId="0" fillId="0" borderId="0" xfId="0" applyNumberFormat="1" applyAlignment="1">
      <alignment horizontal="center" vertical="center"/>
    </xf>
    <xf numFmtId="0" fontId="0" fillId="0" borderId="0" xfId="0" applyNumberFormat="1" applyAlignment="1" applyProtection="1">
      <alignment horizontal="center" vertical="center"/>
      <protection locked="0"/>
    </xf>
    <xf numFmtId="0" fontId="0" fillId="0" borderId="0" xfId="0" applyNumberFormat="1" applyAlignment="1" applyProtection="1">
      <alignment horizontal="left" vertical="center"/>
      <protection locked="0"/>
    </xf>
    <xf numFmtId="0" fontId="0" fillId="0" borderId="0" xfId="0" applyNumberFormat="1" applyAlignment="1">
      <alignment horizontal="left"/>
    </xf>
    <xf numFmtId="49" fontId="0" fillId="0" borderId="0" xfId="0" quotePrefix="1" applyNumberFormat="1" applyAlignment="1">
      <alignment horizontal="center"/>
    </xf>
    <xf numFmtId="0" fontId="0" fillId="0" borderId="0" xfId="0" applyNumberFormat="1" applyAlignment="1" applyProtection="1">
      <alignment horizontal="left"/>
      <protection locked="0"/>
    </xf>
    <xf numFmtId="0" fontId="29" fillId="50" borderId="17" xfId="62" applyBorder="1"/>
    <xf numFmtId="0" fontId="17" fillId="33" borderId="0" xfId="47" applyNumberFormat="1" applyBorder="1" applyAlignment="1">
      <alignment vertical="center"/>
    </xf>
    <xf numFmtId="0" fontId="17" fillId="33" borderId="11" xfId="47" applyNumberFormat="1" applyBorder="1" applyAlignment="1">
      <alignment vertical="center"/>
    </xf>
    <xf numFmtId="0" fontId="17" fillId="33" borderId="13" xfId="47" applyNumberFormat="1" applyBorder="1" applyAlignment="1">
      <alignment vertical="center"/>
    </xf>
    <xf numFmtId="0" fontId="28" fillId="48" borderId="11" xfId="60" applyNumberFormat="1" applyBorder="1" applyAlignment="1">
      <alignment vertical="center"/>
    </xf>
    <xf numFmtId="0" fontId="28" fillId="48" borderId="13" xfId="60" applyNumberFormat="1" applyBorder="1" applyAlignment="1">
      <alignment vertical="center"/>
    </xf>
    <xf numFmtId="0" fontId="28" fillId="48" borderId="12" xfId="60" applyNumberFormat="1" applyBorder="1">
      <alignment horizontal="center" vertical="center"/>
    </xf>
    <xf numFmtId="0" fontId="50" fillId="51" borderId="10" xfId="99" applyAlignment="1">
      <alignment horizontal="center"/>
    </xf>
    <xf numFmtId="0" fontId="19" fillId="35" borderId="13" xfId="49" applyNumberFormat="1" applyBorder="1">
      <alignment horizontal="center" vertical="center"/>
    </xf>
    <xf numFmtId="0" fontId="29" fillId="50" borderId="10" xfId="62" applyNumberFormat="1" applyAlignment="1">
      <alignment horizontal="center" vertical="center"/>
    </xf>
    <xf numFmtId="0" fontId="36" fillId="64" borderId="30" xfId="79" applyNumberFormat="1" applyBorder="1"/>
    <xf numFmtId="0" fontId="36" fillId="64" borderId="26" xfId="79" applyNumberFormat="1" applyBorder="1"/>
    <xf numFmtId="0" fontId="30" fillId="51" borderId="37" xfId="63" applyNumberFormat="1" applyBorder="1"/>
    <xf numFmtId="0" fontId="21" fillId="66" borderId="16" xfId="81" applyBorder="1">
      <protection locked="0"/>
    </xf>
    <xf numFmtId="0" fontId="29" fillId="50" borderId="14" xfId="62" applyBorder="1"/>
    <xf numFmtId="0" fontId="21" fillId="62" borderId="10" xfId="77">
      <protection locked="0"/>
    </xf>
    <xf numFmtId="0" fontId="0" fillId="0" borderId="0" xfId="0" applyAlignment="1"/>
    <xf numFmtId="0" fontId="28" fillId="48" borderId="10" xfId="60" applyNumberFormat="1" applyAlignment="1">
      <alignment horizontal="center" vertical="center" textRotation="45" wrapText="1"/>
    </xf>
    <xf numFmtId="0" fontId="0" fillId="0" borderId="0" xfId="0" applyAlignment="1">
      <alignment textRotation="45" wrapText="1"/>
    </xf>
    <xf numFmtId="0" fontId="24" fillId="43" borderId="10" xfId="54" applyNumberFormat="1" applyAlignment="1">
      <alignment horizontal="center" vertical="center" textRotation="45" wrapText="1"/>
    </xf>
    <xf numFmtId="0" fontId="29" fillId="50" borderId="17" xfId="62" applyNumberFormat="1" applyBorder="1"/>
    <xf numFmtId="0" fontId="21" fillId="66" borderId="10" xfId="81" applyNumberFormat="1">
      <protection locked="0"/>
    </xf>
    <xf numFmtId="0" fontId="33" fillId="59" borderId="10" xfId="72" applyNumberFormat="1" applyAlignment="1">
      <alignment horizontal="center"/>
    </xf>
    <xf numFmtId="0" fontId="33" fillId="58" borderId="10" xfId="71" applyNumberFormat="1" applyAlignment="1">
      <alignment horizontal="center"/>
    </xf>
    <xf numFmtId="0" fontId="21" fillId="72" borderId="10" xfId="92" applyNumberFormat="1" applyAlignment="1">
      <alignment horizontal="center" vertical="center" textRotation="45" wrapText="1"/>
    </xf>
    <xf numFmtId="0" fontId="38" fillId="73" borderId="10" xfId="93" applyNumberFormat="1" applyAlignment="1">
      <alignment horizontal="center"/>
    </xf>
    <xf numFmtId="0" fontId="21" fillId="57" borderId="10" xfId="70" applyNumberFormat="1" applyAlignment="1">
      <alignment horizontal="center" vertical="center" textRotation="45" wrapText="1"/>
    </xf>
    <xf numFmtId="0" fontId="25" fillId="44" borderId="10" xfId="55" applyNumberFormat="1" applyAlignment="1">
      <alignment horizontal="center" vertical="center" textRotation="45" wrapText="1"/>
      <protection locked="0"/>
    </xf>
    <xf numFmtId="0" fontId="20" fillId="71" borderId="10" xfId="90" applyNumberFormat="1" applyAlignment="1">
      <alignment horizontal="center"/>
    </xf>
    <xf numFmtId="0" fontId="20" fillId="83" borderId="10" xfId="90" applyNumberFormat="1" applyFill="1" applyAlignment="1">
      <alignment horizontal="center"/>
    </xf>
    <xf numFmtId="0" fontId="31" fillId="56" borderId="10" xfId="69" applyNumberFormat="1" applyAlignment="1"/>
    <xf numFmtId="0" fontId="21" fillId="69" borderId="10" xfId="88"/>
    <xf numFmtId="0" fontId="0" fillId="0" borderId="0" xfId="0" pivotButton="1" applyAlignment="1">
      <alignment horizontal="center"/>
    </xf>
    <xf numFmtId="0" fontId="0" fillId="0" borderId="0" xfId="0" applyAlignment="1">
      <alignment horizontal="left" indent="1"/>
    </xf>
    <xf numFmtId="0" fontId="0" fillId="0" borderId="0" xfId="0" applyAlignment="1">
      <alignment horizontal="left" indent="2"/>
    </xf>
    <xf numFmtId="0" fontId="0" fillId="0" borderId="0" xfId="0" pivotButton="1"/>
    <xf numFmtId="0" fontId="17" fillId="33" borderId="0" xfId="47" applyNumberFormat="1" applyBorder="1">
      <alignment horizontal="center" vertical="center"/>
    </xf>
    <xf numFmtId="10" fontId="28" fillId="48" borderId="0" xfId="5" applyNumberFormat="1" applyFont="1" applyFill="1" applyBorder="1" applyAlignment="1">
      <alignment horizontal="left" vertical="center"/>
    </xf>
    <xf numFmtId="165" fontId="19" fillId="33" borderId="0" xfId="59" applyNumberFormat="1" applyBorder="1" applyAlignment="1">
      <alignment vertical="center"/>
    </xf>
    <xf numFmtId="22" fontId="0" fillId="0" borderId="0" xfId="0" applyNumberFormat="1"/>
    <xf numFmtId="0" fontId="29" fillId="50" borderId="0" xfId="62" applyBorder="1" applyAlignment="1">
      <alignment horizontal="center"/>
    </xf>
    <xf numFmtId="0" fontId="21" fillId="75" borderId="10" xfId="95" applyNumberFormat="1" applyAlignment="1"/>
    <xf numFmtId="0" fontId="0" fillId="0" borderId="10" xfId="0" applyNumberFormat="1" applyBorder="1"/>
    <xf numFmtId="0" fontId="21" fillId="66" borderId="0" xfId="81" applyNumberFormat="1" applyBorder="1" applyAlignment="1">
      <protection locked="0"/>
    </xf>
    <xf numFmtId="0" fontId="21" fillId="66" borderId="0" xfId="81" applyNumberFormat="1" applyBorder="1">
      <protection locked="0"/>
    </xf>
    <xf numFmtId="0" fontId="21" fillId="39" borderId="0" xfId="86" applyNumberFormat="1" applyBorder="1"/>
    <xf numFmtId="0" fontId="40" fillId="50" borderId="10" xfId="62" applyNumberFormat="1" applyFont="1" applyAlignment="1">
      <alignment horizontal="center" vertical="center"/>
    </xf>
    <xf numFmtId="0" fontId="0" fillId="0" borderId="0" xfId="0" applyAlignment="1">
      <alignment horizontal="center" vertical="top"/>
    </xf>
    <xf numFmtId="49" fontId="17" fillId="33" borderId="11" xfId="47" applyBorder="1">
      <alignment horizontal="center" vertical="center"/>
    </xf>
    <xf numFmtId="49" fontId="17" fillId="33" borderId="12" xfId="47" applyBorder="1">
      <alignment horizontal="center" vertical="center"/>
    </xf>
    <xf numFmtId="49" fontId="17" fillId="33" borderId="13" xfId="47" applyBorder="1">
      <alignment horizontal="center" vertical="center"/>
    </xf>
    <xf numFmtId="49" fontId="17" fillId="33" borderId="10" xfId="47">
      <alignment horizontal="center" vertical="center"/>
    </xf>
    <xf numFmtId="0" fontId="17" fillId="33" borderId="10" xfId="47" applyNumberFormat="1">
      <alignment horizontal="center" vertical="center"/>
    </xf>
    <xf numFmtId="0" fontId="17" fillId="33" borderId="11" xfId="47" applyNumberFormat="1" applyBorder="1">
      <alignment horizontal="center" vertical="center"/>
    </xf>
    <xf numFmtId="0" fontId="17" fillId="33" borderId="12" xfId="47" applyNumberFormat="1" applyBorder="1">
      <alignment horizontal="center" vertical="center"/>
    </xf>
    <xf numFmtId="0" fontId="17" fillId="33" borderId="13" xfId="47" applyNumberFormat="1" applyBorder="1">
      <alignment horizontal="center" vertical="center"/>
    </xf>
    <xf numFmtId="49" fontId="17" fillId="33" borderId="14" xfId="47" applyBorder="1">
      <alignment horizontal="center" vertical="center"/>
    </xf>
    <xf numFmtId="49" fontId="17" fillId="33" borderId="15" xfId="47" applyBorder="1">
      <alignment horizontal="center" vertical="center"/>
    </xf>
    <xf numFmtId="49" fontId="17" fillId="33" borderId="16" xfId="47" applyBorder="1">
      <alignment horizontal="center" vertical="center"/>
    </xf>
    <xf numFmtId="49" fontId="18" fillId="34" borderId="10" xfId="48" applyAlignment="1">
      <alignment horizontal="center"/>
    </xf>
    <xf numFmtId="49" fontId="18" fillId="34" borderId="11" xfId="48" applyBorder="1" applyAlignment="1">
      <alignment horizontal="center"/>
    </xf>
    <xf numFmtId="49" fontId="19" fillId="35" borderId="14" xfId="49" applyBorder="1" applyAlignment="1">
      <alignment horizontal="center"/>
    </xf>
    <xf numFmtId="49" fontId="19" fillId="35" borderId="16" xfId="49" applyBorder="1" applyAlignment="1">
      <alignment horizontal="center"/>
    </xf>
    <xf numFmtId="49" fontId="19" fillId="35" borderId="14" xfId="49" applyBorder="1">
      <alignment horizontal="center" vertical="center"/>
    </xf>
    <xf numFmtId="49" fontId="19" fillId="35" borderId="16" xfId="49" applyBorder="1">
      <alignment horizontal="center" vertical="center"/>
    </xf>
    <xf numFmtId="0" fontId="17" fillId="33" borderId="38" xfId="47" applyNumberFormat="1" applyBorder="1">
      <alignment horizontal="center" vertical="center"/>
    </xf>
    <xf numFmtId="0" fontId="17" fillId="33" borderId="0" xfId="47" applyNumberFormat="1" applyBorder="1">
      <alignment horizontal="center" vertical="center"/>
    </xf>
    <xf numFmtId="0" fontId="17" fillId="33" borderId="17" xfId="47" applyNumberFormat="1" applyBorder="1">
      <alignment horizontal="center" vertical="center"/>
    </xf>
    <xf numFmtId="0" fontId="19" fillId="35" borderId="14" xfId="49" applyNumberFormat="1" applyBorder="1">
      <alignment horizontal="center" vertical="center"/>
    </xf>
    <xf numFmtId="0" fontId="19" fillId="35" borderId="16" xfId="49" applyNumberFormat="1" applyBorder="1">
      <alignment horizontal="center" vertical="center"/>
    </xf>
    <xf numFmtId="0" fontId="19" fillId="35" borderId="11" xfId="49" applyNumberFormat="1" applyBorder="1">
      <alignment horizontal="center" vertical="center"/>
    </xf>
    <xf numFmtId="0" fontId="19" fillId="35" borderId="13" xfId="49" applyNumberFormat="1" applyBorder="1">
      <alignment horizontal="center" vertical="center"/>
    </xf>
    <xf numFmtId="0" fontId="19" fillId="33" borderId="11" xfId="59" applyNumberFormat="1" applyBorder="1" applyAlignment="1">
      <alignment horizontal="right" vertical="center"/>
    </xf>
    <xf numFmtId="0" fontId="19" fillId="33" borderId="12" xfId="59" applyNumberFormat="1" applyBorder="1" applyAlignment="1">
      <alignment horizontal="right" vertical="center"/>
    </xf>
    <xf numFmtId="0" fontId="19" fillId="33" borderId="13" xfId="59" applyNumberFormat="1" applyBorder="1" applyAlignment="1">
      <alignment horizontal="right" vertical="center"/>
    </xf>
    <xf numFmtId="0" fontId="19" fillId="35" borderId="10" xfId="49" applyNumberFormat="1">
      <alignment horizontal="center" vertical="center"/>
    </xf>
    <xf numFmtId="0" fontId="19" fillId="35" borderId="12" xfId="49" applyNumberFormat="1" applyBorder="1">
      <alignment horizontal="center" vertical="center"/>
    </xf>
    <xf numFmtId="0" fontId="50" fillId="51" borderId="10" xfId="99" applyNumberFormat="1" applyAlignment="1"/>
    <xf numFmtId="0" fontId="50" fillId="51" borderId="10" xfId="99" applyNumberFormat="1" applyAlignment="1" applyProtection="1">
      <protection locked="0"/>
    </xf>
    <xf numFmtId="0" fontId="50" fillId="51" borderId="10" xfId="99" applyNumberFormat="1" applyAlignment="1" applyProtection="1"/>
    <xf numFmtId="0" fontId="0" fillId="0" borderId="10" xfId="0" applyNumberFormat="1" applyFill="1" applyBorder="1">
      <extLst>
        <ext xmlns:xfpb="http://schemas.microsoft.com/office/spreadsheetml/2022/featurepropertybag" uri="{C7286773-470A-42A8-94C5-96B5CB345126}">
          <xfpb:xfComplement i="0"/>
        </ext>
      </extLst>
    </xf>
    <xf numFmtId="0" fontId="0" fillId="0" borderId="0" xfId="0" applyFill="1"/>
    <xf numFmtId="0" fontId="0" fillId="0" borderId="0" xfId="0" applyFill="1">
      <extLst>
        <ext xmlns:xfpb="http://schemas.microsoft.com/office/spreadsheetml/2022/featurepropertybag" uri="{C7286773-470A-42A8-94C5-96B5CB345126}">
          <xfpb:xfComplement i="0"/>
        </ext>
      </extLst>
    </xf>
    <xf numFmtId="0" fontId="21" fillId="75" borderId="10" xfId="95" applyNumberFormat="1">
      <extLst>
        <ext xmlns:xfpb="http://schemas.microsoft.com/office/spreadsheetml/2022/featurepropertybag" uri="{C7286773-470A-42A8-94C5-96B5CB345126}">
          <xfpb:xfComplement i="0"/>
        </ext>
      </extLst>
    </xf>
    <xf numFmtId="0" fontId="21" fillId="75" borderId="10" xfId="95">
      <extLst>
        <ext xmlns:xfpb="http://schemas.microsoft.com/office/spreadsheetml/2022/featurepropertybag" uri="{C7286773-470A-42A8-94C5-96B5CB345126}">
          <xfpb:xfComplement i="0"/>
        </ext>
      </extLst>
    </xf>
    <xf numFmtId="0" fontId="21" fillId="37" borderId="10" xfId="51" applyNumberFormat="1">
      <extLst>
        <ext xmlns:xfpb="http://schemas.microsoft.com/office/spreadsheetml/2022/featurepropertybag" uri="{C7286773-470A-42A8-94C5-96B5CB345126}">
          <xfpb:xfComplement i="0"/>
        </ext>
      </extLst>
    </xf>
    <xf numFmtId="0" fontId="21" fillId="37" borderId="10" xfId="51">
      <extLst>
        <ext xmlns:xfpb="http://schemas.microsoft.com/office/spreadsheetml/2022/featurepropertybag" uri="{C7286773-470A-42A8-94C5-96B5CB345126}">
          <xfpb:xfComplement i="0"/>
        </ext>
      </extLst>
    </xf>
    <xf numFmtId="0" fontId="50" fillId="51" borderId="10" xfId="99" applyNumberFormat="1" applyAlignment="1">
      <extLst>
        <ext xmlns:xfpb="http://schemas.microsoft.com/office/spreadsheetml/2022/featurepropertybag" uri="{C7286773-470A-42A8-94C5-96B5CB345126}">
          <xfpb:xfComplement i="0"/>
        </ext>
      </extLst>
    </xf>
    <xf numFmtId="0" fontId="50" fillId="51" borderId="10" xfId="99" applyAlignment="1">
      <extLst>
        <ext xmlns:xfpb="http://schemas.microsoft.com/office/spreadsheetml/2022/featurepropertybag" uri="{C7286773-470A-42A8-94C5-96B5CB345126}">
          <xfpb:xfComplement i="0"/>
        </ext>
      </extLst>
    </xf>
    <xf numFmtId="0" fontId="21" fillId="39" borderId="10" xfId="86" applyNumberFormat="1">
      <extLst>
        <ext xmlns:xfpb="http://schemas.microsoft.com/office/spreadsheetml/2022/featurepropertybag" uri="{C7286773-470A-42A8-94C5-96B5CB345126}">
          <xfpb:xfComplement i="0"/>
        </ext>
      </extLst>
    </xf>
    <xf numFmtId="0" fontId="21" fillId="39" borderId="10" xfId="86">
      <extLst>
        <ext xmlns:xfpb="http://schemas.microsoft.com/office/spreadsheetml/2022/featurepropertybag" uri="{C7286773-470A-42A8-94C5-96B5CB345126}">
          <xfpb:xfComplement i="0"/>
        </ext>
      </extLst>
    </xf>
    <xf numFmtId="0" fontId="21" fillId="39" borderId="10" xfId="86" applyNumberFormat="1" applyBorder="1"/>
    <xf numFmtId="0" fontId="21" fillId="37" borderId="0" xfId="51" applyNumberFormat="1" applyBorder="1"/>
    <xf numFmtId="0" fontId="0" fillId="0" borderId="0" xfId="0" applyNumberFormat="1" applyBorder="1"/>
    <xf numFmtId="0" fontId="21" fillId="75" borderId="0" xfId="95" applyNumberFormat="1" applyBorder="1"/>
    <xf numFmtId="0" fontId="50" fillId="51" borderId="0" xfId="99" applyNumberFormat="1" applyBorder="1" applyAlignment="1"/>
    <xf numFmtId="0" fontId="21" fillId="66" borderId="10" xfId="81" applyNumberFormat="1" applyBorder="1">
      <protection locked="0"/>
    </xf>
    <xf numFmtId="0" fontId="21" fillId="75" borderId="0" xfId="95" applyNumberFormat="1" applyBorder="1" applyAlignment="1"/>
    <xf numFmtId="0" fontId="0" fillId="0" borderId="10" xfId="0" applyNumberFormat="1" applyBorder="1" applyAlignment="1"/>
    <xf numFmtId="0" fontId="0" fillId="0" borderId="10" xfId="0" applyFill="1" applyBorder="1">
      <extLst>
        <ext xmlns:xfpb="http://schemas.microsoft.com/office/spreadsheetml/2022/featurepropertybag" uri="{C7286773-470A-42A8-94C5-96B5CB345126}">
          <xfpb:xfComplement i="0"/>
        </ext>
      </extLst>
    </xf>
    <xf numFmtId="0" fontId="21" fillId="37" borderId="0" xfId="51" applyBorder="1">
      <extLst>
        <ext xmlns:xfpb="http://schemas.microsoft.com/office/spreadsheetml/2022/featurepropertybag" uri="{C7286773-470A-42A8-94C5-96B5CB345126}">
          <xfpb:xfComplement i="0"/>
        </ext>
      </extLst>
    </xf>
    <xf numFmtId="0" fontId="21" fillId="75" borderId="0" xfId="95" applyBorder="1">
      <extLst>
        <ext xmlns:xfpb="http://schemas.microsoft.com/office/spreadsheetml/2022/featurepropertybag" uri="{C7286773-470A-42A8-94C5-96B5CB345126}">
          <xfpb:xfComplement i="0"/>
        </ext>
      </extLst>
    </xf>
    <xf numFmtId="0" fontId="50" fillId="51" borderId="0" xfId="99" applyBorder="1" applyAlignment="1">
      <extLst>
        <ext xmlns:xfpb="http://schemas.microsoft.com/office/spreadsheetml/2022/featurepropertybag" uri="{C7286773-470A-42A8-94C5-96B5CB345126}">
          <xfpb:xfComplement i="0"/>
        </ext>
      </extLst>
    </xf>
    <xf numFmtId="0" fontId="21" fillId="37" borderId="10" xfId="51" applyNumberFormat="1" applyAlignment="1"/>
    <xf numFmtId="0" fontId="21" fillId="75" borderId="10" xfId="95" applyNumberFormat="1" applyBorder="1"/>
    <xf numFmtId="0" fontId="21" fillId="37" borderId="10" xfId="51" applyNumberFormat="1" applyBorder="1"/>
    <xf numFmtId="0" fontId="0" fillId="0" borderId="0" xfId="0" applyNumberFormat="1" applyBorder="1" applyAlignment="1"/>
    <xf numFmtId="0" fontId="50" fillId="51" borderId="10" xfId="99" applyNumberFormat="1" applyBorder="1" applyAlignment="1" applyProtection="1">
      <protection locked="0"/>
    </xf>
    <xf numFmtId="0" fontId="21" fillId="37" borderId="0" xfId="51" applyNumberFormat="1" applyBorder="1" applyAlignment="1"/>
    <xf numFmtId="0" fontId="50" fillId="51" borderId="10" xfId="99" applyNumberFormat="1" applyBorder="1" applyAlignment="1"/>
    <xf numFmtId="0" fontId="21" fillId="75" borderId="10" xfId="95" applyBorder="1">
      <extLst>
        <ext xmlns:xfpb="http://schemas.microsoft.com/office/spreadsheetml/2022/featurepropertybag" uri="{C7286773-470A-42A8-94C5-96B5CB345126}">
          <xfpb:xfComplement i="0"/>
        </ext>
      </extLst>
    </xf>
    <xf numFmtId="0" fontId="21" fillId="39" borderId="0" xfId="86" applyBorder="1">
      <extLst>
        <ext xmlns:xfpb="http://schemas.microsoft.com/office/spreadsheetml/2022/featurepropertybag" uri="{C7286773-470A-42A8-94C5-96B5CB345126}">
          <xfpb:xfComplement i="0"/>
        </ext>
      </extLst>
    </xf>
    <xf numFmtId="0" fontId="0" fillId="0" borderId="0" xfId="0" applyFill="1" applyBorder="1">
      <extLst>
        <ext xmlns:xfpb="http://schemas.microsoft.com/office/spreadsheetml/2022/featurepropertybag" uri="{C7286773-470A-42A8-94C5-96B5CB345126}">
          <xfpb:xfComplement i="0"/>
        </ext>
      </extLst>
    </xf>
    <xf numFmtId="0" fontId="21" fillId="37" borderId="10" xfId="51" applyBorder="1">
      <extLst>
        <ext xmlns:xfpb="http://schemas.microsoft.com/office/spreadsheetml/2022/featurepropertybag" uri="{C7286773-470A-42A8-94C5-96B5CB345126}">
          <xfpb:xfComplement i="0"/>
        </ext>
      </extLst>
    </xf>
    <xf numFmtId="0" fontId="50" fillId="51" borderId="10" xfId="99" applyBorder="1" applyAlignment="1">
      <extLst>
        <ext xmlns:xfpb="http://schemas.microsoft.com/office/spreadsheetml/2022/featurepropertybag" uri="{C7286773-470A-42A8-94C5-96B5CB345126}">
          <xfpb:xfComplement i="0"/>
        </ext>
      </extLst>
    </xf>
    <xf numFmtId="0" fontId="21" fillId="39" borderId="10" xfId="86" applyBorder="1">
      <extLst>
        <ext xmlns:xfpb="http://schemas.microsoft.com/office/spreadsheetml/2022/featurepropertybag" uri="{C7286773-470A-42A8-94C5-96B5CB345126}">
          <xfpb:xfComplement i="0"/>
        </ext>
      </extLst>
    </xf>
    <xf numFmtId="0" fontId="21" fillId="39" borderId="10" xfId="86" applyNumberFormat="1" applyBorder="1" applyAlignment="1"/>
    <xf numFmtId="0" fontId="21" fillId="75" borderId="10" xfId="95" applyNumberFormat="1" applyBorder="1" applyAlignment="1"/>
    <xf numFmtId="0" fontId="21" fillId="37" borderId="10" xfId="51" applyNumberFormat="1" applyBorder="1" applyAlignment="1"/>
    <xf numFmtId="0" fontId="21" fillId="66" borderId="10" xfId="81" applyNumberFormat="1">
      <protection locked="0"/>
      <extLst>
        <ext xmlns:xfpb="http://schemas.microsoft.com/office/spreadsheetml/2022/featurepropertybag" uri="{C7286773-470A-42A8-94C5-96B5CB345126}">
          <xfpb:xfComplement i="0"/>
        </ext>
      </extLst>
    </xf>
    <xf numFmtId="0" fontId="21" fillId="66" borderId="10" xfId="81">
      <protection locked="0"/>
      <extLst>
        <ext xmlns:xfpb="http://schemas.microsoft.com/office/spreadsheetml/2022/featurepropertybag" uri="{C7286773-470A-42A8-94C5-96B5CB345126}">
          <xfpb:xfComplement i="0"/>
        </ext>
      </extLst>
    </xf>
    <xf numFmtId="0" fontId="50" fillId="51" borderId="10" xfId="99" applyNumberFormat="1" applyAlignment="1" applyProtection="1">
      <protection locked="0"/>
      <extLst>
        <ext xmlns:xfpb="http://schemas.microsoft.com/office/spreadsheetml/2022/featurepropertybag" uri="{C7286773-470A-42A8-94C5-96B5CB345126}">
          <xfpb:xfComplement i="0"/>
        </ext>
      </extLst>
    </xf>
    <xf numFmtId="0" fontId="50" fillId="51" borderId="10" xfId="99" applyAlignment="1" applyProtection="1">
      <protection locked="0"/>
      <extLst>
        <ext xmlns:xfpb="http://schemas.microsoft.com/office/spreadsheetml/2022/featurepropertybag" uri="{C7286773-470A-42A8-94C5-96B5CB345126}">
          <xfpb:xfComplement i="0"/>
        </ext>
      </extLst>
    </xf>
    <xf numFmtId="0" fontId="21" fillId="66" borderId="0" xfId="81" applyBorder="1">
      <protection locked="0"/>
      <extLst>
        <ext xmlns:xfpb="http://schemas.microsoft.com/office/spreadsheetml/2022/featurepropertybag" uri="{C7286773-470A-42A8-94C5-96B5CB345126}">
          <xfpb:xfComplement i="0"/>
        </ext>
      </extLst>
    </xf>
    <xf numFmtId="0" fontId="50" fillId="51" borderId="0" xfId="99" applyBorder="1" applyAlignment="1" applyProtection="1">
      <protection locked="0"/>
      <extLst>
        <ext xmlns:xfpb="http://schemas.microsoft.com/office/spreadsheetml/2022/featurepropertybag" uri="{C7286773-470A-42A8-94C5-96B5CB345126}">
          <xfpb:xfComplement i="0"/>
        </ext>
      </extLst>
    </xf>
    <xf numFmtId="0" fontId="21" fillId="75" borderId="10" xfId="95" applyNumberFormat="1" applyAlignment="1">
      <extLst>
        <ext xmlns:xfpb="http://schemas.microsoft.com/office/spreadsheetml/2022/featurepropertybag" uri="{C7286773-470A-42A8-94C5-96B5CB345126}">
          <xfpb:xfComplement i="0"/>
        </ext>
      </extLst>
    </xf>
    <xf numFmtId="0" fontId="21" fillId="66" borderId="10" xfId="81" applyBorder="1">
      <protection locked="0"/>
      <extLst>
        <ext xmlns:xfpb="http://schemas.microsoft.com/office/spreadsheetml/2022/featurepropertybag" uri="{C7286773-470A-42A8-94C5-96B5CB345126}">
          <xfpb:xfComplement i="0"/>
        </ext>
      </extLst>
    </xf>
    <xf numFmtId="0" fontId="21" fillId="75" borderId="0" xfId="95" applyBorder="1" applyAlignment="1">
      <extLst>
        <ext xmlns:xfpb="http://schemas.microsoft.com/office/spreadsheetml/2022/featurepropertybag" uri="{C7286773-470A-42A8-94C5-96B5CB345126}">
          <xfpb:xfComplement i="0"/>
        </ext>
      </extLst>
    </xf>
    <xf numFmtId="0" fontId="29" fillId="50" borderId="10" xfId="62" applyBorder="1" applyAlignment="1">
      <alignment horizontal="center"/>
    </xf>
    <xf numFmtId="166" fontId="0" fillId="0" borderId="0" xfId="0" applyNumberFormat="1" applyFill="1" applyBorder="1" applyAlignment="1">
      <alignment horizontal="center"/>
    </xf>
    <xf numFmtId="0" fontId="0" fillId="0" borderId="0" xfId="0" applyFill="1" applyBorder="1" applyAlignment="1">
      <alignment horizontal="center"/>
    </xf>
    <xf numFmtId="49" fontId="0" fillId="0" borderId="0" xfId="0" applyNumberFormat="1" applyFill="1" applyBorder="1" applyAlignment="1">
      <alignment horizontal="center"/>
    </xf>
    <xf numFmtId="0" fontId="0" fillId="0" borderId="0" xfId="0" applyFill="1" applyBorder="1" applyAlignment="1">
      <alignment horizontal="left"/>
    </xf>
    <xf numFmtId="0" fontId="0" fillId="0" borderId="17" xfId="0" applyNumberFormat="1" applyFill="1" applyBorder="1" applyAlignment="1">
      <alignment horizontal="center"/>
    </xf>
    <xf numFmtId="0" fontId="0" fillId="0" borderId="0" xfId="0" applyBorder="1" applyAlignment="1">
      <alignment horizontal="center"/>
    </xf>
  </cellXfs>
  <cellStyles count="100">
    <cellStyle name="20% - Accent1" xfId="24" builtinId="30" hidden="1" customBuiltin="1"/>
    <cellStyle name="20% - Accent2" xfId="28" builtinId="34" hidden="1" customBuiltin="1"/>
    <cellStyle name="20% - Accent3" xfId="32" builtinId="38" hidden="1" customBuiltin="1"/>
    <cellStyle name="20% - Accent4" xfId="36" builtinId="42" hidden="1" customBuiltin="1"/>
    <cellStyle name="20% - Accent5" xfId="40" builtinId="46" hidden="1" customBuiltin="1"/>
    <cellStyle name="20% - Accent6" xfId="44" builtinId="50" hidden="1" customBuiltin="1"/>
    <cellStyle name="40% - Accent1" xfId="25" builtinId="31" hidden="1" customBuiltin="1"/>
    <cellStyle name="40% - Accent2" xfId="29" builtinId="35" hidden="1" customBuiltin="1"/>
    <cellStyle name="40% - Accent3" xfId="33" builtinId="39" hidden="1" customBuiltin="1"/>
    <cellStyle name="40% - Accent4" xfId="37" builtinId="43" hidden="1" customBuiltin="1"/>
    <cellStyle name="40% - Accent5" xfId="41" builtinId="47" hidden="1" customBuiltin="1"/>
    <cellStyle name="40% - Accent6" xfId="45" builtinId="51" hidden="1" customBuiltin="1"/>
    <cellStyle name="60% - Accent1" xfId="26" builtinId="32" hidden="1" customBuiltin="1"/>
    <cellStyle name="60% - Accent2" xfId="30" builtinId="36" hidden="1" customBuiltin="1"/>
    <cellStyle name="60% - Accent3" xfId="34" builtinId="40" hidden="1" customBuiltin="1"/>
    <cellStyle name="60% - Accent4" xfId="38" builtinId="44" hidden="1" customBuiltin="1"/>
    <cellStyle name="60% - Accent5" xfId="42" builtinId="48" hidden="1" customBuiltin="1"/>
    <cellStyle name="60% - Accent6" xfId="46" builtinId="52" hidden="1" customBuiltin="1"/>
    <cellStyle name="Accent1" xfId="23" builtinId="29" hidden="1" customBuiltin="1"/>
    <cellStyle name="Accent2" xfId="27" builtinId="33" hidden="1" customBuiltin="1"/>
    <cellStyle name="Accent3" xfId="31" builtinId="37" hidden="1" customBuiltin="1"/>
    <cellStyle name="Accent4" xfId="35" builtinId="41" hidden="1" customBuiltin="1"/>
    <cellStyle name="Accent5" xfId="39" builtinId="45" hidden="1" customBuiltin="1"/>
    <cellStyle name="Accent6" xfId="43" builtinId="49" hidden="1" customBuiltin="1"/>
    <cellStyle name="ActBox" xfId="52" xr:uid="{03C6FF36-9EA7-4C1D-9B88-B1A46B95B260}"/>
    <cellStyle name="ActDeac" xfId="53" xr:uid="{14F8017C-545E-44F4-B272-C6C3B7EB99C9}"/>
    <cellStyle name="ActError" xfId="54" xr:uid="{98B369B1-A2B8-4375-814A-AFDCFE9C119A}"/>
    <cellStyle name="ActFind" xfId="55" xr:uid="{039B5973-0E70-4E4D-8C24-9917EC0FF786}"/>
    <cellStyle name="ActGood" xfId="56" xr:uid="{AAA11A8E-8026-4DC2-9FD7-B1A69E4C2BB3}"/>
    <cellStyle name="ActMiss" xfId="57" xr:uid="{0DF958F9-CDAF-4CF6-BDD2-C0390D602D2A}"/>
    <cellStyle name="ActNote" xfId="48" xr:uid="{C1DA1682-B3A4-467D-9D61-77526286FC7F}"/>
    <cellStyle name="Bad" xfId="12" builtinId="27" hidden="1" customBuiltin="1"/>
    <cellStyle name="BoxCell" xfId="58" xr:uid="{089E0B46-4D65-4428-9EEC-3847FEB95492}"/>
    <cellStyle name="BoxHdKey" xfId="59" xr:uid="{AAD0D979-AAC4-47C7-B757-8CD5E5FAE571}"/>
    <cellStyle name="BoxHead" xfId="49" xr:uid="{CEBBCF39-E2E1-4C18-85F6-44EBBA0FF54D}"/>
    <cellStyle name="BoxKey" xfId="60" xr:uid="{19DACC7A-0DD3-48CA-813B-EC164447E4A6}"/>
    <cellStyle name="BoxTitle" xfId="47" xr:uid="{74CD9648-DF36-4382-9E00-D68B2F7D3668}"/>
    <cellStyle name="BoxVal" xfId="61" xr:uid="{7EDF7AFB-D5E9-4D1B-9D56-6A9CD223D30A}"/>
    <cellStyle name="CalcCell" xfId="62" xr:uid="{A2E2F02E-E503-4434-83D7-C849FAF0E8A7}"/>
    <cellStyle name="CalcHd" xfId="63" xr:uid="{F4D48238-61BD-4A64-9540-BE9AEA7D3A8D}"/>
    <cellStyle name="CalcHdKey" xfId="64" xr:uid="{F07EB74D-19D1-4D31-93E8-4EF644360BBF}"/>
    <cellStyle name="CalcKey" xfId="65" xr:uid="{76296142-EF34-4B5F-ABC5-63416D93D513}"/>
    <cellStyle name="Calculation" xfId="16" builtinId="22" hidden="1" customBuiltin="1"/>
    <cellStyle name="CalcVal" xfId="66" xr:uid="{85019704-284F-44DD-B33D-936FBF820B0B}"/>
    <cellStyle name="Check Cell" xfId="18" builtinId="23" hidden="1" customBuiltin="1"/>
    <cellStyle name="Comma" xfId="1" builtinId="3" hidden="1" customBuiltin="1"/>
    <cellStyle name="Comma [0]" xfId="2" builtinId="6" hidden="1" customBuiltin="1"/>
    <cellStyle name="Currency" xfId="3" builtinId="4" hidden="1" customBuiltin="1"/>
    <cellStyle name="Currency [0]" xfId="4" builtinId="7" hidden="1" customBuiltin="1"/>
    <cellStyle name="DeacCell" xfId="67" xr:uid="{654F00CC-38A3-449F-9AAB-894FE52B245C}"/>
    <cellStyle name="DeacHd" xfId="68" xr:uid="{688EFD7B-B9FF-4372-A90B-69B16BB4F401}"/>
    <cellStyle name="DeacHdKey" xfId="69" xr:uid="{5D76839E-13EB-4CF0-8E21-5C194CDB5B9F}"/>
    <cellStyle name="ErrCell" xfId="70" xr:uid="{A0E2D4DA-A367-4329-9DD4-6B281083BFE8}"/>
    <cellStyle name="ErrHd" xfId="71" xr:uid="{69C139CE-EB0C-4DA5-8F0D-3691B052D504}"/>
    <cellStyle name="ErrHdKey" xfId="72" xr:uid="{D3008B87-B262-4E24-A1A7-A41D010F9CAF}"/>
    <cellStyle name="ErrKey" xfId="73" xr:uid="{EDE6B00B-41D5-47A9-A057-DBA894862E91}"/>
    <cellStyle name="ErrVal" xfId="74" xr:uid="{BCC9C959-6489-4C1C-8CCD-6F9EDB2AD406}"/>
    <cellStyle name="Explanatory Text" xfId="21" builtinId="53" hidden="1" customBuiltin="1"/>
    <cellStyle name="Followed Hyperlink" xfId="75" builtinId="9" hidden="1" customBuiltin="1"/>
    <cellStyle name="Good" xfId="11" builtinId="26" hidden="1" customBuiltin="1"/>
    <cellStyle name="Heading 1" xfId="7" builtinId="16" hidden="1" customBuiltin="1"/>
    <cellStyle name="Heading 2" xfId="8" builtinId="17" hidden="1" customBuiltin="1"/>
    <cellStyle name="Heading 3" xfId="9" builtinId="18" hidden="1" customBuiltin="1"/>
    <cellStyle name="Heading 4" xfId="10" builtinId="19" hidden="1" customBuiltin="1"/>
    <cellStyle name="Hyperlink" xfId="76" builtinId="8" hidden="1" customBuiltin="1"/>
    <cellStyle name="InpCell" xfId="77" xr:uid="{5D7A264E-F1D2-4583-8813-E198F2EAF098}"/>
    <cellStyle name="InpDate" xfId="78" xr:uid="{6AA9596E-65D8-47D1-A8D5-502CB7FE6B5F}"/>
    <cellStyle name="InpHd" xfId="79" xr:uid="{775517A3-6298-4F41-B1E1-8EEA84F975EF}"/>
    <cellStyle name="InpHdKey" xfId="80" xr:uid="{B106E17C-FFA3-4299-8264-EE35DD1F9B21}"/>
    <cellStyle name="InpKey" xfId="81" xr:uid="{8415644A-CE16-47D9-9395-F3EFC231DEDC}"/>
    <cellStyle name="Input" xfId="14" builtinId="20" hidden="1" customBuiltin="1"/>
    <cellStyle name="InpVal" xfId="82" xr:uid="{8A19B73D-C920-411F-8F68-D0A949E32ADC}"/>
    <cellStyle name="IntCell" xfId="83" xr:uid="{DD0C64CA-A796-473A-AF3C-57F749B30C6F}"/>
    <cellStyle name="IntHd" xfId="84" xr:uid="{F6770854-73BD-4578-9A8D-8FE223DF5106}"/>
    <cellStyle name="IntHdKey" xfId="85" xr:uid="{61584E12-5846-4DFD-9EA4-A718027A02D8}"/>
    <cellStyle name="IntKey" xfId="86" xr:uid="{38D6B8BF-88BB-43BF-BB07-04822DFAD2F6}"/>
    <cellStyle name="IntVal" xfId="87" xr:uid="{4CE34826-36CC-499E-BD3F-415ABDE47BF8}"/>
    <cellStyle name="Linked Cell" xfId="17" builtinId="24" hidden="1" customBuiltin="1"/>
    <cellStyle name="LkpCell" xfId="88" xr:uid="{8F7EBA74-ECC5-4F16-B2C7-0B95CB354CDB}"/>
    <cellStyle name="LkpDate" xfId="89" xr:uid="{C4E5605D-1C03-477D-9FAA-1DE1A83D17B5}"/>
    <cellStyle name="LkpHd" xfId="90" xr:uid="{5345ED21-4436-4AE3-AA7C-70352D208889}"/>
    <cellStyle name="LkpHdKey" xfId="50" xr:uid="{5998D6FF-88CD-4B95-BE89-CCF84D7A9D7E}"/>
    <cellStyle name="LkpKey" xfId="51" xr:uid="{A38EB27D-ACFA-4344-B3A3-BCF077C78080}"/>
    <cellStyle name="LkpVal" xfId="91" xr:uid="{528E5382-B341-4633-9C05-E0BF41306357}"/>
    <cellStyle name="Neutral" xfId="13" builtinId="28" hidden="1" customBuiltin="1"/>
    <cellStyle name="Normal" xfId="0" builtinId="0" customBuiltin="1"/>
    <cellStyle name="Note" xfId="20" builtinId="10" hidden="1" customBuiltin="1"/>
    <cellStyle name="Output" xfId="15" builtinId="21" hidden="1" customBuiltin="1"/>
    <cellStyle name="Percent" xfId="5" builtinId="5" customBuiltin="1"/>
    <cellStyle name="QueCell" xfId="92" xr:uid="{1B63AD15-5ECF-4A70-BA9C-AFF6349BB40D}"/>
    <cellStyle name="QueHd" xfId="93" xr:uid="{601A0A26-2E0D-4F27-8A8B-5E7E721BB5AE}"/>
    <cellStyle name="QueHdKey" xfId="94" xr:uid="{275D9CBD-4006-403F-A49C-A4077557518B}"/>
    <cellStyle name="QueKey" xfId="95" xr:uid="{7DBBC029-A986-48ED-B0DA-5A656DA03854}"/>
    <cellStyle name="QueVal" xfId="96" xr:uid="{BD354493-DC72-407D-8E0A-6CDFE31E42B6}"/>
    <cellStyle name="Title" xfId="6" builtinId="15" hidden="1" customBuiltin="1"/>
    <cellStyle name="Total" xfId="22" builtinId="25" hidden="1" customBuiltin="1"/>
    <cellStyle name="Trash" xfId="99" xr:uid="{B37A74EC-382D-46D4-8EF1-B5091151C2AE}"/>
    <cellStyle name="Warning Text" xfId="19" builtinId="11" hidden="1" customBuiltin="1"/>
    <cellStyle name="xCond" xfId="97" xr:uid="{945CC640-228C-4E21-9CCE-191C0F0431F3}"/>
    <cellStyle name="xMono" xfId="98" xr:uid="{8625505F-E274-4855-90A5-FFF71C0EFD01}"/>
  </cellStyles>
  <dxfs count="272">
    <dxf>
      <font>
        <b/>
        <i val="0"/>
        <color theme="1" tint="0.34998626667073579"/>
      </font>
      <fill>
        <patternFill patternType="darkUp">
          <fgColor theme="0"/>
          <bgColor theme="1" tint="0.499984740745262"/>
        </patternFill>
      </fill>
    </dxf>
    <dxf>
      <font>
        <b/>
        <i val="0"/>
        <strike val="0"/>
        <color theme="2"/>
      </font>
      <fill>
        <patternFill patternType="darkUp">
          <fgColor theme="5" tint="-0.499984740745262"/>
          <bgColor theme="5" tint="-0.24994659260841701"/>
        </patternFill>
      </fill>
    </dxf>
    <dxf>
      <font>
        <b/>
        <i val="0"/>
        <color theme="1" tint="0.34998626667073579"/>
      </font>
      <fill>
        <patternFill patternType="darkUp">
          <fgColor theme="0"/>
          <bgColor theme="1" tint="0.499984740745262"/>
        </patternFill>
      </fill>
    </dxf>
    <dxf>
      <font>
        <b/>
        <i val="0"/>
      </font>
      <fill>
        <patternFill patternType="darkDown">
          <fgColor theme="5" tint="0.59996337778862885"/>
          <bgColor theme="5" tint="-0.24994659260841701"/>
        </patternFill>
      </fill>
    </dxf>
    <dxf>
      <font>
        <color theme="6"/>
      </font>
      <fill>
        <patternFill patternType="darkDown">
          <fgColor theme="6" tint="0.79998168889431442"/>
          <bgColor rgb="FFFFC000"/>
        </patternFill>
      </fill>
    </dxf>
    <dxf>
      <font>
        <b/>
        <i val="0"/>
        <color theme="1" tint="0.34998626667073579"/>
      </font>
      <fill>
        <patternFill patternType="darkUp">
          <fgColor theme="0"/>
          <bgColor theme="1" tint="0.499984740745262"/>
        </patternFill>
      </fill>
    </dxf>
    <dxf>
      <font>
        <b/>
        <i val="0"/>
        <strike val="0"/>
        <color theme="2"/>
      </font>
      <fill>
        <patternFill patternType="darkUp">
          <fgColor theme="5" tint="-0.499984740745262"/>
          <bgColor theme="5" tint="-0.24994659260841701"/>
        </patternFill>
      </fill>
    </dxf>
    <dxf>
      <font>
        <b/>
        <i val="0"/>
        <color theme="1" tint="0.34998626667073579"/>
      </font>
      <fill>
        <patternFill patternType="darkUp">
          <fgColor theme="0"/>
          <bgColor theme="1" tint="0.499984740745262"/>
        </patternFill>
      </fill>
    </dxf>
    <dxf>
      <font>
        <b/>
        <i val="0"/>
      </font>
      <fill>
        <patternFill patternType="darkDown">
          <fgColor theme="5" tint="0.59996337778862885"/>
          <bgColor theme="5" tint="-0.24994659260841701"/>
        </patternFill>
      </fill>
    </dxf>
    <dxf>
      <font>
        <color theme="6"/>
      </font>
      <fill>
        <patternFill patternType="darkDown">
          <fgColor theme="6" tint="0.79998168889431442"/>
          <bgColor rgb="FFFFC000"/>
        </patternFill>
      </fill>
    </dxf>
    <dxf>
      <font>
        <b/>
        <i val="0"/>
        <strike val="0"/>
        <color theme="2"/>
      </font>
      <fill>
        <patternFill patternType="darkUp">
          <fgColor theme="5" tint="-0.499984740745262"/>
          <bgColor theme="5" tint="-0.24994659260841701"/>
        </patternFill>
      </fill>
    </dxf>
    <dxf>
      <font>
        <color theme="6"/>
      </font>
      <fill>
        <patternFill patternType="darkDown">
          <fgColor theme="6" tint="0.79998168889431442"/>
          <bgColor rgb="FFFFC000"/>
        </patternFill>
      </fill>
    </dxf>
    <dxf>
      <fill>
        <patternFill>
          <bgColor theme="8" tint="0.79998168889431442"/>
        </patternFill>
      </fill>
      <border>
        <left style="thin">
          <color auto="1"/>
        </left>
        <right style="thin">
          <color auto="1"/>
        </right>
        <top style="thin">
          <color auto="1"/>
        </top>
        <bottom style="thin">
          <color auto="1"/>
        </bottom>
        <vertical/>
        <horizontal/>
      </border>
    </dxf>
    <dxf>
      <fill>
        <patternFill patternType="solid">
          <fgColor theme="8" tint="0.59996337778862885"/>
          <bgColor theme="9" tint="0.79998168889431442"/>
        </patternFill>
      </fill>
    </dxf>
    <dxf>
      <fill>
        <patternFill patternType="darkDown">
          <fgColor theme="6" tint="0.59996337778862885"/>
        </patternFill>
      </fill>
    </dxf>
    <dxf>
      <fill>
        <patternFill patternType="darkDown">
          <fgColor rgb="FFFFC000"/>
        </patternFill>
      </fill>
    </dxf>
    <dxf>
      <fill>
        <patternFill patternType="solid">
          <fgColor theme="5" tint="0.39991454817346722"/>
          <bgColor theme="5"/>
        </patternFill>
      </fill>
    </dxf>
    <dxf>
      <fill>
        <patternFill patternType="darkUp">
          <fgColor theme="5" tint="0.39994506668294322"/>
          <bgColor theme="5" tint="-0.24994659260841701"/>
        </patternFill>
      </fill>
    </dxf>
    <dxf>
      <fill>
        <patternFill>
          <bgColor rgb="FFFF0000"/>
        </patternFill>
      </fill>
    </dxf>
    <dxf>
      <font>
        <b/>
        <i val="0"/>
      </font>
      <fill>
        <patternFill patternType="lightDown">
          <fgColor theme="5"/>
          <bgColor rgb="FFFF0000"/>
        </patternFill>
      </fill>
    </dxf>
    <dxf>
      <font>
        <color theme="6"/>
      </font>
      <fill>
        <patternFill patternType="darkDown">
          <fgColor theme="6" tint="0.59996337778862885"/>
          <bgColor theme="6" tint="0.39994506668294322"/>
        </patternFill>
      </fill>
    </dxf>
    <dxf>
      <font>
        <color theme="6" tint="0.59996337778862885"/>
      </font>
      <fill>
        <patternFill patternType="solid">
          <bgColor theme="0" tint="-0.24994659260841701"/>
        </patternFill>
      </fill>
    </dxf>
    <dxf>
      <font>
        <color theme="6" tint="0.59996337778862885"/>
      </font>
      <fill>
        <patternFill patternType="solid">
          <bgColor theme="0" tint="-0.24994659260841701"/>
        </patternFill>
      </fill>
    </dxf>
    <dxf>
      <font>
        <color theme="6" tint="0.59996337778862885"/>
      </font>
      <fill>
        <patternFill patternType="solid">
          <bgColor theme="0" tint="-0.24994659260841701"/>
        </patternFill>
      </fill>
    </dxf>
    <dxf>
      <font>
        <color theme="6" tint="0.59996337778862885"/>
      </font>
      <fill>
        <patternFill patternType="solid">
          <bgColor theme="0" tint="-0.24994659260841701"/>
        </patternFill>
      </fill>
    </dxf>
    <dxf>
      <fill>
        <patternFill>
          <bgColor theme="9" tint="0.39994506668294322"/>
        </patternFill>
      </fill>
    </dxf>
    <dxf>
      <font>
        <b val="0"/>
        <i/>
        <color theme="6" tint="-0.499984740745262"/>
      </font>
      <fill>
        <patternFill patternType="darkDown">
          <fgColor theme="6" tint="0.79998168889431442"/>
          <bgColor theme="6" tint="0.59996337778862885"/>
        </patternFill>
      </fill>
    </dxf>
    <dxf>
      <font>
        <b val="0"/>
        <i/>
      </font>
      <fill>
        <patternFill patternType="darkDown">
          <fgColor rgb="FFFF7C80"/>
          <bgColor rgb="FFFF0000"/>
        </patternFill>
      </fill>
    </dxf>
    <dxf>
      <font>
        <color theme="0" tint="-0.24994659260841701"/>
      </font>
      <fill>
        <patternFill patternType="darkDown">
          <fgColor theme="3"/>
          <bgColor theme="3" tint="-0.499984740745262"/>
        </patternFill>
      </fill>
    </dxf>
    <dxf>
      <font>
        <color rgb="FFA6A6A6"/>
      </font>
      <fill>
        <patternFill>
          <bgColor rgb="FF808080"/>
        </patternFill>
      </fill>
    </dxf>
    <dxf>
      <font>
        <b val="0"/>
        <i/>
      </font>
      <fill>
        <patternFill patternType="darkDown">
          <fgColor rgb="FFFF7C80"/>
          <bgColor rgb="FFFF0000"/>
        </patternFill>
      </fill>
    </dxf>
    <dxf>
      <alignment horizontal="general" vertical="bottom" textRotation="0" wrapText="0" indent="0" justifyLastLine="0" shrinkToFit="0" readingOrder="0"/>
      <extLst>
        <ext xmlns:xfpb="http://schemas.microsoft.com/office/spreadsheetml/2022/featurepropertybag" uri="{0417FA29-78FA-4A13-93AC-8FF0FAFDF519}">
          <xfpb:DXFComplement i="0"/>
        </ext>
      </extLst>
    </dxf>
    <dxf>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auto="1"/>
        </left>
        <right style="thin">
          <color auto="1"/>
        </right>
        <top style="thin">
          <color auto="1"/>
        </top>
        <bottom style="thin">
          <color auto="1"/>
        </bottom>
      </border>
      <extLst>
        <ext xmlns:xfpb="http://schemas.microsoft.com/office/spreadsheetml/2022/featurepropertybag" uri="{0417FA29-78FA-4A13-93AC-8FF0FAFDF519}">
          <xfpb:DXFComplement i="0"/>
        </ext>
      </extLst>
    </dxf>
    <dxf>
      <numFmt numFmtId="0" formatCode="General"/>
      <alignment horizontal="general" vertical="bottom" textRotation="0" wrapText="0" indent="0" justifyLastLine="0" shrinkToFit="0" readingOrder="0"/>
      <protection locked="1" hidden="0"/>
    </dxf>
    <dxf>
      <numFmt numFmtId="0" formatCode="General"/>
      <alignment horizontal="general"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rgb="FFCCAAE6"/>
          <bgColor rgb="FF000000"/>
        </patternFill>
      </fill>
    </dxf>
    <dxf>
      <fill>
        <patternFill patternType="solid">
          <fgColor rgb="FF595959"/>
          <bgColor rgb="FF000000"/>
        </patternFill>
      </fill>
    </dxf>
    <dxf>
      <fill>
        <patternFill patternType="solid">
          <fgColor rgb="FFFFFF66"/>
          <bgColor rgb="FF000000"/>
        </patternFill>
      </fill>
    </dxf>
    <dxf>
      <fill>
        <patternFill patternType="solid">
          <fgColor rgb="FF51FD59"/>
          <bgColor rgb="FF000000"/>
        </patternFill>
      </fill>
    </dxf>
    <dxf>
      <fill>
        <patternFill patternType="solid">
          <fgColor rgb="FF72F5F2"/>
          <bgColor rgb="FF00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yyyy/mm/dd\ hh:mm"/>
    </dxf>
    <dxf>
      <numFmt numFmtId="0" formatCode="General"/>
    </dxf>
    <dxf>
      <numFmt numFmtId="0" formatCode="General"/>
    </dxf>
    <dxf>
      <numFmt numFmtId="0" formatCode="General"/>
    </dxf>
    <dxf>
      <numFmt numFmtId="0" formatCode="General"/>
    </dxf>
    <dxf>
      <numFmt numFmtId="27" formatCode="yyyy/mm/dd\ hh:mm"/>
    </dxf>
    <dxf>
      <numFmt numFmtId="27" formatCode="yyyy/mm/dd\ hh:mm"/>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border>
        <right style="thin">
          <color auto="1"/>
        </right>
      </border>
    </dxf>
    <dxf>
      <numFmt numFmtId="0" formatCode="General"/>
      <alignment horizontal="center" vertical="bottom" textRotation="0" wrapText="0" indent="0" justifyLastLine="0" shrinkToFit="0" readingOrder="0"/>
      <border diagonalUp="0" diagonalDown="0">
        <left style="thin">
          <color auto="1"/>
        </left>
        <right style="thin">
          <color auto="1"/>
        </right>
        <top style="thin">
          <color auto="1"/>
        </top>
        <bottom/>
        <vertical/>
        <horizontal/>
      </border>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border diagonalUp="0" diagonalDown="0">
        <left style="thin">
          <color auto="1"/>
        </left>
        <right style="thin">
          <color auto="1"/>
        </right>
        <top style="thin">
          <color auto="1"/>
        </top>
        <bottom/>
        <vertical/>
        <horizontal/>
      </border>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border outline="0">
        <top style="thin">
          <color auto="1"/>
        </top>
      </border>
    </dxf>
    <dxf>
      <alignment horizontal="center" vertical="bottom" textRotation="45" wrapText="1"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border outline="0">
        <top style="thin">
          <color auto="1"/>
        </top>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numFmt numFmtId="0" formatCode="General"/>
      <border diagonalUp="0" diagonalDown="0" outline="0">
        <left style="thin">
          <color auto="1"/>
        </left>
        <right style="thin">
          <color auto="1"/>
        </right>
        <top/>
        <bottom/>
      </border>
    </dxf>
    <dxf>
      <border outline="0">
        <bottom style="thin">
          <color auto="1"/>
        </bottom>
      </border>
    </dxf>
    <dxf>
      <numFmt numFmtId="0" formatCode="General"/>
    </dxf>
    <dxf>
      <border outline="0">
        <bottom style="thin">
          <color auto="1"/>
        </bottom>
      </border>
    </dxf>
    <dxf>
      <numFmt numFmtId="0" formatCode="General"/>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numFmt numFmtId="0" formatCode="General"/>
      <border diagonalUp="0" diagonalDown="0" outline="0">
        <left style="thin">
          <color auto="1"/>
        </left>
        <right style="thin">
          <color auto="1"/>
        </right>
        <top/>
        <bottom/>
      </border>
    </dxf>
    <dxf>
      <border diagonalUp="0" diagonalDown="0">
        <left style="thin">
          <color auto="1"/>
        </left>
        <right/>
        <top style="thin">
          <color auto="1"/>
        </top>
        <bottom/>
        <vertical/>
        <horizontal/>
      </border>
    </dxf>
    <dxf>
      <border diagonalUp="0" diagonalDown="0">
        <left style="thin">
          <color auto="1"/>
        </left>
        <right style="thin">
          <color auto="1"/>
        </right>
        <top style="thin">
          <color auto="1"/>
        </top>
        <bottom/>
        <vertical/>
        <horizontal/>
      </border>
    </dxf>
    <dxf>
      <border diagonalUp="0" diagonalDown="0">
        <left style="thin">
          <color auto="1"/>
        </left>
        <right style="thin">
          <color auto="1"/>
        </right>
        <top style="thin">
          <color auto="1"/>
        </top>
        <bottom/>
        <vertical/>
        <horizontal/>
      </border>
    </dxf>
    <dxf>
      <border diagonalUp="0" diagonalDown="0">
        <left style="thin">
          <color auto="1"/>
        </left>
        <right style="thin">
          <color auto="1"/>
        </right>
        <top style="thin">
          <color auto="1"/>
        </top>
        <bottom/>
        <vertical/>
        <horizontal/>
      </border>
    </dxf>
    <dxf>
      <border diagonalUp="0" diagonalDown="0">
        <left style="thin">
          <color auto="1"/>
        </left>
        <right style="thin">
          <color auto="1"/>
        </right>
        <top style="thin">
          <color auto="1"/>
        </top>
        <bottom/>
        <vertical/>
        <horizontal/>
      </border>
    </dxf>
    <dxf>
      <border diagonalUp="0" diagonalDown="0">
        <left style="thin">
          <color auto="1"/>
        </left>
        <right style="thin">
          <color auto="1"/>
        </right>
        <top style="thin">
          <color auto="1"/>
        </top>
        <bottom/>
        <vertical/>
        <horizontal/>
      </border>
    </dxf>
    <dxf>
      <border diagonalUp="0" diagonalDown="0">
        <left style="thin">
          <color auto="1"/>
        </left>
        <right style="thin">
          <color auto="1"/>
        </right>
        <top style="thin">
          <color auto="1"/>
        </top>
        <bottom/>
        <vertical/>
        <horizontal/>
      </border>
    </dxf>
    <dxf>
      <border diagonalUp="0" diagonalDown="0">
        <left style="thin">
          <color auto="1"/>
        </left>
        <right style="thin">
          <color auto="1"/>
        </right>
        <top style="thin">
          <color auto="1"/>
        </top>
        <bottom/>
        <vertical/>
        <horizontal/>
      </border>
    </dxf>
    <dxf>
      <border diagonalUp="0" diagonalDown="0">
        <left style="thin">
          <color auto="1"/>
        </left>
        <right style="thin">
          <color auto="1"/>
        </right>
        <top style="thin">
          <color auto="1"/>
        </top>
        <bottom/>
        <vertical/>
        <horizontal/>
      </border>
    </dxf>
    <dxf>
      <border diagonalUp="0" diagonalDown="0">
        <left style="thin">
          <color auto="1"/>
        </left>
        <right style="thin">
          <color auto="1"/>
        </right>
        <top style="thin">
          <color auto="1"/>
        </top>
        <bottom/>
        <vertical/>
        <horizontal/>
      </border>
    </dxf>
    <dxf>
      <border diagonalUp="0" diagonalDown="0">
        <left/>
        <right style="thin">
          <color auto="1"/>
        </right>
        <top style="thin">
          <color auto="1"/>
        </top>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numFmt numFmtId="0" formatCode="General"/>
      <border diagonalUp="0" diagonalDown="0" outline="0">
        <left style="thin">
          <color auto="1"/>
        </left>
        <right style="thin">
          <color auto="1"/>
        </right>
        <top/>
        <bottom/>
      </border>
    </dxf>
    <dxf>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auto="1"/>
        </top>
      </border>
    </dxf>
    <dxf>
      <border outline="0">
        <top style="thin">
          <color auto="1"/>
        </top>
      </border>
    </dxf>
    <dxf>
      <border outline="0">
        <top style="thin">
          <color auto="1"/>
        </top>
      </border>
    </dxf>
    <dxf>
      <font>
        <b val="0"/>
        <i val="0"/>
        <strike val="0"/>
        <condense val="0"/>
        <extend val="0"/>
        <outline val="0"/>
        <shadow val="0"/>
        <u val="none"/>
        <vertAlign val="baseline"/>
        <sz val="11"/>
        <color theme="1"/>
        <name val="Bahnschrift"/>
        <family val="2"/>
        <scheme val="major"/>
      </font>
      <fill>
        <patternFill patternType="solid">
          <fgColor indexed="64"/>
          <bgColor theme="5" tint="0.79998168889431442"/>
        </patternFill>
      </fill>
      <border diagonalUp="0" diagonalDown="0" outline="0">
        <left style="thin">
          <color auto="1"/>
        </left>
        <right/>
        <top/>
        <bottom/>
      </border>
    </dxf>
    <dxf>
      <font>
        <b val="0"/>
        <i val="0"/>
        <strike val="0"/>
        <condense val="0"/>
        <extend val="0"/>
        <outline val="0"/>
        <shadow val="0"/>
        <u val="none"/>
        <vertAlign val="baseline"/>
        <sz val="11"/>
        <color theme="1"/>
        <name val="Bahnschrift"/>
        <family val="2"/>
        <scheme val="major"/>
      </font>
      <fill>
        <patternFill patternType="solid">
          <fgColor indexed="64"/>
          <bgColor theme="5" tint="0.39997558519241921"/>
        </patternFill>
      </fill>
      <border diagonalUp="0" diagonalDown="0" outline="0">
        <left style="thin">
          <color auto="1"/>
        </left>
        <right style="thin">
          <color auto="1"/>
        </right>
        <top style="thin">
          <color auto="1"/>
        </top>
        <bottom style="thin">
          <color auto="1"/>
        </bottom>
      </border>
      <protection locked="0" hidden="0"/>
    </dxf>
    <dxf>
      <numFmt numFmtId="0" formatCode="General"/>
    </dxf>
    <dxf>
      <alignment horizontal="lef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left" vertical="bottom" textRotation="0" wrapText="0" indent="0" justifyLastLine="0" shrinkToFit="0" readingOrder="0"/>
    </dxf>
    <dxf>
      <alignment horizontal="center"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left" textRotation="0" indent="0" justifyLastLine="0" shrinkToFit="0" readingOrder="0"/>
    </dxf>
    <dxf>
      <alignment horizontal="left" vertical="bottom" textRotation="0" wrapText="0" indent="0" justifyLastLine="0" shrinkToFit="0" readingOrder="0"/>
    </dxf>
    <dxf>
      <alignment horizontal="center" textRotation="0" wrapText="0" indent="0" justifyLastLine="0" shrinkToFit="0" readingOrder="0"/>
    </dxf>
    <dxf>
      <numFmt numFmtId="30" formatCode="@"/>
      <fill>
        <patternFill patternType="none">
          <fgColor indexed="64"/>
          <bgColor indexed="65"/>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30" formatCode="@"/>
      <alignment horizontal="center" textRotation="0" wrapText="0" indent="0" justifyLastLine="0" shrinkToFit="0" readingOrder="0"/>
    </dxf>
    <dxf>
      <alignment horizontal="center" vertical="bottom" textRotation="0" wrapText="0" indent="0" justifyLastLine="0" shrinkToFit="0" readingOrder="0"/>
    </dxf>
    <dxf>
      <numFmt numFmtId="166" formatCode="0000"/>
      <alignment horizontal="center" vertical="bottom" textRotation="0" wrapText="0" indent="0" justifyLastLine="0" shrinkToFit="0" readingOrder="0"/>
    </dxf>
    <dxf>
      <border outline="0">
        <top style="thin">
          <color auto="1"/>
        </top>
      </border>
    </dxf>
    <dxf>
      <border outline="0">
        <top style="thin">
          <color auto="1"/>
        </top>
      </border>
    </dxf>
    <dxf>
      <font>
        <strike val="0"/>
        <outline val="0"/>
        <shadow val="0"/>
        <u val="none"/>
        <vertAlign val="baseline"/>
        <sz val="11"/>
        <color auto="1"/>
        <name val="Bahnschrift"/>
        <family val="2"/>
        <scheme val="minor"/>
      </font>
    </dxf>
    <dxf>
      <border outline="0">
        <left style="thin">
          <color auto="1"/>
        </left>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auto="1"/>
        </top>
      </border>
    </dxf>
    <dxf>
      <alignment horizontal="center" vertical="bottom" textRotation="0" wrapText="0" indent="0" justifyLastLine="0" shrinkToFit="0" readingOrder="0"/>
    </dxf>
    <dxf>
      <font>
        <strike val="0"/>
        <outline val="0"/>
        <shadow val="0"/>
        <u val="none"/>
        <vertAlign val="baseline"/>
        <sz val="11"/>
        <name val="Bahnschrift"/>
        <family val="2"/>
        <scheme val="major"/>
      </font>
      <alignment horizontal="center" vertical="bottom" textRotation="0" wrapText="0" indent="0" justifyLastLine="0" shrinkToFit="0" readingOrder="0"/>
    </dxf>
    <dxf>
      <font>
        <strike val="0"/>
        <outline val="0"/>
        <shadow val="0"/>
        <u val="none"/>
        <vertAlign val="baseline"/>
        <sz val="11"/>
        <name val="Bahnschrift"/>
        <family val="2"/>
        <scheme val="major"/>
      </font>
      <alignment horizontal="center" vertical="bottom" textRotation="0" wrapText="0" indent="0" justifyLastLine="0" shrinkToFit="0" readingOrder="0"/>
    </dxf>
    <dxf>
      <border outline="0">
        <top style="thin">
          <color auto="1"/>
        </top>
      </border>
    </dxf>
    <dxf>
      <font>
        <strike val="0"/>
        <outline val="0"/>
        <shadow val="0"/>
        <u val="none"/>
        <vertAlign val="baseline"/>
        <sz val="11"/>
        <name val="Bahnschrift"/>
        <family val="2"/>
        <scheme val="maj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name val="Bahnschrift"/>
        <family val="2"/>
        <scheme val="major"/>
      </font>
      <alignment horizontal="center" vertical="bottom" textRotation="0" wrapText="0" indent="0" justifyLastLine="0" shrinkToFit="0" readingOrder="0"/>
    </dxf>
    <dxf>
      <font>
        <strike val="0"/>
        <outline val="0"/>
        <shadow val="0"/>
        <u val="none"/>
        <vertAlign val="baseline"/>
        <sz val="11"/>
        <name val="Bahnschrift"/>
        <family val="2"/>
        <scheme val="major"/>
      </font>
      <alignment horizontal="center" vertical="bottom" textRotation="0" wrapText="0" indent="0" justifyLastLine="0" shrinkToFit="0" readingOrder="0"/>
    </dxf>
    <dxf>
      <border outline="0">
        <top style="thin">
          <color auto="1"/>
        </top>
      </border>
    </dxf>
    <dxf>
      <font>
        <strike val="0"/>
        <outline val="0"/>
        <shadow val="0"/>
        <u val="none"/>
        <vertAlign val="baseline"/>
        <sz val="11"/>
        <name val="Bahnschrift"/>
        <family val="2"/>
        <scheme val="maj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auto="1"/>
        </top>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13" formatCode="0%"/>
      <alignment horizontal="center" vertical="bottom" textRotation="0" wrapText="0" indent="0" justifyLastLine="0" shrinkToFit="0" readingOrder="0"/>
    </dxf>
    <dxf>
      <border outline="0">
        <right style="thin">
          <color auto="1"/>
        </right>
      </border>
    </dxf>
    <dxf>
      <alignment horizontal="center" vertical="bottom" textRotation="0" wrapText="0" indent="0" justifyLastLine="0" shrinkToFit="0" readingOrder="0"/>
    </dxf>
    <dxf>
      <border outline="0">
        <top style="thin">
          <color auto="1"/>
        </top>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1"/>
        <color theme="0" tint="0.79998168889431442"/>
        <name val="Bahnschrift"/>
        <family val="2"/>
        <scheme val="major"/>
      </font>
      <numFmt numFmtId="0" formatCode="General"/>
      <fill>
        <patternFill patternType="solid">
          <fgColor indexed="64"/>
          <bgColor theme="1" tint="0.34998626667073579"/>
        </patternFill>
      </fill>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name val="OCR A Extended"/>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name val="OCR A Extended"/>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name val="OCR A Extended"/>
        <family val="3"/>
        <scheme val="none"/>
      </font>
      <alignment horizontal="center" vertical="bottom" textRotation="0" wrapText="0" indent="0" justifyLastLine="0" shrinkToFit="0" readingOrder="0"/>
      <border diagonalUp="0" diagonalDown="0" outline="0">
        <left style="medium">
          <color auto="1"/>
        </left>
        <right/>
      </border>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name val="OCR A Extended"/>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name val="OCR A Extended"/>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name val="OCR A Extended"/>
        <family val="3"/>
        <scheme val="none"/>
      </font>
      <alignment horizontal="center" vertical="bottom" textRotation="0" wrapText="0" indent="0" justifyLastLine="0" shrinkToFit="0" readingOrder="0"/>
      <border diagonalUp="0" diagonalDown="0" outline="0">
        <left style="medium">
          <color auto="1"/>
        </left>
        <right/>
      </border>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border outline="0">
        <left style="thin">
          <color auto="1"/>
        </left>
      </border>
    </dxf>
    <dxf>
      <numFmt numFmtId="0" formatCode="General"/>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name val="Bahnschrift"/>
        <family val="2"/>
        <scheme val="major"/>
      </font>
      <border diagonalUp="0" diagonalDown="0" outline="0">
        <left style="thin">
          <color indexed="64"/>
        </left>
        <right style="thin">
          <color auto="1"/>
        </right>
        <top style="thin">
          <color indexed="64"/>
        </top>
        <bottom style="thin">
          <color indexed="64"/>
        </bottom>
      </border>
    </dxf>
    <dxf>
      <border outline="0">
        <top style="thin">
          <color indexed="64"/>
        </top>
      </border>
    </dxf>
    <dxf>
      <font>
        <color theme="8" tint="0.79998168889431442"/>
      </font>
      <fill>
        <patternFill>
          <bgColor theme="8" tint="-0.24994659260841701"/>
        </patternFill>
      </fill>
    </dxf>
    <dxf>
      <font>
        <color theme="8" tint="0.79998168889431442"/>
      </font>
      <fill>
        <patternFill>
          <bgColor theme="8" tint="-0.499984740745262"/>
        </patternFill>
      </fill>
    </dxf>
    <dxf>
      <font>
        <color theme="8" tint="0.79998168889431442"/>
      </font>
      <fill>
        <patternFill>
          <bgColor theme="8" tint="-0.24994659260841701"/>
        </patternFill>
      </fill>
    </dxf>
    <dxf>
      <font>
        <color theme="8" tint="0.79998168889431442"/>
      </font>
      <fill>
        <patternFill>
          <bgColor theme="8" tint="-0.499984740745262"/>
        </patternFill>
      </fill>
    </dxf>
    <dxf>
      <fill>
        <patternFill>
          <bgColor theme="8" tint="0.59996337778862885"/>
        </patternFill>
      </fill>
    </dxf>
    <dxf>
      <fill>
        <patternFill>
          <bgColor theme="8" tint="0.39994506668294322"/>
        </patternFill>
      </fill>
    </dxf>
    <dxf>
      <font>
        <color theme="8" tint="0.79998168889431442"/>
      </font>
      <fill>
        <patternFill>
          <bgColor theme="8" tint="-0.24994659260841701"/>
        </patternFill>
      </fill>
    </dxf>
    <dxf>
      <font>
        <color theme="8" tint="0.79998168889431442"/>
      </font>
      <fill>
        <patternFill>
          <bgColor theme="8" tint="-0.24994659260841701"/>
        </patternFill>
      </fill>
    </dxf>
    <dxf>
      <font>
        <color theme="3"/>
      </font>
      <fill>
        <patternFill>
          <bgColor theme="8" tint="0.79998168889431442"/>
        </patternFill>
      </fill>
      <border>
        <left style="thin">
          <color auto="1"/>
        </left>
        <right style="thin">
          <color auto="1"/>
        </right>
        <top style="thin">
          <color auto="1"/>
        </top>
        <bottom style="thin">
          <color auto="1"/>
        </bottom>
        <vertical style="thin">
          <color auto="1"/>
        </vertical>
        <horizontal style="thin">
          <color auto="1"/>
        </horizontal>
      </border>
    </dxf>
    <dxf>
      <font>
        <color theme="7" tint="0.79998168889431442"/>
      </font>
      <fill>
        <patternFill>
          <bgColor theme="7" tint="-0.499984740745262"/>
        </patternFill>
      </fill>
    </dxf>
    <dxf>
      <font>
        <color theme="7" tint="0.79998168889431442"/>
      </font>
      <fill>
        <patternFill>
          <bgColor theme="7" tint="-0.499984740745262"/>
        </patternFill>
      </fill>
    </dxf>
    <dxf>
      <fill>
        <patternFill>
          <bgColor theme="7" tint="0.59996337778862885"/>
        </patternFill>
      </fill>
    </dxf>
    <dxf>
      <fill>
        <patternFill>
          <bgColor theme="7" tint="0.39994506668294322"/>
        </patternFill>
      </fill>
    </dxf>
    <dxf>
      <font>
        <color theme="7" tint="0.79998168889431442"/>
      </font>
      <fill>
        <patternFill>
          <bgColor theme="7" tint="-0.24994659260841701"/>
        </patternFill>
      </fill>
    </dxf>
    <dxf>
      <font>
        <color theme="7" tint="0.79998168889431442"/>
      </font>
      <fill>
        <patternFill>
          <bgColor theme="7" tint="-0.24994659260841701"/>
        </patternFill>
      </fill>
    </dxf>
    <dxf>
      <fill>
        <patternFill>
          <bgColor rgb="FFCFFCFB"/>
        </patternFill>
      </fill>
      <border diagonalUp="1">
        <left style="thin">
          <color auto="1"/>
        </left>
        <right style="thin">
          <color auto="1"/>
        </right>
        <top style="thin">
          <color auto="1"/>
        </top>
        <bottom style="thin">
          <color auto="1"/>
        </bottom>
        <diagonal style="thin">
          <color auto="1"/>
        </diagonal>
        <vertical style="thin">
          <color auto="1"/>
        </vertical>
        <horizontal style="thin">
          <color auto="1"/>
        </horizontal>
      </border>
    </dxf>
    <dxf>
      <font>
        <color theme="9" tint="0.79998168889431442"/>
      </font>
      <fill>
        <patternFill>
          <bgColor theme="9" tint="-0.499984740745262"/>
        </patternFill>
      </fill>
    </dxf>
    <dxf>
      <font>
        <color theme="9" tint="0.79998168889431442"/>
      </font>
      <fill>
        <patternFill>
          <bgColor theme="9" tint="-0.499984740745262"/>
        </patternFill>
      </fill>
    </dxf>
    <dxf>
      <fill>
        <patternFill>
          <bgColor theme="9" tint="0.59996337778862885"/>
        </patternFill>
      </fill>
    </dxf>
    <dxf>
      <fill>
        <patternFill>
          <bgColor theme="9" tint="0.39994506668294322"/>
        </patternFill>
      </fill>
    </dxf>
    <dxf>
      <font>
        <color theme="9" tint="0.79998168889431442"/>
      </font>
      <fill>
        <patternFill>
          <bgColor theme="9" tint="-0.24994659260841701"/>
        </patternFill>
      </fill>
    </dxf>
    <dxf>
      <font>
        <color theme="9" tint="0.79998168889431442"/>
      </font>
      <fill>
        <patternFill>
          <bgColor theme="9" tint="-0.24994659260841701"/>
        </patternFill>
      </fill>
    </dxf>
    <dxf>
      <font>
        <strike val="0"/>
      </font>
      <fill>
        <patternFill>
          <bgColor theme="9" tint="0.79998168889431442"/>
        </patternFill>
      </fill>
      <border>
        <left style="thin">
          <color auto="1"/>
        </left>
        <right style="thin">
          <color auto="1"/>
        </right>
        <top style="thin">
          <color auto="1"/>
        </top>
        <bottom style="thin">
          <color auto="1"/>
        </bottom>
        <vertical style="thin">
          <color auto="1"/>
        </vertical>
        <horizontal style="thin">
          <color auto="1"/>
        </horizontal>
      </border>
    </dxf>
    <dxf>
      <font>
        <color theme="5" tint="0.79998168889431442"/>
      </font>
      <fill>
        <patternFill>
          <bgColor theme="5" tint="-0.499984740745262"/>
        </patternFill>
      </fill>
    </dxf>
    <dxf>
      <font>
        <color theme="5" tint="0.79998168889431442"/>
      </font>
      <fill>
        <patternFill>
          <bgColor theme="5" tint="-0.499984740745262"/>
        </patternFill>
      </fill>
    </dxf>
    <dxf>
      <fill>
        <patternFill>
          <bgColor theme="5" tint="0.59996337778862885"/>
        </patternFill>
      </fill>
    </dxf>
    <dxf>
      <fill>
        <patternFill>
          <bgColor theme="5" tint="0.39994506668294322"/>
        </patternFill>
      </fill>
    </dxf>
    <dxf>
      <font>
        <color theme="5" tint="0.79998168889431442"/>
      </font>
      <fill>
        <patternFill>
          <bgColor theme="5" tint="-0.24994659260841701"/>
        </patternFill>
      </fill>
    </dxf>
    <dxf>
      <font>
        <color theme="5" tint="0.79998168889431442"/>
      </font>
      <fill>
        <patternFill>
          <bgColor theme="5" tint="-0.24994659260841701"/>
        </patternFill>
      </fill>
    </dxf>
    <dxf>
      <font>
        <strike val="0"/>
        <color theme="1"/>
      </font>
      <fill>
        <patternFill>
          <bgColor theme="5" tint="0.79998168889431442"/>
        </patternFill>
      </fill>
      <border>
        <left style="thin">
          <color auto="1"/>
        </left>
        <right style="thin">
          <color auto="1"/>
        </right>
        <top style="thin">
          <color auto="1"/>
        </top>
        <bottom style="thin">
          <color auto="1"/>
        </bottom>
        <vertical style="thin">
          <color auto="1"/>
        </vertical>
        <horizontal style="thin">
          <color auto="1"/>
        </horizontal>
      </border>
    </dxf>
    <dxf>
      <font>
        <color theme="6" tint="0.79998168889431442"/>
      </font>
      <fill>
        <patternFill>
          <bgColor theme="6" tint="-0.499984740745262"/>
        </patternFill>
      </fill>
    </dxf>
    <dxf>
      <font>
        <color theme="6" tint="0.79998168889431442"/>
      </font>
      <fill>
        <patternFill>
          <bgColor theme="6" tint="-0.499984740745262"/>
        </patternFill>
      </fill>
    </dxf>
    <dxf>
      <fill>
        <patternFill>
          <bgColor theme="6" tint="0.59996337778862885"/>
        </patternFill>
      </fill>
    </dxf>
    <dxf>
      <fill>
        <patternFill>
          <bgColor theme="6" tint="0.39994506668294322"/>
        </patternFill>
      </fill>
    </dxf>
    <dxf>
      <font>
        <color theme="6" tint="0.79998168889431442"/>
      </font>
      <fill>
        <patternFill>
          <bgColor theme="6" tint="-0.24994659260841701"/>
        </patternFill>
      </fill>
    </dxf>
    <dxf>
      <font>
        <color theme="6" tint="0.79998168889431442"/>
      </font>
      <fill>
        <patternFill>
          <bgColor theme="6" tint="-0.24994659260841701"/>
        </patternFill>
      </fill>
    </dxf>
    <dxf>
      <font>
        <color theme="1"/>
      </font>
      <fill>
        <patternFill>
          <bgColor theme="6" tint="0.79998168889431442"/>
        </patternFill>
      </fill>
      <border>
        <left style="thin">
          <color auto="1"/>
        </left>
        <right style="thin">
          <color auto="1"/>
        </right>
        <top style="thin">
          <color auto="1"/>
        </top>
        <bottom style="thin">
          <color auto="1"/>
        </bottom>
        <vertical style="thin">
          <color auto="1"/>
        </vertical>
        <horizontal style="thin">
          <color auto="1"/>
        </horizontal>
      </border>
    </dxf>
    <dxf>
      <font>
        <color theme="9" tint="0.79998168889431442"/>
      </font>
      <fill>
        <patternFill>
          <bgColor theme="9" tint="-0.499984740745262"/>
        </patternFill>
      </fill>
    </dxf>
    <dxf>
      <font>
        <color theme="0" tint="0.79998168889431442"/>
      </font>
      <fill>
        <patternFill>
          <bgColor theme="1" tint="0.34998626667073579"/>
        </patternFill>
      </fill>
    </dxf>
    <dxf>
      <fill>
        <patternFill>
          <bgColor theme="2" tint="-0.14996795556505021"/>
        </patternFill>
      </fill>
    </dxf>
    <dxf>
      <fill>
        <patternFill>
          <bgColor theme="2" tint="-0.24994659260841701"/>
        </patternFill>
      </fill>
    </dxf>
    <dxf>
      <font>
        <color theme="0" tint="0.79998168889431442"/>
      </font>
      <fill>
        <patternFill>
          <bgColor theme="1" tint="0.499984740745262"/>
        </patternFill>
      </fill>
    </dxf>
    <dxf>
      <font>
        <color theme="0" tint="0.79998168889431442"/>
      </font>
      <fill>
        <patternFill>
          <bgColor theme="1" tint="0.499984740745262"/>
        </patternFill>
      </fill>
    </dxf>
    <dxf>
      <font>
        <strike val="0"/>
        <color theme="3"/>
      </font>
      <fill>
        <patternFill>
          <bgColor theme="2" tint="-4.9989318521683403E-2"/>
        </patternFill>
      </fill>
      <border>
        <left style="thin">
          <color auto="1"/>
        </left>
        <right style="thin">
          <color auto="1"/>
        </right>
        <top style="thin">
          <color auto="1"/>
        </top>
        <bottom style="thin">
          <color auto="1"/>
        </bottom>
        <vertical style="thin">
          <color auto="1"/>
        </vertical>
        <horizontal style="thin">
          <color auto="1"/>
        </horizontal>
      </border>
    </dxf>
    <dxf>
      <font>
        <color theme="4" tint="0.79998168889431442"/>
      </font>
      <fill>
        <patternFill>
          <bgColor theme="4" tint="-0.499984740745262"/>
        </patternFill>
      </fill>
    </dxf>
    <dxf>
      <font>
        <color theme="4" tint="0.79998168889431442"/>
      </font>
      <fill>
        <patternFill>
          <bgColor theme="4" tint="-0.499984740745262"/>
        </patternFill>
      </fill>
    </dxf>
    <dxf>
      <fill>
        <patternFill>
          <bgColor theme="4" tint="0.59996337778862885"/>
        </patternFill>
      </fill>
    </dxf>
    <dxf>
      <fill>
        <patternFill>
          <bgColor theme="4" tint="0.39994506668294322"/>
        </patternFill>
      </fill>
    </dxf>
    <dxf>
      <font>
        <color theme="4" tint="0.79998168889431442"/>
      </font>
      <fill>
        <patternFill>
          <bgColor theme="4" tint="-0.24994659260841701"/>
        </patternFill>
      </fill>
    </dxf>
    <dxf>
      <font>
        <color theme="4" tint="0.79998168889431442"/>
      </font>
      <fill>
        <patternFill>
          <bgColor theme="4" tint="-0.24994659260841701"/>
        </patternFill>
      </fill>
    </dxf>
    <dxf>
      <font>
        <color theme="4" tint="-0.499984740745262"/>
      </font>
      <fill>
        <patternFill>
          <bgColor theme="4" tint="0.79998168889431442"/>
        </patternFill>
      </fill>
      <border>
        <left style="thin">
          <color auto="1"/>
        </left>
        <right style="thin">
          <color auto="1"/>
        </right>
        <top style="thin">
          <color auto="1"/>
        </top>
        <bottom style="thin">
          <color auto="1"/>
        </bottom>
        <vertical style="thin">
          <color auto="1"/>
        </vertical>
        <horizontal style="thin">
          <color auto="1"/>
        </horizontal>
      </border>
    </dxf>
  </dxfs>
  <tableStyles count="8" defaultTableStyle="TableStyleMedium2" defaultPivotStyle="PivotStyleLight16">
    <tableStyle name="BoxTable" pivot="0" count="7" xr9:uid="{A825FDD6-0344-402A-BB72-733CECCCCC45}">
      <tableStyleElement type="wholeTable" dxfId="271"/>
      <tableStyleElement type="headerRow" dxfId="270"/>
      <tableStyleElement type="totalRow" dxfId="269"/>
      <tableStyleElement type="firstColumn" dxfId="268"/>
      <tableStyleElement type="lastColumn" dxfId="267"/>
      <tableStyleElement type="firstHeaderCell" dxfId="266"/>
      <tableStyleElement type="firstTotalCell" dxfId="265"/>
    </tableStyle>
    <tableStyle name="CalculatedTable" pivot="0" count="7" xr9:uid="{2B9716CA-B174-45F3-AE10-F3E50D0CDD94}">
      <tableStyleElement type="wholeTable" dxfId="264"/>
      <tableStyleElement type="headerRow" dxfId="263"/>
      <tableStyleElement type="totalRow" dxfId="262"/>
      <tableStyleElement type="firstColumn" dxfId="261"/>
      <tableStyleElement type="lastColumn" dxfId="260"/>
      <tableStyleElement type="firstHeaderCell" dxfId="259"/>
      <tableStyleElement type="firstTotalCell" dxfId="258"/>
    </tableStyle>
    <tableStyle name="ErrorTable" pivot="0" count="7" xr9:uid="{50241DDC-9BFD-4907-A3C5-ABBF88ABD84E}">
      <tableStyleElement type="wholeTable" dxfId="257"/>
      <tableStyleElement type="headerRow" dxfId="256"/>
      <tableStyleElement type="totalRow" dxfId="255"/>
      <tableStyleElement type="firstColumn" dxfId="254"/>
      <tableStyleElement type="lastColumn" dxfId="253"/>
      <tableStyleElement type="firstHeaderCell" dxfId="252"/>
      <tableStyleElement type="firstTotalCell" dxfId="251"/>
    </tableStyle>
    <tableStyle name="InputTable" pivot="0" count="7" xr9:uid="{9617E59F-5DF0-47AF-83C4-A84A98084870}">
      <tableStyleElement type="wholeTable" dxfId="250"/>
      <tableStyleElement type="headerRow" dxfId="249"/>
      <tableStyleElement type="totalRow" dxfId="248"/>
      <tableStyleElement type="firstColumn" dxfId="247"/>
      <tableStyleElement type="lastColumn" dxfId="246"/>
      <tableStyleElement type="firstHeaderCell" dxfId="245"/>
      <tableStyleElement type="firstTotalCell" dxfId="244"/>
    </tableStyle>
    <tableStyle name="InternalTable" pivot="0" count="7" xr9:uid="{9A63A350-72BA-49B9-801B-3C3B44C3E076}">
      <tableStyleElement type="wholeTable" dxfId="243"/>
      <tableStyleElement type="headerRow" dxfId="242"/>
      <tableStyleElement type="totalRow" dxfId="241"/>
      <tableStyleElement type="firstColumn" dxfId="240"/>
      <tableStyleElement type="lastColumn" dxfId="239"/>
      <tableStyleElement type="firstHeaderCell" dxfId="238"/>
      <tableStyleElement type="firstTotalCell" dxfId="237"/>
    </tableStyle>
    <tableStyle name="Invisible" pivot="0" table="0" count="0" xr9:uid="{56B68F70-2A92-4921-B0B9-B37E76D74309}"/>
    <tableStyle name="LookupTable" pivot="0" count="7" xr9:uid="{D3586F5E-ABCB-4F16-BB44-E3580B59E066}">
      <tableStyleElement type="wholeTable" dxfId="236"/>
      <tableStyleElement type="headerRow" dxfId="235"/>
      <tableStyleElement type="totalRow" dxfId="234"/>
      <tableStyleElement type="firstColumn" dxfId="233"/>
      <tableStyleElement type="lastColumn" dxfId="232"/>
      <tableStyleElement type="firstHeaderCell" dxfId="231"/>
      <tableStyleElement type="firstTotalCell" dxfId="230"/>
    </tableStyle>
    <tableStyle name="QueryTable" pivot="0" count="9" xr9:uid="{7DC53262-A055-4B56-B573-515E8A82B02E}">
      <tableStyleElement type="wholeTable" dxfId="229"/>
      <tableStyleElement type="headerRow" dxfId="228"/>
      <tableStyleElement type="totalRow" dxfId="227"/>
      <tableStyleElement type="firstColumn" dxfId="226"/>
      <tableStyleElement type="lastColumn" dxfId="225"/>
      <tableStyleElement type="firstHeaderCell" dxfId="224"/>
      <tableStyleElement type="lastHeaderCell" dxfId="223"/>
      <tableStyleElement type="firstTotalCell" dxfId="222"/>
      <tableStyleElement type="lastTotalCell" dxfId="221"/>
    </tableStyle>
  </tableStyles>
  <colors>
    <mruColors>
      <color rgb="FFFF9900"/>
      <color rgb="FF81C6FF"/>
      <color rgb="FF33CAFF"/>
      <color rgb="FFCFFC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microsoft.com/office/2007/relationships/slicerCache" Target="slicerCaches/slicerCache7.xml"/><Relationship Id="rId26" Type="http://schemas.microsoft.com/office/2017/06/relationships/rdRichValue" Target="richData/rdrichvalue.xml"/><Relationship Id="rId39" Type="http://schemas.openxmlformats.org/officeDocument/2006/relationships/customXml" Target="../customXml/item7.xml"/><Relationship Id="rId21" Type="http://schemas.openxmlformats.org/officeDocument/2006/relationships/theme" Target="theme/theme1.xml"/><Relationship Id="rId34" Type="http://schemas.openxmlformats.org/officeDocument/2006/relationships/customXml" Target="../customXml/item2.xml"/><Relationship Id="rId42" Type="http://schemas.openxmlformats.org/officeDocument/2006/relationships/customXml" Target="../customXml/item10.xml"/><Relationship Id="rId47" Type="http://schemas.openxmlformats.org/officeDocument/2006/relationships/customXml" Target="../customXml/item15.xml"/><Relationship Id="rId50" Type="http://schemas.openxmlformats.org/officeDocument/2006/relationships/customXml" Target="../customXml/item18.xml"/><Relationship Id="rId55" Type="http://schemas.openxmlformats.org/officeDocument/2006/relationships/customXml" Target="../customXml/item23.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5.xml"/><Relationship Id="rId29" Type="http://schemas.openxmlformats.org/officeDocument/2006/relationships/powerPivotData" Target="model/item.data"/><Relationship Id="rId11" Type="http://schemas.openxmlformats.org/officeDocument/2006/relationships/pivotCacheDefinition" Target="pivotCache/pivotCacheDefinition1.xml"/><Relationship Id="rId24" Type="http://schemas.openxmlformats.org/officeDocument/2006/relationships/sharedStrings" Target="sharedStrings.xml"/><Relationship Id="rId32" Type="http://schemas.openxmlformats.org/officeDocument/2006/relationships/calcChain" Target="calcChain.xml"/><Relationship Id="rId37" Type="http://schemas.openxmlformats.org/officeDocument/2006/relationships/customXml" Target="../customXml/item5.xml"/><Relationship Id="rId40" Type="http://schemas.openxmlformats.org/officeDocument/2006/relationships/customXml" Target="../customXml/item8.xml"/><Relationship Id="rId45" Type="http://schemas.openxmlformats.org/officeDocument/2006/relationships/customXml" Target="../customXml/item13.xml"/><Relationship Id="rId53" Type="http://schemas.openxmlformats.org/officeDocument/2006/relationships/customXml" Target="../customXml/item21.xml"/><Relationship Id="rId5" Type="http://schemas.openxmlformats.org/officeDocument/2006/relationships/worksheet" Target="worksheets/sheet5.xml"/><Relationship Id="rId10" Type="http://schemas.openxmlformats.org/officeDocument/2006/relationships/worksheet" Target="worksheets/sheet10.xml"/><Relationship Id="rId19" Type="http://schemas.microsoft.com/office/2007/relationships/slicerCache" Target="slicerCaches/slicerCache8.xml"/><Relationship Id="rId31" Type="http://schemas.microsoft.com/office/2022/11/relationships/FeaturePropertyBag" Target="featurePropertyBag/featurePropertyBag.xml"/><Relationship Id="rId44" Type="http://schemas.openxmlformats.org/officeDocument/2006/relationships/customXml" Target="../customXml/item12.xml"/><Relationship Id="rId52"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onnections" Target="connections.xml"/><Relationship Id="rId27" Type="http://schemas.microsoft.com/office/2017/06/relationships/rdRichValueStructure" Target="richData/rdrichvaluestructure.xml"/><Relationship Id="rId30" Type="http://schemas.microsoft.com/office/2017/10/relationships/person" Target="persons/person.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19.xml"/><Relationship Id="rId3" Type="http://schemas.openxmlformats.org/officeDocument/2006/relationships/worksheet" Target="worksheets/sheet3.xml"/><Relationship Id="rId12" Type="http://schemas.microsoft.com/office/2007/relationships/slicerCache" Target="slicerCaches/slicerCache1.xml"/><Relationship Id="rId17" Type="http://schemas.microsoft.com/office/2007/relationships/slicerCache" Target="slicerCaches/slicerCache6.xml"/><Relationship Id="rId25" Type="http://schemas.openxmlformats.org/officeDocument/2006/relationships/sheetMetadata" Target="metadata.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20" Type="http://schemas.microsoft.com/office/2007/relationships/slicerCache" Target="slicerCaches/slicerCache9.xml"/><Relationship Id="rId41" Type="http://schemas.openxmlformats.org/officeDocument/2006/relationships/customXml" Target="../customXml/item9.xml"/><Relationship Id="rId54"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worksheet" Target="worksheets/sheet6.xml"/><Relationship Id="rId15" Type="http://schemas.microsoft.com/office/2007/relationships/slicerCache" Target="slicerCaches/slicerCache4.xml"/><Relationship Id="rId23" Type="http://schemas.openxmlformats.org/officeDocument/2006/relationships/styles" Target="styles.xml"/><Relationship Id="rId28" Type="http://schemas.microsoft.com/office/2017/06/relationships/rdRichValueTypes" Target="richData/rdRichValueTypes.xml"/><Relationship Id="rId36" Type="http://schemas.openxmlformats.org/officeDocument/2006/relationships/customXml" Target="../customXml/item4.xml"/><Relationship Id="rId49" Type="http://schemas.openxmlformats.org/officeDocument/2006/relationships/customXml" Target="../customXml/item1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0</xdr:colOff>
          <xdr:row>4</xdr:row>
          <xdr:rowOff>0</xdr:rowOff>
        </xdr:from>
        <xdr:to>
          <xdr:col>25</xdr:col>
          <xdr:colOff>0</xdr:colOff>
          <xdr:row>7</xdr:row>
          <xdr:rowOff>0</xdr:rowOff>
        </xdr:to>
        <xdr:sp macro="" textlink="">
          <xdr:nvSpPr>
            <xdr:cNvPr id="2051" name="UseCol3Button"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228600</xdr:colOff>
          <xdr:row>0</xdr:row>
          <xdr:rowOff>104775</xdr:rowOff>
        </xdr:from>
        <xdr:to>
          <xdr:col>16</xdr:col>
          <xdr:colOff>571500</xdr:colOff>
          <xdr:row>2</xdr:row>
          <xdr:rowOff>47625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Bahnschrift"/>
                </a:rPr>
                <a:t>Update Styles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359597</xdr:colOff>
      <xdr:row>3</xdr:row>
      <xdr:rowOff>95922</xdr:rowOff>
    </xdr:from>
    <xdr:to>
      <xdr:col>2</xdr:col>
      <xdr:colOff>645795</xdr:colOff>
      <xdr:row>3</xdr:row>
      <xdr:rowOff>2682912</xdr:rowOff>
    </xdr:to>
    <mc:AlternateContent xmlns:mc="http://schemas.openxmlformats.org/markup-compatibility/2006" xmlns:sle15="http://schemas.microsoft.com/office/drawing/2012/slicer">
      <mc:Choice Requires="sle15">
        <xdr:graphicFrame macro="">
          <xdr:nvGraphicFramePr>
            <xdr:cNvPr id="2" name="Type">
              <a:extLst>
                <a:ext uri="{FF2B5EF4-FFF2-40B4-BE49-F238E27FC236}">
                  <a16:creationId xmlns:a16="http://schemas.microsoft.com/office/drawing/2014/main" id="{5473A0F9-B7F2-0F1A-9F38-099922218CAD}"/>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359597" y="342451"/>
              <a:ext cx="2034316" cy="258699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8</xdr:col>
      <xdr:colOff>658569</xdr:colOff>
      <xdr:row>3</xdr:row>
      <xdr:rowOff>92112</xdr:rowOff>
    </xdr:from>
    <xdr:to>
      <xdr:col>8</xdr:col>
      <xdr:colOff>2487369</xdr:colOff>
      <xdr:row>3</xdr:row>
      <xdr:rowOff>2684817</xdr:rowOff>
    </xdr:to>
    <mc:AlternateContent xmlns:mc="http://schemas.openxmlformats.org/markup-compatibility/2006" xmlns:sle15="http://schemas.microsoft.com/office/drawing/2012/slicer">
      <mc:Choice Requires="sle15">
        <xdr:graphicFrame macro="">
          <xdr:nvGraphicFramePr>
            <xdr:cNvPr id="3" name="OS Version">
              <a:extLst>
                <a:ext uri="{FF2B5EF4-FFF2-40B4-BE49-F238E27FC236}">
                  <a16:creationId xmlns:a16="http://schemas.microsoft.com/office/drawing/2014/main" id="{8AFB157F-BD67-3C8A-16E5-D3653840D93D}"/>
                </a:ext>
              </a:extLst>
            </xdr:cNvPr>
            <xdr:cNvGraphicFramePr/>
          </xdr:nvGraphicFramePr>
          <xdr:xfrm>
            <a:off x="0" y="0"/>
            <a:ext cx="0" cy="0"/>
          </xdr:xfrm>
          <a:graphic>
            <a:graphicData uri="http://schemas.microsoft.com/office/drawing/2010/slicer">
              <sle:slicer xmlns:sle="http://schemas.microsoft.com/office/drawing/2010/slicer" name="OS Version"/>
            </a:graphicData>
          </a:graphic>
        </xdr:graphicFrame>
      </mc:Choice>
      <mc:Fallback xmlns="">
        <xdr:sp macro="" textlink="">
          <xdr:nvSpPr>
            <xdr:cNvPr id="0" name=""/>
            <xdr:cNvSpPr>
              <a:spLocks noTextEdit="1"/>
            </xdr:cNvSpPr>
          </xdr:nvSpPr>
          <xdr:spPr>
            <a:xfrm>
              <a:off x="13601363" y="338641"/>
              <a:ext cx="1828800" cy="259270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5</xdr:col>
      <xdr:colOff>1037889</xdr:colOff>
      <xdr:row>3</xdr:row>
      <xdr:rowOff>78777</xdr:rowOff>
    </xdr:from>
    <xdr:to>
      <xdr:col>6</xdr:col>
      <xdr:colOff>1324199</xdr:colOff>
      <xdr:row>3</xdr:row>
      <xdr:rowOff>2669577</xdr:rowOff>
    </xdr:to>
    <mc:AlternateContent xmlns:mc="http://schemas.openxmlformats.org/markup-compatibility/2006" xmlns:sle15="http://schemas.microsoft.com/office/drawing/2012/slicer">
      <mc:Choice Requires="sle15">
        <xdr:graphicFrame macro="">
          <xdr:nvGraphicFramePr>
            <xdr:cNvPr id="4" name="Storage Location">
              <a:extLst>
                <a:ext uri="{FF2B5EF4-FFF2-40B4-BE49-F238E27FC236}">
                  <a16:creationId xmlns:a16="http://schemas.microsoft.com/office/drawing/2014/main" id="{0692F851-E68C-45DA-4F56-C480A02E9210}"/>
                </a:ext>
              </a:extLst>
            </xdr:cNvPr>
            <xdr:cNvGraphicFramePr/>
          </xdr:nvGraphicFramePr>
          <xdr:xfrm>
            <a:off x="0" y="0"/>
            <a:ext cx="0" cy="0"/>
          </xdr:xfrm>
          <a:graphic>
            <a:graphicData uri="http://schemas.microsoft.com/office/drawing/2010/slicer">
              <sle:slicer xmlns:sle="http://schemas.microsoft.com/office/drawing/2010/slicer" name="Storage Location"/>
            </a:graphicData>
          </a:graphic>
        </xdr:graphicFrame>
      </mc:Choice>
      <mc:Fallback xmlns="">
        <xdr:sp macro="" textlink="">
          <xdr:nvSpPr>
            <xdr:cNvPr id="0" name=""/>
            <xdr:cNvSpPr>
              <a:spLocks noTextEdit="1"/>
            </xdr:cNvSpPr>
          </xdr:nvSpPr>
          <xdr:spPr>
            <a:xfrm>
              <a:off x="7268360" y="325306"/>
              <a:ext cx="2280957" cy="2590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6</xdr:col>
      <xdr:colOff>1510215</xdr:colOff>
      <xdr:row>3</xdr:row>
      <xdr:rowOff>60177</xdr:rowOff>
    </xdr:from>
    <xdr:to>
      <xdr:col>8</xdr:col>
      <xdr:colOff>504489</xdr:colOff>
      <xdr:row>3</xdr:row>
      <xdr:rowOff>2650977</xdr:rowOff>
    </xdr:to>
    <mc:AlternateContent xmlns:mc="http://schemas.openxmlformats.org/markup-compatibility/2006" xmlns:sle15="http://schemas.microsoft.com/office/drawing/2012/slicer">
      <mc:Choice Requires="sle15">
        <xdr:graphicFrame macro="">
          <xdr:nvGraphicFramePr>
            <xdr:cNvPr id="5" name="Assigned Location">
              <a:extLst>
                <a:ext uri="{FF2B5EF4-FFF2-40B4-BE49-F238E27FC236}">
                  <a16:creationId xmlns:a16="http://schemas.microsoft.com/office/drawing/2014/main" id="{74DA085B-C9EA-4B8F-04D3-E9456B51FD29}"/>
                </a:ext>
              </a:extLst>
            </xdr:cNvPr>
            <xdr:cNvGraphicFramePr/>
          </xdr:nvGraphicFramePr>
          <xdr:xfrm>
            <a:off x="0" y="0"/>
            <a:ext cx="0" cy="0"/>
          </xdr:xfrm>
          <a:graphic>
            <a:graphicData uri="http://schemas.microsoft.com/office/drawing/2010/slicer">
              <sle:slicer xmlns:sle="http://schemas.microsoft.com/office/drawing/2010/slicer" name="Assigned Location"/>
            </a:graphicData>
          </a:graphic>
        </xdr:graphicFrame>
      </mc:Choice>
      <mc:Fallback xmlns="">
        <xdr:sp macro="" textlink="">
          <xdr:nvSpPr>
            <xdr:cNvPr id="0" name=""/>
            <xdr:cNvSpPr>
              <a:spLocks noTextEdit="1"/>
            </xdr:cNvSpPr>
          </xdr:nvSpPr>
          <xdr:spPr>
            <a:xfrm>
              <a:off x="9735333" y="306706"/>
              <a:ext cx="3711950" cy="2590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2</xdr:col>
      <xdr:colOff>783067</xdr:colOff>
      <xdr:row>3</xdr:row>
      <xdr:rowOff>95923</xdr:rowOff>
    </xdr:from>
    <xdr:to>
      <xdr:col>3</xdr:col>
      <xdr:colOff>1878442</xdr:colOff>
      <xdr:row>3</xdr:row>
      <xdr:rowOff>2684818</xdr:rowOff>
    </xdr:to>
    <mc:AlternateContent xmlns:mc="http://schemas.openxmlformats.org/markup-compatibility/2006" xmlns:sle15="http://schemas.microsoft.com/office/drawing/2012/slicer">
      <mc:Choice Requires="sle15">
        <xdr:graphicFrame macro="">
          <xdr:nvGraphicFramePr>
            <xdr:cNvPr id="6" name="Brand">
              <a:extLst>
                <a:ext uri="{FF2B5EF4-FFF2-40B4-BE49-F238E27FC236}">
                  <a16:creationId xmlns:a16="http://schemas.microsoft.com/office/drawing/2014/main" id="{6CF71F36-45A9-1F19-6537-AD721E2F8035}"/>
                </a:ext>
              </a:extLst>
            </xdr:cNvPr>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2531185" y="342452"/>
              <a:ext cx="1958228" cy="258889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3</xdr:col>
      <xdr:colOff>2161615</xdr:colOff>
      <xdr:row>3</xdr:row>
      <xdr:rowOff>56589</xdr:rowOff>
    </xdr:from>
    <xdr:to>
      <xdr:col>5</xdr:col>
      <xdr:colOff>791471</xdr:colOff>
      <xdr:row>3</xdr:row>
      <xdr:rowOff>2647389</xdr:rowOff>
    </xdr:to>
    <mc:AlternateContent xmlns:mc="http://schemas.openxmlformats.org/markup-compatibility/2006" xmlns:sle15="http://schemas.microsoft.com/office/drawing/2012/slicer">
      <mc:Choice Requires="sle15">
        <xdr:graphicFrame macro="">
          <xdr:nvGraphicFramePr>
            <xdr:cNvPr id="7" name="Model">
              <a:extLst>
                <a:ext uri="{FF2B5EF4-FFF2-40B4-BE49-F238E27FC236}">
                  <a16:creationId xmlns:a16="http://schemas.microsoft.com/office/drawing/2014/main" id="{A0D6A8D0-59AF-85D9-C558-F9056134E65E}"/>
                </a:ext>
              </a:extLst>
            </xdr:cNvPr>
            <xdr:cNvGraphicFramePr/>
          </xdr:nvGraphicFramePr>
          <xdr:xfrm>
            <a:off x="0" y="0"/>
            <a:ext cx="0" cy="0"/>
          </xdr:xfrm>
          <a:graphic>
            <a:graphicData uri="http://schemas.microsoft.com/office/drawing/2010/slicer">
              <sle:slicer xmlns:sle="http://schemas.microsoft.com/office/drawing/2010/slicer" name="Model"/>
            </a:graphicData>
          </a:graphic>
        </xdr:graphicFrame>
      </mc:Choice>
      <mc:Fallback xmlns="">
        <xdr:sp macro="" textlink="">
          <xdr:nvSpPr>
            <xdr:cNvPr id="0" name=""/>
            <xdr:cNvSpPr>
              <a:spLocks noTextEdit="1"/>
            </xdr:cNvSpPr>
          </xdr:nvSpPr>
          <xdr:spPr>
            <a:xfrm>
              <a:off x="4772586" y="303118"/>
              <a:ext cx="2249356" cy="2590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10</xdr:col>
      <xdr:colOff>1016934</xdr:colOff>
      <xdr:row>3</xdr:row>
      <xdr:rowOff>92561</xdr:rowOff>
    </xdr:from>
    <xdr:to>
      <xdr:col>12</xdr:col>
      <xdr:colOff>793377</xdr:colOff>
      <xdr:row>3</xdr:row>
      <xdr:rowOff>2683361</xdr:rowOff>
    </xdr:to>
    <mc:AlternateContent xmlns:mc="http://schemas.openxmlformats.org/markup-compatibility/2006" xmlns:sle15="http://schemas.microsoft.com/office/drawing/2012/slicer">
      <mc:Choice Requires="sle15">
        <xdr:graphicFrame macro="">
          <xdr:nvGraphicFramePr>
            <xdr:cNvPr id="8" name="NeedsRepair">
              <a:extLst>
                <a:ext uri="{FF2B5EF4-FFF2-40B4-BE49-F238E27FC236}">
                  <a16:creationId xmlns:a16="http://schemas.microsoft.com/office/drawing/2014/main" id="{5C37C0EC-CBDF-8C64-C025-91763D429E58}"/>
                </a:ext>
              </a:extLst>
            </xdr:cNvPr>
            <xdr:cNvGraphicFramePr/>
          </xdr:nvGraphicFramePr>
          <xdr:xfrm>
            <a:off x="0" y="0"/>
            <a:ext cx="0" cy="0"/>
          </xdr:xfrm>
          <a:graphic>
            <a:graphicData uri="http://schemas.microsoft.com/office/drawing/2010/slicer">
              <sle:slicer xmlns:sle="http://schemas.microsoft.com/office/drawing/2010/slicer" name="NeedsRepair"/>
            </a:graphicData>
          </a:graphic>
        </xdr:graphicFrame>
      </mc:Choice>
      <mc:Fallback xmlns="">
        <xdr:sp macro="" textlink="">
          <xdr:nvSpPr>
            <xdr:cNvPr id="0" name=""/>
            <xdr:cNvSpPr>
              <a:spLocks noTextEdit="1"/>
            </xdr:cNvSpPr>
          </xdr:nvSpPr>
          <xdr:spPr>
            <a:xfrm>
              <a:off x="18038669" y="339090"/>
              <a:ext cx="2096061" cy="2590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8</xdr:col>
      <xdr:colOff>2729641</xdr:colOff>
      <xdr:row>3</xdr:row>
      <xdr:rowOff>97492</xdr:rowOff>
    </xdr:from>
    <xdr:to>
      <xdr:col>10</xdr:col>
      <xdr:colOff>942751</xdr:colOff>
      <xdr:row>3</xdr:row>
      <xdr:rowOff>2684482</xdr:rowOff>
    </xdr:to>
    <mc:AlternateContent xmlns:mc="http://schemas.openxmlformats.org/markup-compatibility/2006" xmlns:sle15="http://schemas.microsoft.com/office/drawing/2012/slicer">
      <mc:Choice Requires="sle15">
        <xdr:graphicFrame macro="">
          <xdr:nvGraphicFramePr>
            <xdr:cNvPr id="9" name="Condition">
              <a:extLst>
                <a:ext uri="{FF2B5EF4-FFF2-40B4-BE49-F238E27FC236}">
                  <a16:creationId xmlns:a16="http://schemas.microsoft.com/office/drawing/2014/main" id="{389793AA-923A-8994-CD2C-12CB5CC768BE}"/>
                </a:ext>
              </a:extLst>
            </xdr:cNvPr>
            <xdr:cNvGraphicFramePr/>
          </xdr:nvGraphicFramePr>
          <xdr:xfrm>
            <a:off x="0" y="0"/>
            <a:ext cx="0" cy="0"/>
          </xdr:xfrm>
          <a:graphic>
            <a:graphicData uri="http://schemas.microsoft.com/office/drawing/2010/slicer">
              <sle:slicer xmlns:sle="http://schemas.microsoft.com/office/drawing/2010/slicer" name="Condition"/>
            </a:graphicData>
          </a:graphic>
        </xdr:graphicFrame>
      </mc:Choice>
      <mc:Fallback xmlns="">
        <xdr:sp macro="" textlink="">
          <xdr:nvSpPr>
            <xdr:cNvPr id="0" name=""/>
            <xdr:cNvSpPr>
              <a:spLocks noTextEdit="1"/>
            </xdr:cNvSpPr>
          </xdr:nvSpPr>
          <xdr:spPr>
            <a:xfrm>
              <a:off x="15672435" y="344021"/>
              <a:ext cx="2292051" cy="258699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12</xdr:col>
      <xdr:colOff>939502</xdr:colOff>
      <xdr:row>3</xdr:row>
      <xdr:rowOff>98164</xdr:rowOff>
    </xdr:from>
    <xdr:to>
      <xdr:col>14</xdr:col>
      <xdr:colOff>1016374</xdr:colOff>
      <xdr:row>3</xdr:row>
      <xdr:rowOff>2688964</xdr:rowOff>
    </xdr:to>
    <mc:AlternateContent xmlns:mc="http://schemas.openxmlformats.org/markup-compatibility/2006" xmlns:sle15="http://schemas.microsoft.com/office/drawing/2012/slicer">
      <mc:Choice Requires="sle15">
        <xdr:graphicFrame macro="">
          <xdr:nvGraphicFramePr>
            <xdr:cNvPr id="10" name="Notes">
              <a:extLst>
                <a:ext uri="{FF2B5EF4-FFF2-40B4-BE49-F238E27FC236}">
                  <a16:creationId xmlns:a16="http://schemas.microsoft.com/office/drawing/2014/main" id="{830F5FF4-285B-BA16-4DA6-AEE819F7000C}"/>
                </a:ext>
              </a:extLst>
            </xdr:cNvPr>
            <xdr:cNvGraphicFramePr/>
          </xdr:nvGraphicFramePr>
          <xdr:xfrm>
            <a:off x="0" y="0"/>
            <a:ext cx="0" cy="0"/>
          </xdr:xfrm>
          <a:graphic>
            <a:graphicData uri="http://schemas.microsoft.com/office/drawing/2010/slicer">
              <sle:slicer xmlns:sle="http://schemas.microsoft.com/office/drawing/2010/slicer" name="Notes"/>
            </a:graphicData>
          </a:graphic>
        </xdr:graphicFrame>
      </mc:Choice>
      <mc:Fallback xmlns="">
        <xdr:sp macro="" textlink="">
          <xdr:nvSpPr>
            <xdr:cNvPr id="0" name=""/>
            <xdr:cNvSpPr>
              <a:spLocks noTextEdit="1"/>
            </xdr:cNvSpPr>
          </xdr:nvSpPr>
          <xdr:spPr>
            <a:xfrm>
              <a:off x="20280855" y="344693"/>
              <a:ext cx="2004284" cy="2590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76200</xdr:colOff>
          <xdr:row>0</xdr:row>
          <xdr:rowOff>228600</xdr:rowOff>
        </xdr:from>
        <xdr:to>
          <xdr:col>14</xdr:col>
          <xdr:colOff>285750</xdr:colOff>
          <xdr:row>1</xdr:row>
          <xdr:rowOff>57150</xdr:rowOff>
        </xdr:to>
        <xdr:sp macro="" textlink="">
          <xdr:nvSpPr>
            <xdr:cNvPr id="9220" name="AddButton"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95250</xdr:colOff>
          <xdr:row>6</xdr:row>
          <xdr:rowOff>38100</xdr:rowOff>
        </xdr:from>
        <xdr:to>
          <xdr:col>15</xdr:col>
          <xdr:colOff>419100</xdr:colOff>
          <xdr:row>8</xdr:row>
          <xdr:rowOff>57150</xdr:rowOff>
        </xdr:to>
        <xdr:sp macro="" textlink="">
          <xdr:nvSpPr>
            <xdr:cNvPr id="9228" name="EditButton" hidden="1">
              <a:extLst>
                <a:ext uri="{63B3BB69-23CF-44E3-9099-C40C66FF867C}">
                  <a14:compatExt spid="_x0000_s9228"/>
                </a:ext>
                <a:ext uri="{FF2B5EF4-FFF2-40B4-BE49-F238E27FC236}">
                  <a16:creationId xmlns:a16="http://schemas.microsoft.com/office/drawing/2014/main" id="{00000000-0008-0000-03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Taylor, John" id="{A270065F-48A9-485E-94FD-8342678E6B01}" userId="S::john.taylor@magna.com::b9bdfd4d-138a-41ae-aa2e-6b582a405980" providerId="AD"/>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Taylor, John" refreshedDate="46107.84179421296" backgroundQuery="1" createdVersion="8" refreshedVersion="8" minRefreshableVersion="3" recordCount="0" supportSubquery="1" supportAdvancedDrill="1" xr:uid="{E082130E-A192-49B8-A7B6-733D3BBEC7AA}">
  <cacheSource type="external" connectionId="38"/>
  <cacheFields count="5">
    <cacheField name="[ITEquipmentTable].[Type].[Type]" caption="Type" numFmtId="0" hierarchy="42" level="1">
      <sharedItems containsSemiMixedTypes="0" containsNonDate="0" containsString="0"/>
    </cacheField>
    <cacheField name="[Measures].[Count of OS Version]" caption="Count of OS Version" numFmtId="0" hierarchy="119" level="32767"/>
    <cacheField name="[ActiveDirectoryComputers 1].[computer.operatingSystemVersion].[computer.operatingSystemVersion]" caption="computer.operatingSystemVersion" numFmtId="0" hierarchy="9" level="1">
      <sharedItems count="5">
        <s v="10.0 (19045)"/>
        <s v="10.0 (19042)"/>
        <s v="10.0 (19044)"/>
        <s v="10.0 (26100)"/>
        <s v="10.0 (26200)"/>
      </sharedItems>
    </cacheField>
    <cacheField name="[ActiveDirectoryComputers 1].[computer.operatingSystem].[computer.operatingSystem]" caption="computer.operatingSystem" numFmtId="0" hierarchy="8" level="1">
      <sharedItems count="7">
        <s v="Windows 10 Enterprise"/>
        <s v="Windows 10 Enterprise 2016 LTSB"/>
        <s v="Windows 10 Enterprise LTSC"/>
        <s v="Windows 10 Pro"/>
        <s v="Windows 11 Enterprise"/>
        <s v="Windows 11 IoT Enterprise LTSC"/>
        <s v="Windows 11 Pro"/>
      </sharedItems>
    </cacheField>
    <cacheField name="[ITEquipmentTable].[Name].[Name]" caption="Name" numFmtId="0" hierarchy="53" level="1">
      <sharedItems count="44">
        <s v="AIM-BKERANEN-L"/>
        <s v="AIM-DISPLAY4"/>
        <s v="AIM-DISPLAY6"/>
        <s v="AIM-DISPLAY7"/>
        <s v="AIM-DISPLAY8"/>
        <s v="AIM-DTFEMDISP"/>
        <s v="AIM-DTSPARE20-D"/>
        <s v="AIM-GPOMEROY-L"/>
        <s v="AIM-ITSPARE81-L"/>
        <s v="AIM-JPALA-L"/>
        <s v="AIM-MANUALMODE"/>
        <s v="AIM-MDIALLO-L"/>
        <s v="AIM-MPILIBOS-L"/>
        <s v="AIM-PC23-L"/>
        <s v="AIM-PC51-L"/>
        <s v="AIM-PC60-L"/>
        <s v="AIM-PC63-L"/>
        <s v="AIM-PC71-L"/>
        <s v="AIM-PC80-T"/>
        <s v="AIM-PC9-L"/>
        <s v="AIM-QUALITY1-L"/>
        <s v="AIM-QUALITY2-L"/>
        <s v="AIM-SDIFILIPPO"/>
        <s v="AIM-SURFACE11-T"/>
        <s v="AIM-TEAMLEAD-DS"/>
        <s v="AIM-TWICART-L"/>
        <s v="AIM-MGRTAB1-T"/>
        <s v="AIM-SURFACE1-T"/>
        <s v="AIM-ITSPARE-L"/>
        <s v="AIM-PC17-L"/>
        <s v="AIM-PC48-L"/>
        <s v="AIM-QUALITY5-D"/>
        <s v="AIM-TLAAD-D"/>
        <s v="AIM-WSCAMERA"/>
        <s v="AIM-DTMXGRL-D"/>
        <s v="AIM-ENGOMEN-D"/>
        <s v="AIM-MOLDTECH-D"/>
        <s v="AIM-QTECH4-D"/>
        <s v="AIMTEAMLEADT1"/>
        <s v="AIM-CLIENT36-D"/>
        <s v="AIM-DISPLAY13"/>
        <s v="AIM-DISPLAY16"/>
        <s v="AIM-DSMAINT-D"/>
        <s v="AIM-DTAGSLOWDSP"/>
      </sharedItems>
    </cacheField>
  </cacheFields>
  <cacheHierarchies count="120">
    <cacheHierarchy uniqueName="[ActiveDirectoryComputers].[computer.cn]" caption="computer.cn" attribute="1" defaultMemberUniqueName="[ActiveDirectoryComputers].[computer.cn].[All]" allUniqueName="[ActiveDirectoryComputers].[computer.cn].[All]" dimensionUniqueName="[ActiveDirectoryComputers]" displayFolder="" count="0" memberValueDatatype="130" unbalanced="0"/>
    <cacheHierarchy uniqueName="[ActiveDirectoryComputers].[displayName]" caption="displayName" attribute="1" defaultMemberUniqueName="[ActiveDirectoryComputers].[displayName].[All]" allUniqueName="[ActiveDirectoryComputers].[displayName].[All]" dimensionUniqueName="[ActiveDirectoryComputers]" displayFolder="" count="0" memberValueDatatype="130" unbalanced="0"/>
    <cacheHierarchy uniqueName="[ActiveDirectoryComputers].[computer.operatingSystem]" caption="computer.operatingSystem" attribute="1" defaultMemberUniqueName="[ActiveDirectoryComputers].[computer.operatingSystem].[All]" allUniqueName="[ActiveDirectoryComputers].[computer.operatingSystem].[All]" dimensionUniqueName="[ActiveDirectoryComputers]" displayFolder="" count="0" memberValueDatatype="130" unbalanced="0"/>
    <cacheHierarchy uniqueName="[ActiveDirectoryComputers].[computer.operatingSystemVersion]" caption="computer.operatingSystemVersion" attribute="1" defaultMemberUniqueName="[ActiveDirectoryComputers].[computer.operatingSystemVersion].[All]" allUniqueName="[ActiveDirectoryComputers].[computer.operatingSystemVersion].[All]" dimensionUniqueName="[ActiveDirectoryComputers]" displayFolder="" count="0" memberValueDatatype="130" unbalanced="0"/>
    <cacheHierarchy uniqueName="[ActiveDirectoryComputers].[computer.mitHomeCode]" caption="computer.mitHomeCode" attribute="1" defaultMemberUniqueName="[ActiveDirectoryComputers].[computer.mitHomeCode].[All]" allUniqueName="[ActiveDirectoryComputers].[computer.mitHomeCode].[All]" dimensionUniqueName="[ActiveDirectoryComputers]" displayFolder="" count="0" memberValueDatatype="130" unbalanced="0"/>
    <cacheHierarchy uniqueName="[ActiveDirectoryComputers].[distinguishedName]" caption="distinguishedName" attribute="1" defaultMemberUniqueName="[ActiveDirectoryComputers].[distinguishedName].[All]" allUniqueName="[ActiveDirectoryComputers].[distinguishedName].[All]" dimensionUniqueName="[ActiveDirectoryComputers]" displayFolder="" count="0" memberValueDatatype="130" unbalanced="0"/>
    <cacheHierarchy uniqueName="[ActiveDirectoryComputers 1].[computer.cn]" caption="computer.cn" attribute="1" defaultMemberUniqueName="[ActiveDirectoryComputers 1].[computer.cn].[All]" allUniqueName="[ActiveDirectoryComputers 1].[computer.cn].[All]" dimensionUniqueName="[ActiveDirectoryComputers 1]" displayFolder="" count="0" memberValueDatatype="130" unbalanced="0"/>
    <cacheHierarchy uniqueName="[ActiveDirectoryComputers 1].[displayName]" caption="displayName" attribute="1" defaultMemberUniqueName="[ActiveDirectoryComputers 1].[displayName].[All]" allUniqueName="[ActiveDirectoryComputers 1].[displayName].[All]" dimensionUniqueName="[ActiveDirectoryComputers 1]" displayFolder="" count="0" memberValueDatatype="130" unbalanced="0"/>
    <cacheHierarchy uniqueName="[ActiveDirectoryComputers 1].[computer.operatingSystem]" caption="computer.operatingSystem" attribute="1" defaultMemberUniqueName="[ActiveDirectoryComputers 1].[computer.operatingSystem].[All]" allUniqueName="[ActiveDirectoryComputers 1].[computer.operatingSystem].[All]" dimensionUniqueName="[ActiveDirectoryComputers 1]" displayFolder="" count="2" memberValueDatatype="130" unbalanced="0">
      <fieldsUsage count="2">
        <fieldUsage x="-1"/>
        <fieldUsage x="3"/>
      </fieldsUsage>
    </cacheHierarchy>
    <cacheHierarchy uniqueName="[ActiveDirectoryComputers 1].[computer.operatingSystemVersion]" caption="computer.operatingSystemVersion" attribute="1" defaultMemberUniqueName="[ActiveDirectoryComputers 1].[computer.operatingSystemVersion].[All]" allUniqueName="[ActiveDirectoryComputers 1].[computer.operatingSystemVersion].[All]" dimensionUniqueName="[ActiveDirectoryComputers 1]" displayFolder="" count="2" memberValueDatatype="130" unbalanced="0">
      <fieldsUsage count="2">
        <fieldUsage x="-1"/>
        <fieldUsage x="2"/>
      </fieldsUsage>
    </cacheHierarchy>
    <cacheHierarchy uniqueName="[ActiveDirectoryComputers 1].[computer.mitHomeCode]" caption="computer.mitHomeCode" attribute="1" defaultMemberUniqueName="[ActiveDirectoryComputers 1].[computer.mitHomeCode].[All]" allUniqueName="[ActiveDirectoryComputers 1].[computer.mitHomeCode].[All]" dimensionUniqueName="[ActiveDirectoryComputers 1]" displayFolder="" count="0" memberValueDatatype="130" unbalanced="0"/>
    <cacheHierarchy uniqueName="[ActiveDirectoryComputers 1].[distinguishedName]" caption="distinguishedName" attribute="1" defaultMemberUniqueName="[ActiveDirectoryComputers 1].[distinguishedName].[All]" allUniqueName="[ActiveDirectoryComputers 1].[distinguishedName].[All]" dimensionUniqueName="[ActiveDirectoryComputers 1]" displayFolder="" count="0" memberValueDatatype="130" unbalanced="0"/>
    <cacheHierarchy uniqueName="[ActiveDirectoryComputers 1].[Needs Upgrade]" caption="Needs Upgrade" attribute="1" defaultMemberUniqueName="[ActiveDirectoryComputers 1].[Needs Upgrade].[All]" allUniqueName="[ActiveDirectoryComputers 1].[Needs Upgrade].[All]" dimensionUniqueName="[ActiveDirectoryComputers 1]" displayFolder="" count="0" memberValueDatatype="11" unbalanced="0"/>
    <cacheHierarchy uniqueName="[ActualClients].[computer.cn]" caption="computer.cn" attribute="1" defaultMemberUniqueName="[ActualClients].[computer.cn].[All]" allUniqueName="[ActualClients].[computer.cn].[All]" dimensionUniqueName="[ActualClients]" displayFolder="" count="0" memberValueDatatype="130" unbalanced="0"/>
    <cacheHierarchy uniqueName="[ActualClients].[displayName]" caption="displayName" attribute="1" defaultMemberUniqueName="[ActualClients].[displayName].[All]" allUniqueName="[ActualClients].[displayName].[All]" dimensionUniqueName="[ActualClients]" displayFolder="" count="0" memberValueDatatype="130" unbalanced="0"/>
    <cacheHierarchy uniqueName="[ActualClients].[computer.operatingSystem]" caption="computer.operatingSystem" attribute="1" defaultMemberUniqueName="[ActualClients].[computer.operatingSystem].[All]" allUniqueName="[ActualClients].[computer.operatingSystem].[All]" dimensionUniqueName="[ActualClients]" displayFolder="" count="0" memberValueDatatype="130" unbalanced="0"/>
    <cacheHierarchy uniqueName="[ActualClients].[computer.operatingSystemVersion]" caption="computer.operatingSystemVersion" attribute="1" defaultMemberUniqueName="[ActualClients].[computer.operatingSystemVersion].[All]" allUniqueName="[ActualClients].[computer.operatingSystemVersion].[All]" dimensionUniqueName="[ActualClients]" displayFolder="" count="0" memberValueDatatype="130" unbalanced="0"/>
    <cacheHierarchy uniqueName="[ActualClients].[computer.mitHomeCode]" caption="computer.mitHomeCode" attribute="1" defaultMemberUniqueName="[ActualClients].[computer.mitHomeCode].[All]" allUniqueName="[ActualClients].[computer.mitHomeCode].[All]" dimensionUniqueName="[ActualClients]" displayFolder="" count="0" memberValueDatatype="130" unbalanced="0"/>
    <cacheHierarchy uniqueName="[BrandCount].[Tag]" caption="Tag" attribute="1" defaultMemberUniqueName="[BrandCount].[Tag].[All]" allUniqueName="[BrandCount].[Tag].[All]" dimensionUniqueName="[BrandCount]" displayFolder="" count="0" memberValueDatatype="130" unbalanced="0"/>
    <cacheHierarchy uniqueName="[BrandCount].[Type]" caption="Type" attribute="1" defaultMemberUniqueName="[BrandCount].[Type].[All]" allUniqueName="[BrandCount].[Type].[All]" dimensionUniqueName="[BrandCount]" displayFolder="" count="0" memberValueDatatype="130" unbalanced="0"/>
    <cacheHierarchy uniqueName="[BrandCount].[InStorage]" caption="InStorage" attribute="1" defaultMemberUniqueName="[BrandCount].[InStorage].[All]" allUniqueName="[BrandCount].[InStorage].[All]" dimensionUniqueName="[BrandCount]" displayFolder="" count="0" memberValueDatatype="20" unbalanced="0"/>
    <cacheHierarchy uniqueName="[BrandCount].[Brand]" caption="Brand" attribute="1" defaultMemberUniqueName="[BrandCount].[Brand].[All]" allUniqueName="[BrandCount].[Brand].[All]" dimensionUniqueName="[BrandCount]" displayFolder="" count="0" memberValueDatatype="130" unbalanced="0"/>
    <cacheHierarchy uniqueName="[BrandCount].[SerializedTotal]" caption="SerializedTotal" attribute="1" defaultMemberUniqueName="[BrandCount].[SerializedTotal].[All]" allUniqueName="[BrandCount].[SerializedTotal].[All]" dimensionUniqueName="[BrandCount]" displayFolder="" count="0" memberValueDatatype="20" unbalanced="0"/>
    <cacheHierarchy uniqueName="[BrandCount].[TQty]" caption="TQty" attribute="1" defaultMemberUniqueName="[BrandCount].[TQty].[All]" allUniqueName="[BrandCount].[TQty].[All]" dimensionUniqueName="[BrandCount]" displayFolder="" count="0" memberValueDatatype="20" unbalanced="0"/>
    <cacheHierarchy uniqueName="[DeviceTypes].[DeviceTypes]" caption="DeviceTypes" attribute="1" defaultMemberUniqueName="[DeviceTypes].[DeviceTypes].[All]" allUniqueName="[DeviceTypes].[DeviceTypes].[All]" dimensionUniqueName="[DeviceTypes]" displayFolder="" count="0" memberValueDatatype="130" unbalanced="0"/>
    <cacheHierarchy uniqueName="[EmployeeTable].[ID]" caption="ID" attribute="1" defaultMemberUniqueName="[EmployeeTable].[ID].[All]" allUniqueName="[EmployeeTable].[ID].[All]" dimensionUniqueName="[EmployeeTable]" displayFolder="" count="0" memberValueDatatype="20" unbalanced="0"/>
    <cacheHierarchy uniqueName="[EmployeeTable].[name]" caption="name" attribute="1" defaultMemberUniqueName="[EmployeeTable].[name].[All]" allUniqueName="[EmployeeTable].[name].[All]" dimensionUniqueName="[EmployeeTable]" displayFolder="" count="0" memberValueDatatype="130" unbalanced="0"/>
    <cacheHierarchy uniqueName="[EmployeeTable].[Active]" caption="Active" attribute="1" defaultMemberUniqueName="[EmployeeTable].[Active].[All]" allUniqueName="[EmployeeTable].[Active].[All]" dimensionUniqueName="[EmployeeTable]" displayFolder="" count="0" memberValueDatatype="11" unbalanced="0"/>
    <cacheHierarchy uniqueName="[IntuneData].[Device name]" caption="Device name" attribute="1" defaultMemberUniqueName="[IntuneData].[Device name].[All]" allUniqueName="[IntuneData].[Device name].[All]" dimensionUniqueName="[IntuneData]" displayFolder="" count="0" memberValueDatatype="130" unbalanced="0"/>
    <cacheHierarchy uniqueName="[IntuneData].[Enrollment date]" caption="Enrollment date" attribute="1" time="1" defaultMemberUniqueName="[IntuneData].[Enrollment date].[All]" allUniqueName="[IntuneData].[Enrollment date].[All]" dimensionUniqueName="[IntuneData]" displayFolder="" count="0" memberValueDatatype="7" unbalanced="0"/>
    <cacheHierarchy uniqueName="[IntuneData].[Last check-in]" caption="Last check-in" attribute="1" time="1" defaultMemberUniqueName="[IntuneData].[Last check-in].[All]" allUniqueName="[IntuneData].[Last check-in].[All]" dimensionUniqueName="[IntuneData]" displayFolder="" count="0" memberValueDatatype="7" unbalanced="0"/>
    <cacheHierarchy uniqueName="[IntuneData].[OS version]" caption="OS version" attribute="1" defaultMemberUniqueName="[IntuneData].[OS version].[All]" allUniqueName="[IntuneData].[OS version].[All]" dimensionUniqueName="[IntuneData]" displayFolder="" count="0" memberValueDatatype="130" unbalanced="0"/>
    <cacheHierarchy uniqueName="[IntuneData].[Serial number]" caption="Serial number" attribute="1" defaultMemberUniqueName="[IntuneData].[Serial number].[All]" allUniqueName="[IntuneData].[Serial number].[All]" dimensionUniqueName="[IntuneData]" displayFolder="" count="0" memberValueDatatype="130" unbalanced="0"/>
    <cacheHierarchy uniqueName="[IntuneData].[Manufacturer]" caption="Manufacturer" attribute="1" defaultMemberUniqueName="[IntuneData].[Manufacturer].[All]" allUniqueName="[IntuneData].[Manufacturer].[All]" dimensionUniqueName="[IntuneData]" displayFolder="" count="0" memberValueDatatype="130" unbalanced="0"/>
    <cacheHierarchy uniqueName="[IntuneData].[Model]" caption="Model" attribute="1" defaultMemberUniqueName="[IntuneData].[Model].[All]" allUniqueName="[IntuneData].[Model].[All]" dimensionUniqueName="[IntuneData]" displayFolder="" count="0" memberValueDatatype="130" unbalanced="0"/>
    <cacheHierarchy uniqueName="[IntuneData].[Compliance grace period expiration]" caption="Compliance grace period expiration" attribute="1" time="1" defaultMemberUniqueName="[IntuneData].[Compliance grace period expiration].[All]" allUniqueName="[IntuneData].[Compliance grace period expiration].[All]" dimensionUniqueName="[IntuneData]" displayFolder="" count="0" memberValueDatatype="7" unbalanced="0"/>
    <cacheHierarchy uniqueName="[IntuneData].[Primary user email address]" caption="Primary user email address" attribute="1" defaultMemberUniqueName="[IntuneData].[Primary user email address].[All]" allUniqueName="[IntuneData].[Primary user email address].[All]" dimensionUniqueName="[IntuneData]" displayFolder="" count="0" memberValueDatatype="130" unbalanced="0"/>
    <cacheHierarchy uniqueName="[IntuneData].[Primary user display name]" caption="Primary user display name" attribute="1" defaultMemberUniqueName="[IntuneData].[Primary user display name].[All]" allUniqueName="[IntuneData].[Primary user display name].[All]" dimensionUniqueName="[IntuneData]" displayFolder="" count="0" memberValueDatatype="130" unbalanced="0"/>
    <cacheHierarchy uniqueName="[IntuneData].[WiFiIPv4Address]" caption="WiFiIPv4Address" attribute="1" defaultMemberUniqueName="[IntuneData].[WiFiIPv4Address].[All]" allUniqueName="[IntuneData].[WiFiIPv4Address].[All]" dimensionUniqueName="[IntuneData]" displayFolder="" count="0" memberValueDatatype="130" unbalanced="0"/>
    <cacheHierarchy uniqueName="[IntuneData].[WiFiSubnetID]" caption="WiFiSubnetID" attribute="1" defaultMemberUniqueName="[IntuneData].[WiFiSubnetID].[All]" allUniqueName="[IntuneData].[WiFiSubnetID].[All]" dimensionUniqueName="[IntuneData]" displayFolder="" count="0" memberValueDatatype="130" unbalanced="0"/>
    <cacheHierarchy uniqueName="[IntuneData].[Compliance]" caption="Compliance" attribute="1" defaultMemberUniqueName="[IntuneData].[Compliance].[All]" allUniqueName="[IntuneData].[Compliance].[All]" dimensionUniqueName="[IntuneData]" displayFolder="" count="0" memberValueDatatype="130" unbalanced="0"/>
    <cacheHierarchy uniqueName="[ITEquipmentTable].[Key]" caption="Key" attribute="1" keyAttribute="1" defaultMemberUniqueName="[ITEquipmentTable].[Key].[All]" allUniqueName="[ITEquipmentTable].[Key].[All]" dimensionUniqueName="[ITEquipmentTable]" displayFolder="" count="0" memberValueDatatype="20" unbalanced="0"/>
    <cacheHierarchy uniqueName="[ITEquipmentTable].[Type]" caption="Type" attribute="1" defaultMemberUniqueName="[ITEquipmentTable].[Type].[All]" allUniqueName="[ITEquipmentTable].[Type].[All]" dimensionUniqueName="[ITEquipmentTable]" displayFolder="" count="2" memberValueDatatype="130" unbalanced="0">
      <fieldsUsage count="2">
        <fieldUsage x="-1"/>
        <fieldUsage x="0"/>
      </fieldsUsage>
    </cacheHierarchy>
    <cacheHierarchy uniqueName="[ITEquipmentTable].[Brand]" caption="Brand" attribute="1" defaultMemberUniqueName="[ITEquipmentTable].[Brand].[All]" allUniqueName="[ITEquipmentTable].[Brand].[All]" dimensionUniqueName="[ITEquipmentTable]" displayFolder="" count="0" memberValueDatatype="130" unbalanced="0"/>
    <cacheHierarchy uniqueName="[ITEquipmentTable].[Model]" caption="Model" attribute="1" defaultMemberUniqueName="[ITEquipmentTable].[Model].[All]" allUniqueName="[ITEquipmentTable].[Model].[All]" dimensionUniqueName="[ITEquipmentTable]" displayFolder="" count="0" memberValueDatatype="130" unbalanced="0"/>
    <cacheHierarchy uniqueName="[ITEquipmentTable].[Serial Type]" caption="Serial Type" attribute="1" defaultMemberUniqueName="[ITEquipmentTable].[Serial Type].[All]" allUniqueName="[ITEquipmentTable].[Serial Type].[All]" dimensionUniqueName="[ITEquipmentTable]" displayFolder="" count="0" memberValueDatatype="130" unbalanced="0"/>
    <cacheHierarchy uniqueName="[ITEquipmentTable].[Serial]" caption="Serial" attribute="1" defaultMemberUniqueName="[ITEquipmentTable].[Serial].[All]" allUniqueName="[ITEquipmentTable].[Serial].[All]" dimensionUniqueName="[ITEquipmentTable]" displayFolder="" count="0" memberValueDatatype="130" unbalanced="0"/>
    <cacheHierarchy uniqueName="[ITEquipmentTable].[IntuneSerial]" caption="IntuneSerial" attribute="1" defaultMemberUniqueName="[ITEquipmentTable].[IntuneSerial].[All]" allUniqueName="[ITEquipmentTable].[IntuneSerial].[All]" dimensionUniqueName="[ITEquipmentTable]" displayFolder="" count="0" memberValueDatatype="130" unbalanced="0"/>
    <cacheHierarchy uniqueName="[ITEquipmentTable].[Storage Location]" caption="Storage Location" attribute="1" defaultMemberUniqueName="[ITEquipmentTable].[Storage Location].[All]" allUniqueName="[ITEquipmentTable].[Storage Location].[All]" dimensionUniqueName="[ITEquipmentTable]" displayFolder="" count="0" memberValueDatatype="130" unbalanced="0"/>
    <cacheHierarchy uniqueName="[ITEquipmentTable].[Assigned Location]" caption="Assigned Location" attribute="1" defaultMemberUniqueName="[ITEquipmentTable].[Assigned Location].[All]" allUniqueName="[ITEquipmentTable].[Assigned Location].[All]" dimensionUniqueName="[ITEquipmentTable]" displayFolder="" count="0" memberValueDatatype="130" unbalanced="0"/>
    <cacheHierarchy uniqueName="[ITEquipmentTable].[Assigned Employee]" caption="Assigned Employee" attribute="1" defaultMemberUniqueName="[ITEquipmentTable].[Assigned Employee].[All]" allUniqueName="[ITEquipmentTable].[Assigned Employee].[All]" dimensionUniqueName="[ITEquipmentTable]" displayFolder="" count="0" memberValueDatatype="130" unbalanced="0"/>
    <cacheHierarchy uniqueName="[ITEquipmentTable].[IPv4 Address]" caption="IPv4 Address" attribute="1" defaultMemberUniqueName="[ITEquipmentTable].[IPv4 Address].[All]" allUniqueName="[ITEquipmentTable].[IPv4 Address].[All]" dimensionUniqueName="[ITEquipmentTable]" displayFolder="" count="0" memberValueDatatype="130" unbalanced="0"/>
    <cacheHierarchy uniqueName="[ITEquipmentTable].[IPLookup]" caption="IPLookup" attribute="1" defaultMemberUniqueName="[ITEquipmentTable].[IPLookup].[All]" allUniqueName="[ITEquipmentTable].[IPLookup].[All]" dimensionUniqueName="[ITEquipmentTable]" displayFolder="" count="0" memberValueDatatype="130" unbalanced="0"/>
    <cacheHierarchy uniqueName="[ITEquipmentTable].[Name]" caption="Name" attribute="1" defaultMemberUniqueName="[ITEquipmentTable].[Name].[All]" allUniqueName="[ITEquipmentTable].[Name].[All]" dimensionUniqueName="[ITEquipmentTable]" displayFolder="" count="2" memberValueDatatype="130" unbalanced="0">
      <fieldsUsage count="2">
        <fieldUsage x="-1"/>
        <fieldUsage x="4"/>
      </fieldsUsage>
    </cacheHierarchy>
    <cacheHierarchy uniqueName="[ITEquipmentTable].[Status]" caption="Status" attribute="1" defaultMemberUniqueName="[ITEquipmentTable].[Status].[All]" allUniqueName="[ITEquipmentTable].[Status].[All]" dimensionUniqueName="[ITEquipmentTable]" displayFolder="" count="0" memberValueDatatype="130" unbalanced="0"/>
    <cacheHierarchy uniqueName="[ITEquipmentTable].[OS Version]" caption="OS Version" attribute="1" defaultMemberUniqueName="[ITEquipmentTable].[OS Version].[All]" allUniqueName="[ITEquipmentTable].[OS Version].[All]" dimensionUniqueName="[ITEquipmentTable]" displayFolder="" count="0" memberValueDatatype="130" unbalanced="0"/>
    <cacheHierarchy uniqueName="[ITEquipmentTable].[Valid]" caption="Valid" attribute="1" defaultMemberUniqueName="[ITEquipmentTable].[Valid].[All]" allUniqueName="[ITEquipmentTable].[Valid].[All]" dimensionUniqueName="[ITEquipmentTable]" displayFolder="" count="0" memberValueDatatype="11" unbalanced="0"/>
    <cacheHierarchy uniqueName="[ITEquipmentTable].[Condition]" caption="Condition" attribute="1" defaultMemberUniqueName="[ITEquipmentTable].[Condition].[All]" allUniqueName="[ITEquipmentTable].[Condition].[All]" dimensionUniqueName="[ITEquipmentTable]" displayFolder="" count="0" memberValueDatatype="130" unbalanced="0"/>
    <cacheHierarchy uniqueName="[ITEquipmentTable].[NeedsRepair]" caption="NeedsRepair" attribute="1" defaultMemberUniqueName="[ITEquipmentTable].[NeedsRepair].[All]" allUniqueName="[ITEquipmentTable].[NeedsRepair].[All]" dimensionUniqueName="[ITEquipmentTable]" displayFolder="" count="0" memberValueDatatype="130" unbalanced="0"/>
    <cacheHierarchy uniqueName="[ITEquipmentTable].[Notes]" caption="Notes" attribute="1" defaultMemberUniqueName="[ITEquipmentTable].[Notes].[All]" allUniqueName="[ITEquipmentTable].[Notes].[All]" dimensionUniqueName="[ITEquipmentTable]" displayFolder="" count="0" memberValueDatatype="130" unbalanced="0"/>
    <cacheHierarchy uniqueName="[ITSecondTable].[IQty]" caption="IQty" attribute="1" defaultMemberUniqueName="[ITSecondTable].[IQty].[All]" allUniqueName="[ITSecondTable].[IQty].[All]" dimensionUniqueName="[ITSecondTable]" displayFolder="" count="0" memberValueDatatype="20" unbalanced="0"/>
    <cacheHierarchy uniqueName="[ITSecondTable].[SQty]" caption="SQty" attribute="1" defaultMemberUniqueName="[ITSecondTable].[SQty].[All]" allUniqueName="[ITSecondTable].[SQty].[All]" dimensionUniqueName="[ITSecondTable]" displayFolder="" count="0" memberValueDatatype="20" unbalanced="0"/>
    <cacheHierarchy uniqueName="[ITSecondTable].[TQty]" caption="TQty" attribute="1" defaultMemberUniqueName="[ITSecondTable].[TQty].[All]" allUniqueName="[ITSecondTable].[TQty].[All]" dimensionUniqueName="[ITSecondTable]" displayFolder="" count="0" memberValueDatatype="20" unbalanced="0"/>
    <cacheHierarchy uniqueName="[ITSecondTable].[MQty]" caption="MQty" attribute="1" defaultMemberUniqueName="[ITSecondTable].[MQty].[All]" allUniqueName="[ITSecondTable].[MQty].[All]" dimensionUniqueName="[ITSecondTable]" displayFolder="" count="0" memberValueDatatype="20" unbalanced="0"/>
    <cacheHierarchy uniqueName="[ITSecondTable].[AQty]" caption="AQty" attribute="1" defaultMemberUniqueName="[ITSecondTable].[AQty].[All]" allUniqueName="[ITSecondTable].[AQty].[All]" dimensionUniqueName="[ITSecondTable]" displayFolder="" count="0" memberValueDatatype="20" unbalanced="0"/>
    <cacheHierarchy uniqueName="[ITSecondTable].[BQty]" caption="BQty" attribute="1" defaultMemberUniqueName="[ITSecondTable].[BQty].[All]" allUniqueName="[ITSecondTable].[BQty].[All]" dimensionUniqueName="[ITSecondTable]" displayFolder="" count="0" memberValueDatatype="20" unbalanced="0"/>
    <cacheHierarchy uniqueName="[ITSecondTable].[UQty]" caption="UQty" attribute="1" defaultMemberUniqueName="[ITSecondTable].[UQty].[All]" allUniqueName="[ITSecondTable].[UQty].[All]" dimensionUniqueName="[ITSecondTable]" displayFolder="" count="0" memberValueDatatype="20" unbalanced="0"/>
    <cacheHierarchy uniqueName="[ITSecondTable].[XQty]" caption="XQty" attribute="1" defaultMemberUniqueName="[ITSecondTable].[XQty].[All]" allUniqueName="[ITSecondTable].[XQty].[All]" dimensionUniqueName="[ITSecondTable]" displayFolder="" count="0" memberValueDatatype="20" unbalanced="0"/>
    <cacheHierarchy uniqueName="[ITSecondTable].[Tag]" caption="Tag" attribute="1" defaultMemberUniqueName="[ITSecondTable].[Tag].[All]" allUniqueName="[ITSecondTable].[Tag].[All]" dimensionUniqueName="[ITSecondTable]" displayFolder="" count="0" memberValueDatatype="130" unbalanced="0"/>
    <cacheHierarchy uniqueName="[ITSecondTable].[IsCounted]" caption="IsCounted" attribute="1" defaultMemberUniqueName="[ITSecondTable].[IsCounted].[All]" allUniqueName="[ITSecondTable].[IsCounted].[All]" dimensionUniqueName="[ITSecondTable]" displayFolder="" count="0" memberValueDatatype="11" unbalanced="0"/>
    <cacheHierarchy uniqueName="[ITSecondTable].[DuplicateSerial]" caption="DuplicateSerial" attribute="1" defaultMemberUniqueName="[ITSecondTable].[DuplicateSerial].[All]" allUniqueName="[ITSecondTable].[DuplicateSerial].[All]" dimensionUniqueName="[ITSecondTable]" displayFolder="" count="0" memberValueDatatype="11" unbalanced="0"/>
    <cacheHierarchy uniqueName="[ITSecondTable].[DuplicateName]" caption="DuplicateName" attribute="1" defaultMemberUniqueName="[ITSecondTable].[DuplicateName].[All]" allUniqueName="[ITSecondTable].[DuplicateName].[All]" dimensionUniqueName="[ITSecondTable]" displayFolder="" count="0" memberValueDatatype="11" unbalanced="0"/>
    <cacheHierarchy uniqueName="[ITSecondTable].[DuplicateIP]" caption="DuplicateIP" attribute="1" defaultMemberUniqueName="[ITSecondTable].[DuplicateIP].[All]" allUniqueName="[ITSecondTable].[DuplicateIP].[All]" dimensionUniqueName="[ITSecondTable]" displayFolder="" count="0" memberValueDatatype="11" unbalanced="0"/>
    <cacheHierarchy uniqueName="[ModelCount].[Tag]" caption="Tag" attribute="1" defaultMemberUniqueName="[ModelCount].[Tag].[All]" allUniqueName="[ModelCount].[Tag].[All]" dimensionUniqueName="[ModelCount]" displayFolder="" count="0" memberValueDatatype="130" unbalanced="0"/>
    <cacheHierarchy uniqueName="[ModelCount].[Type]" caption="Type" attribute="1" defaultMemberUniqueName="[ModelCount].[Type].[All]" allUniqueName="[ModelCount].[Type].[All]" dimensionUniqueName="[ModelCount]" displayFolder="" count="0" memberValueDatatype="130" unbalanced="0"/>
    <cacheHierarchy uniqueName="[ModelCount].[Brand]" caption="Brand" attribute="1" defaultMemberUniqueName="[ModelCount].[Brand].[All]" allUniqueName="[ModelCount].[Brand].[All]" dimensionUniqueName="[ModelCount]" displayFolder="" count="0" memberValueDatatype="130" unbalanced="0"/>
    <cacheHierarchy uniqueName="[ModelCount].[Model]" caption="Model" attribute="1" defaultMemberUniqueName="[ModelCount].[Model].[All]" allUniqueName="[ModelCount].[Model].[All]" dimensionUniqueName="[ModelCount]" displayFolder="" count="0" memberValueDatatype="130" unbalanced="0"/>
    <cacheHierarchy uniqueName="[ModelCount].[Count Total]" caption="Count Total" attribute="1" defaultMemberUniqueName="[ModelCount].[Count Total].[All]" allUniqueName="[ModelCount].[Count Total].[All]" dimensionUniqueName="[ModelCount]" displayFolder="" count="0" memberValueDatatype="20" unbalanced="0"/>
    <cacheHierarchy uniqueName="[ModelCount].[Serialized Total]" caption="Serialized Total" attribute="1" defaultMemberUniqueName="[ModelCount].[Serialized Total].[All]" allUniqueName="[ModelCount].[Serialized Total].[All]" dimensionUniqueName="[ModelCount]" displayFolder="" count="0" memberValueDatatype="20" unbalanced="0"/>
    <cacheHierarchy uniqueName="[ModelCount].[Total In Use]" caption="Total In Use" attribute="1" defaultMemberUniqueName="[ModelCount].[Total In Use].[All]" allUniqueName="[ModelCount].[Total In Use].[All]" dimensionUniqueName="[ModelCount]" displayFolder="" count="0" memberValueDatatype="20" unbalanced="0"/>
    <cacheHierarchy uniqueName="[ModelCount].[IsValidMatch]" caption="IsValidMatch" attribute="1" defaultMemberUniqueName="[ModelCount].[IsValidMatch].[All]" allUniqueName="[ModelCount].[IsValidMatch].[All]" dimensionUniqueName="[ModelCount]" displayFolder="" count="0" memberValueDatatype="11" unbalanced="0"/>
    <cacheHierarchy uniqueName="[ModelCount].[Blanks]" caption="Blanks" attribute="1" defaultMemberUniqueName="[ModelCount].[Blanks].[All]" allUniqueName="[ModelCount].[Blanks].[All]" dimensionUniqueName="[ModelCount]" displayFolder="" count="0" memberValueDatatype="20" unbalanced="0"/>
    <cacheHierarchy uniqueName="[ModelCount].[Is Placeholder]" caption="Is Placeholder" attribute="1" defaultMemberUniqueName="[ModelCount].[Is Placeholder].[All]" allUniqueName="[ModelCount].[Is Placeholder].[All]" dimensionUniqueName="[ModelCount]" displayFolder="" count="0" memberValueDatatype="11" unbalanced="0"/>
    <cacheHierarchy uniqueName="[ModelCount].[TQty]" caption="TQty" attribute="1" defaultMemberUniqueName="[ModelCount].[TQty].[All]" allUniqueName="[ModelCount].[TQty].[All]" dimensionUniqueName="[ModelCount]" displayFolder="" count="0" memberValueDatatype="20" unbalanced="0"/>
    <cacheHierarchy uniqueName="[RemoveFromAD].[computer.cn]" caption="computer.cn" attribute="1" defaultMemberUniqueName="[RemoveFromAD].[computer.cn].[All]" allUniqueName="[RemoveFromAD].[computer.cn].[All]" dimensionUniqueName="[RemoveFromAD]" displayFolder="" count="0" memberValueDatatype="130" unbalanced="0"/>
    <cacheHierarchy uniqueName="[RemoveFromAD].[displayName]" caption="displayName" attribute="1" defaultMemberUniqueName="[RemoveFromAD].[displayName].[All]" allUniqueName="[RemoveFromAD].[displayName].[All]" dimensionUniqueName="[RemoveFromAD]" displayFolder="" count="0" memberValueDatatype="130" unbalanced="0"/>
    <cacheHierarchy uniqueName="[RemoveFromAD].[computer.operatingSystem]" caption="computer.operatingSystem" attribute="1" defaultMemberUniqueName="[RemoveFromAD].[computer.operatingSystem].[All]" allUniqueName="[RemoveFromAD].[computer.operatingSystem].[All]" dimensionUniqueName="[RemoveFromAD]" displayFolder="" count="0" memberValueDatatype="130" unbalanced="0"/>
    <cacheHierarchy uniqueName="[RemoveFromAD].[computer.operatingSystemVersion]" caption="computer.operatingSystemVersion" attribute="1" defaultMemberUniqueName="[RemoveFromAD].[computer.operatingSystemVersion].[All]" allUniqueName="[RemoveFromAD].[computer.operatingSystemVersion].[All]" dimensionUniqueName="[RemoveFromAD]" displayFolder="" count="0" memberValueDatatype="130" unbalanced="0"/>
    <cacheHierarchy uniqueName="[RemoveFromAD].[computer.mitHomeCode]" caption="computer.mitHomeCode" attribute="1" defaultMemberUniqueName="[RemoveFromAD].[computer.mitHomeCode].[All]" allUniqueName="[RemoveFromAD].[computer.mitHomeCode].[All]" dimensionUniqueName="[RemoveFromAD]" displayFolder="" count="0" memberValueDatatype="130" unbalanced="0"/>
    <cacheHierarchy uniqueName="[RemoveFromAD].[distinguishedName]" caption="distinguishedName" attribute="1" defaultMemberUniqueName="[RemoveFromAD].[distinguishedName].[All]" allUniqueName="[RemoveFromAD].[distinguishedName].[All]" dimensionUniqueName="[RemoveFromAD]" displayFolder="" count="0" memberValueDatatype="130" unbalanced="0"/>
    <cacheHierarchy uniqueName="[UnusedIndexQty].[UnusedIndexQty]" caption="UnusedIndexQty" attribute="1" defaultMemberUniqueName="[UnusedIndexQty].[UnusedIndexQty].[All]" allUniqueName="[UnusedIndexQty].[UnusedIndexQty].[All]" dimensionUniqueName="[UnusedIndexQty]" displayFolder="" count="0" memberValueDatatype="5" unbalanced="0"/>
    <cacheHierarchy uniqueName="[UnusedIndices].[Index]" caption="Index" attribute="1" defaultMemberUniqueName="[UnusedIndices].[Index].[All]" allUniqueName="[UnusedIndices].[Index].[All]" dimensionUniqueName="[UnusedIndices]" displayFolder="" count="0" memberValueDatatype="20" unbalanced="0"/>
    <cacheHierarchy uniqueName="[VNCTable].[Name]" caption="Name" attribute="1" defaultMemberUniqueName="[VNCTable].[Name].[All]" allUniqueName="[VNCTable].[Name].[All]" dimensionUniqueName="[VNCTable]" displayFolder="" count="0" memberValueDatatype="130" unbalanced="0"/>
    <cacheHierarchy uniqueName="[VNCTable].[LocLookup]" caption="LocLookup" attribute="1" defaultMemberUniqueName="[VNCTable].[LocLookup].[All]" allUniqueName="[VNCTable].[LocLookup].[All]" dimensionUniqueName="[VNCTable]" displayFolder="" count="0" memberValueDatatype="130" unbalanced="0"/>
    <cacheHierarchy uniqueName="[VNCTable].[IP]" caption="IP" attribute="1" defaultMemberUniqueName="[VNCTable].[IP].[All]" allUniqueName="[VNCTable].[IP].[All]" dimensionUniqueName="[VNCTable]" displayFolder="" count="0" memberValueDatatype="130" unbalanced="0"/>
    <cacheHierarchy uniqueName="[VNCTable].[NameLookup]" caption="NameLookup" attribute="1" defaultMemberUniqueName="[VNCTable].[NameLookup].[All]" allUniqueName="[VNCTable].[NameLookup].[All]" dimensionUniqueName="[VNCTable]" displayFolder="" count="0" memberValueDatatype="130" unbalanced="0"/>
    <cacheHierarchy uniqueName="[VNCTable].[ClientName]" caption="ClientName" attribute="1" defaultMemberUniqueName="[VNCTable].[ClientName].[All]" allUniqueName="[VNCTable].[ClientName].[All]" dimensionUniqueName="[VNCTable]" displayFolder="" count="0" memberValueDatatype="130" unbalanced="0"/>
    <cacheHierarchy uniqueName="[VNCTable].[IPLookup]" caption="IPLookup" attribute="1" defaultMemberUniqueName="[VNCTable].[IPLookup].[All]" allUniqueName="[VNCTable].[IPLookup].[All]" dimensionUniqueName="[VNCTable]" displayFolder="" count="0" memberValueDatatype="130" unbalanced="0"/>
    <cacheHierarchy uniqueName="[VNCTable].[Folder]" caption="Folder" attribute="1" defaultMemberUniqueName="[VNCTable].[Folder].[All]" allUniqueName="[VNCTable].[Folder].[All]" dimensionUniqueName="[VNCTable]" displayFolder="" count="0" memberValueDatatype="130" unbalanced="0"/>
    <cacheHierarchy uniqueName="[VNCTable].[Workstation]" caption="Workstation" attribute="1" defaultMemberUniqueName="[VNCTable].[Workstation].[All]" allUniqueName="[VNCTable].[Workstation].[All]" dimensionUniqueName="[VNCTable]" displayFolder="" count="0" memberValueDatatype="130" unbalanced="0"/>
    <cacheHierarchy uniqueName="[VNCTable].[MDSolidatWS]" caption="MDSolidatWS" attribute="1" defaultMemberUniqueName="[VNCTable].[MDSolidatWS].[All]" allUniqueName="[VNCTable].[MDSolidatWS].[All]" dimensionUniqueName="[VNCTable]" displayFolder="" count="0" memberValueDatatype="130" unbalanced="0"/>
    <cacheHierarchy uniqueName="[VNCTable].[Win11]" caption="Win11" attribute="1" defaultMemberUniqueName="[VNCTable].[Win11].[All]" allUniqueName="[VNCTable].[Win11].[All]" dimensionUniqueName="[VNCTable]" displayFolder="" count="0" memberValueDatatype="20" unbalanced="0"/>
    <cacheHierarchy uniqueName="[VNCTable].[IoT]" caption="IoT" attribute="1" defaultMemberUniqueName="[VNCTable].[IoT].[All]" allUniqueName="[VNCTable].[IoT].[All]" dimensionUniqueName="[VNCTable]" displayFolder="" count="0" memberValueDatatype="11" unbalanced="0"/>
    <cacheHierarchy uniqueName="[Measures].[Sum of Key]" caption="Sum of Key" measure="1" displayFolder="" measureGroup="ITEquipmentTable" count="0"/>
    <cacheHierarchy uniqueName="[Measures].[__XL_Count DeviceTypes]" caption="__XL_Count DeviceTypes" measure="1" displayFolder="" measureGroup="DeviceTypes" count="0" hidden="1"/>
    <cacheHierarchy uniqueName="[Measures].[__XL_Count ModelCount]" caption="__XL_Count ModelCount" measure="1" displayFolder="" measureGroup="ModelCount" count="0" hidden="1"/>
    <cacheHierarchy uniqueName="[Measures].[__XL_Count BrandCount]" caption="__XL_Count BrandCount" measure="1" displayFolder="" measureGroup="BrandCount" count="0" hidden="1"/>
    <cacheHierarchy uniqueName="[Measures].[__XL_Count ITEquipmentTable]" caption="__XL_Count ITEquipmentTable" measure="1" displayFolder="" measureGroup="ITEquipmentTable" count="0" hidden="1"/>
    <cacheHierarchy uniqueName="[Measures].[__XL_Count ITSecondTable]" caption="__XL_Count ITSecondTable" measure="1" displayFolder="" measureGroup="ITSecondTable" count="0" hidden="1"/>
    <cacheHierarchy uniqueName="[Measures].[__XL_Count ActiveDirectoryComputers]" caption="__XL_Count ActiveDirectoryComputers" measure="1" displayFolder="" measureGroup="ActiveDirectoryComputers" count="0" hidden="1"/>
    <cacheHierarchy uniqueName="[Measures].[__XL_Count EmployeeTable]" caption="__XL_Count EmployeeTable" measure="1" displayFolder="" measureGroup="EmployeeTable" count="0" hidden="1"/>
    <cacheHierarchy uniqueName="[Measures].[__XL_Count ActualClients]" caption="__XL_Count ActualClients" measure="1" displayFolder="" measureGroup="ActualClients" count="0" hidden="1"/>
    <cacheHierarchy uniqueName="[Measures].[__XL_Count UnusedIndices]" caption="__XL_Count UnusedIndices" measure="1" displayFolder="" measureGroup="UnusedIndices" count="0" hidden="1"/>
    <cacheHierarchy uniqueName="[Measures].[__XL_Count ActiveDirectoryComputers 1]" caption="__XL_Count ActiveDirectoryComputers 1" measure="1" displayFolder="" measureGroup="ActiveDirectoryComputers 1" count="0" hidden="1"/>
    <cacheHierarchy uniqueName="[Measures].[__XL_Count RemoveFromAD]" caption="__XL_Count RemoveFromAD" measure="1" displayFolder="" measureGroup="RemoveFromAD" count="0" hidden="1"/>
    <cacheHierarchy uniqueName="[Measures].[__XL_Count UnusedIndexQty]" caption="__XL_Count UnusedIndexQty" measure="1" displayFolder="" measureGroup="UnusedIndexQty" count="0" hidden="1"/>
    <cacheHierarchy uniqueName="[Measures].[__XL_Count VNCTable]" caption="__XL_Count VNCTable" measure="1" displayFolder="" measureGroup="VNCTable" count="0" hidden="1"/>
    <cacheHierarchy uniqueName="[Measures].[__XL_Count IntuneData]" caption="__XL_Count IntuneData" measure="1" displayFolder="" measureGroup="IntuneData" count="0" hidden="1"/>
    <cacheHierarchy uniqueName="[Measures].[__No measures defined]" caption="__No measures defined" measure="1" displayFolder="" count="0" hidden="1"/>
    <cacheHierarchy uniqueName="[Measures].[Count of OS Version]" caption="Count of OS Version" measure="1" displayFolder="" measureGroup="ITEquipmentTable" count="0" oneField="1" hidden="1">
      <fieldsUsage count="1">
        <fieldUsage x="1"/>
      </fieldsUsage>
      <extLst>
        <ext xmlns:x15="http://schemas.microsoft.com/office/spreadsheetml/2010/11/main" uri="{B97F6D7D-B522-45F9-BDA1-12C45D357490}">
          <x15:cacheHierarchy aggregatedColumn="55"/>
        </ext>
      </extLst>
    </cacheHierarchy>
  </cacheHierarchies>
  <kpis count="0"/>
  <dimensions count="15">
    <dimension name="ActiveDirectoryComputers" uniqueName="[ActiveDirectoryComputers]" caption="ActiveDirectoryComputers"/>
    <dimension name="ActiveDirectoryComputers 1" uniqueName="[ActiveDirectoryComputers 1]" caption="ActiveDirectoryComputers 1"/>
    <dimension name="ActualClients" uniqueName="[ActualClients]" caption="ActualClients"/>
    <dimension name="BrandCount" uniqueName="[BrandCount]" caption="BrandCount"/>
    <dimension name="DeviceTypes" uniqueName="[DeviceTypes]" caption="DeviceTypes"/>
    <dimension name="EmployeeTable" uniqueName="[EmployeeTable]" caption="EmployeeTable"/>
    <dimension name="IntuneData" uniqueName="[IntuneData]" caption="IntuneData"/>
    <dimension name="ITEquipmentTable" uniqueName="[ITEquipmentTable]" caption="ITEquipmentTable"/>
    <dimension name="ITSecondTable" uniqueName="[ITSecondTable]" caption="ITSecondTable"/>
    <dimension measure="1" name="Measures" uniqueName="[Measures]" caption="Measures"/>
    <dimension name="ModelCount" uniqueName="[ModelCount]" caption="ModelCount"/>
    <dimension name="RemoveFromAD" uniqueName="[RemoveFromAD]" caption="RemoveFromAD"/>
    <dimension name="UnusedIndexQty" uniqueName="[UnusedIndexQty]" caption="UnusedIndexQty"/>
    <dimension name="UnusedIndices" uniqueName="[UnusedIndices]" caption="UnusedIndices"/>
    <dimension name="VNCTable" uniqueName="[VNCTable]" caption="VNCTable"/>
  </dimensions>
  <measureGroups count="14">
    <measureGroup name="ActiveDirectoryComputers" caption="ActiveDirectoryComputers"/>
    <measureGroup name="ActiveDirectoryComputers 1" caption="ActiveDirectoryComputers 1"/>
    <measureGroup name="ActualClients" caption="ActualClients"/>
    <measureGroup name="BrandCount" caption="BrandCount"/>
    <measureGroup name="DeviceTypes" caption="DeviceTypes"/>
    <measureGroup name="EmployeeTable" caption="EmployeeTable"/>
    <measureGroup name="IntuneData" caption="IntuneData"/>
    <measureGroup name="ITEquipmentTable" caption="ITEquipmentTable"/>
    <measureGroup name="ITSecondTable" caption="ITSecondTable"/>
    <measureGroup name="ModelCount" caption="ModelCount"/>
    <measureGroup name="RemoveFromAD" caption="RemoveFromAD"/>
    <measureGroup name="UnusedIndexQty" caption="UnusedIndexQty"/>
    <measureGroup name="UnusedIndices" caption="UnusedIndices"/>
    <measureGroup name="VNCTable" caption="VNCTable"/>
  </measureGroups>
  <maps count="15">
    <map measureGroup="0" dimension="0"/>
    <map measureGroup="1" dimension="1"/>
    <map measureGroup="2" dimension="2"/>
    <map measureGroup="3" dimension="3"/>
    <map measureGroup="4" dimension="4"/>
    <map measureGroup="5" dimension="5"/>
    <map measureGroup="6" dimension="6"/>
    <map measureGroup="7" dimension="1"/>
    <map measureGroup="7" dimension="7"/>
    <map measureGroup="8" dimension="8"/>
    <map measureGroup="9" dimension="10"/>
    <map measureGroup="10" dimension="11"/>
    <map measureGroup="11"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5A09DC-CDC7-4C47-838A-40E9FC9418C4}" name="PivotTable1" cacheId="9" applyNumberFormats="0" applyBorderFormats="0" applyFontFormats="0" applyPatternFormats="0" applyAlignmentFormats="0" applyWidthHeightFormats="1" dataCaption="Values" errorCaption="ERR" showError="1" missingCaption="NULL" updatedVersion="8" minRefreshableVersion="3" useAutoFormatting="1" fieldPrintTitles="1" itemPrintTitles="1" mergeItem="1" createdVersion="8" indent="0" fieldListSortAscending="1">
  <location ref="K3:L70" firstHeaderRow="1" firstDataRow="1" firstDataCol="1" rowPageCount="1" colPageCount="1"/>
  <pivotFields count="5">
    <pivotField axis="axisPage" allDrilled="1" subtotalTop="0" showAll="0" dataSourceSort="1" defaultAttributeDrillState="1">
      <items count="1">
        <item t="default"/>
      </items>
    </pivotField>
    <pivotField dataField="1" subtotalTop="0" showAll="0"/>
    <pivotField axis="axisRow" allDrilled="1" subtotalTop="0" showAll="0" dataSourceSort="1" defaultAttributeDrillState="1">
      <items count="6">
        <item x="0"/>
        <item x="1"/>
        <item x="2"/>
        <item x="3"/>
        <item x="4"/>
        <item t="default"/>
      </items>
    </pivotField>
    <pivotField axis="axisRow" allDrilled="1" subtotalTop="0" showAll="0" dataSourceSort="1" defaultAttributeDrillState="1">
      <items count="8">
        <item s="1" x="0"/>
        <item s="1" x="1" e="0"/>
        <item s="1" x="2" e="0"/>
        <item s="1" x="3"/>
        <item s="1" x="4" e="0"/>
        <item s="1" x="5"/>
        <item s="1" x="6" e="0"/>
        <item t="default"/>
      </items>
    </pivotField>
    <pivotField axis="axisRow" allDrilled="1" subtotalTop="0" showAll="0" dataSourceSort="1" defaultAttributeDrillState="1">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t="default"/>
      </items>
    </pivotField>
  </pivotFields>
  <rowFields count="3">
    <field x="3"/>
    <field x="2"/>
    <field x="4"/>
  </rowFields>
  <rowItems count="67">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t="default" r="1">
      <x/>
    </i>
    <i t="default">
      <x/>
    </i>
    <i>
      <x v="1"/>
    </i>
    <i>
      <x v="2"/>
    </i>
    <i>
      <x v="3"/>
    </i>
    <i r="1">
      <x v="1"/>
    </i>
    <i r="2">
      <x v="26"/>
    </i>
    <i t="default" r="1">
      <x v="1"/>
    </i>
    <i r="1">
      <x v="2"/>
    </i>
    <i r="2">
      <x v="27"/>
    </i>
    <i t="default" r="1">
      <x v="2"/>
    </i>
    <i r="1">
      <x/>
    </i>
    <i r="2">
      <x v="28"/>
    </i>
    <i r="2">
      <x v="29"/>
    </i>
    <i r="2">
      <x v="30"/>
    </i>
    <i r="2">
      <x v="31"/>
    </i>
    <i r="2">
      <x v="32"/>
    </i>
    <i r="2">
      <x v="33"/>
    </i>
    <i t="default" r="1">
      <x/>
    </i>
    <i t="default">
      <x v="3"/>
    </i>
    <i>
      <x v="4"/>
    </i>
    <i>
      <x v="5"/>
    </i>
    <i r="1">
      <x v="3"/>
    </i>
    <i r="2">
      <x v="34"/>
    </i>
    <i r="2">
      <x v="35"/>
    </i>
    <i r="2">
      <x v="36"/>
    </i>
    <i r="2">
      <x v="37"/>
    </i>
    <i r="2">
      <x v="38"/>
    </i>
    <i t="default" r="1">
      <x v="3"/>
    </i>
    <i r="1">
      <x v="4"/>
    </i>
    <i r="2">
      <x v="39"/>
    </i>
    <i r="2">
      <x v="40"/>
    </i>
    <i r="2">
      <x v="41"/>
    </i>
    <i r="2">
      <x v="42"/>
    </i>
    <i r="2">
      <x v="43"/>
    </i>
    <i t="default" r="1">
      <x v="4"/>
    </i>
    <i t="default">
      <x v="5"/>
    </i>
    <i>
      <x v="6"/>
    </i>
    <i t="grand">
      <x/>
    </i>
  </rowItems>
  <colItems count="1">
    <i/>
  </colItems>
  <pageFields count="1">
    <pageField fld="0" hier="42" name="[ITEquipmentTable].[Type].&amp;[Laptop]" cap="Laptop"/>
  </pageFields>
  <dataFields count="1">
    <dataField name="Count of OS Version" fld="1" subtotal="count" baseField="0" baseItem="0"/>
  </dataFields>
  <pivotHierarchies count="120">
    <pivotHierarchy dragToData="1"/>
    <pivotHierarchy dragToData="1"/>
    <pivotHierarchy dragToData="1"/>
    <pivotHierarchy dragToData="1"/>
    <pivotHierarchy dragToData="1"/>
    <pivotHierarchy dragToData="1"/>
    <pivotHierarchy dragToData="1"/>
    <pivotHierarchy dragToData="1"/>
    <pivotHierarchy dragToData="1">
      <members count="17" level="1">
        <member name="[ActiveDirectoryComputers 1].[computer.operatingSystem].&amp;[SLES]"/>
        <member name="[ActiveDirectoryComputers 1].[computer.operatingSystem].&amp;[unknown]"/>
        <member name=""/>
        <member name=""/>
        <member name=""/>
        <member name=""/>
        <member name="[ActiveDirectoryComputers 1].[computer.operatingSystem].&amp;[Windows 11 Enterprise N]"/>
        <member name=""/>
        <member name="[ActiveDirectoryComputers 1].[computer.operatingSystem].&amp;[Windows Server 2016 Standard]"/>
        <member name="[ActiveDirectoryComputers 1].[computer.operatingSystem].&amp;[Windows Server 2019 Standard]"/>
        <member name="[ActiveDirectoryComputers 1].[computer.operatingSystem].&amp;[Windows Server 2022 Standard]"/>
        <member name=""/>
        <member name=""/>
        <member name=""/>
        <member name="[ActiveDirectoryComputers 1].[computer.operatingSystem].&amp;[Windows 11 Pro for Workstations]"/>
        <member name="[ActiveDirectoryComputers 1].[computer.operatingSystem].&amp;[Windows Server 2008 R2 Standard]"/>
        <member name="[ActiveDirectoryComputers 1].[computer.operatingSystem].&amp;[Windows Server 2012 R2 Standard]"/>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ITEquipmentTable].[Type].&amp;[Laptop]"/>
        <member name="[ITEquipmentTable].[Type].&amp;[Tablet]"/>
        <member name="[ITEquipmentTable].[Type].&amp;[Deskto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3">
    <rowHierarchyUsage hierarchyUsage="8"/>
    <rowHierarchyUsage hierarchyUsage="9"/>
    <rowHierarchyUsage hierarchyUsage="53"/>
  </rowHierarchiesUsage>
  <extLst>
    <ext xmlns:x14="http://schemas.microsoft.com/office/spreadsheetml/2009/9/main" uri="{962EF5D1-5CA2-4c93-8EF4-DBF5C05439D2}">
      <x14:pivotTableDefinition xmlns:xm="http://schemas.microsoft.com/office/excel/2006/main" calculatedMembersInFilters="1"/>
    </ext>
    <ext xmlns:x15="http://schemas.microsoft.com/office/spreadsheetml/2010/11/main" uri="{E67621CE-5B39-4880-91FE-76760E9C1902}">
      <x15:pivotTableUISettings>
        <x15:activeTabTopLevelEntity name="[ITEquipmentTable]"/>
        <x15:activeTabTopLevelEntity name="[ActualClients]"/>
        <x15:activeTabTopLevelEntity name="[ActiveDirectoryComputers]"/>
        <x15:activeTabTopLevelEntity name="[ActiveDirectoryComputers 1]"/>
      </x15:pivotTableUISettings>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F489B6DD-20A4-4B4D-ABDE-275F14517B2C}" autoFormatId="16" applyNumberFormats="0" applyBorderFormats="0" applyFontFormats="0" applyPatternFormats="0" applyAlignmentFormats="0" applyWidthHeightFormats="0">
  <queryTableRefresh nextId="4">
    <queryTableFields count="3">
      <queryTableField id="1" name="ID" tableColumnId="1"/>
      <queryTableField id="2" name="name" tableColumnId="2"/>
      <queryTableField id="3" name="Active" tableColumnId="3"/>
    </queryTableFields>
  </queryTableRefresh>
  <extLst>
    <ext xmlns:x15="http://schemas.microsoft.com/office/spreadsheetml/2010/11/main" uri="{883FBD77-0823-4a55-B5E3-86C4891E6966}">
      <x15:queryTable sourceDataName="Query - EmployeeTable"/>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F87A3D3D-DDD7-4720-B774-55C33280654A}" autoFormatId="16" applyNumberFormats="0" applyBorderFormats="0" applyFontFormats="0" applyPatternFormats="0" applyAlignmentFormats="0" applyWidthHeightFormats="0">
  <queryTableRefresh nextId="19" unboundColumnsRight="3">
    <queryTableFields count="9">
      <queryTableField id="2" name="computer.cn" tableColumnId="2"/>
      <queryTableField id="1" name="displayName" tableColumnId="1"/>
      <queryTableField id="10" name="computer.operatingSystem" tableColumnId="10"/>
      <queryTableField id="11" name="computer.operatingSystemVersion" tableColumnId="11"/>
      <queryTableField id="3" name="computer.mitHomeCode" tableColumnId="3"/>
      <queryTableField id="16" name="distinguishedName" tableColumnId="5"/>
      <queryTableField id="15" dataBound="0" tableColumnId="4"/>
      <queryTableField id="17" dataBound="0" tableColumnId="6"/>
      <queryTableField id="18" dataBound="0" tableColumnId="7"/>
    </queryTableFields>
  </queryTableRefresh>
  <extLst>
    <ext xmlns:x15="http://schemas.microsoft.com/office/spreadsheetml/2010/11/main" uri="{883FBD77-0823-4a55-B5E3-86C4891E6966}">
      <x15:queryTable sourceDataName="Query - ActiveDirectoryComputer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3" xr16:uid="{8A32A8E1-15AA-456E-A1B5-19068540585A}" autoFormatId="16" applyNumberFormats="0" applyBorderFormats="0" applyFontFormats="0" applyPatternFormats="0" applyAlignmentFormats="0" applyWidthHeightFormats="0">
  <queryTableRefresh nextId="16">
    <queryTableFields count="11">
      <queryTableField id="1" name="Name" tableColumnId="1"/>
      <queryTableField id="6" name="LocLookup" tableColumnId="5"/>
      <queryTableField id="2" name="IP" tableColumnId="2"/>
      <queryTableField id="7" name="NameLookup" tableColumnId="6"/>
      <queryTableField id="3" name="ClientName" tableColumnId="3"/>
      <queryTableField id="8" name="IPLookup" tableColumnId="7"/>
      <queryTableField id="4" name="Folder" tableColumnId="4"/>
      <queryTableField id="9" name="Workstation" tableColumnId="8"/>
      <queryTableField id="10" name="MDSolidatWS" tableColumnId="9"/>
      <queryTableField id="11" name="Win11" tableColumnId="10"/>
      <queryTableField id="12" name="IoT" tableColumnId="11"/>
    </queryTableFields>
  </queryTableRefresh>
  <extLst>
    <ext xmlns:x15="http://schemas.microsoft.com/office/spreadsheetml/2010/11/main" uri="{883FBD77-0823-4a55-B5E3-86C4891E6966}">
      <x15:queryTable sourceDataName="Query - VNCTable"/>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4" xr16:uid="{81EB651C-FCDF-421E-A7BB-A0A7E0563FBA}" autoFormatId="16" applyNumberFormats="0" applyBorderFormats="0" applyFontFormats="0" applyPatternFormats="0" applyAlignmentFormats="0" applyWidthHeightFormats="0">
  <queryTableRefresh nextId="15" unboundColumnsRight="1">
    <queryTableFields count="14">
      <queryTableField id="1" name="Device name" tableColumnId="1"/>
      <queryTableField id="2" name="Enrollment date" tableColumnId="2"/>
      <queryTableField id="3" name="Last check-in" tableColumnId="3"/>
      <queryTableField id="4" name="OS version" tableColumnId="4"/>
      <queryTableField id="5" name="Serial number" tableColumnId="5"/>
      <queryTableField id="6" name="Manufacturer" tableColumnId="6"/>
      <queryTableField id="7" name="Model" tableColumnId="7"/>
      <queryTableField id="8" name="Compliance grace period expiration" tableColumnId="8"/>
      <queryTableField id="9" name="Primary user email address" tableColumnId="9"/>
      <queryTableField id="10" name="Primary user display name" tableColumnId="10"/>
      <queryTableField id="11" name="WiFiIPv4Address" tableColumnId="11"/>
      <queryTableField id="12" name="WiFiSubnetID" tableColumnId="12"/>
      <queryTableField id="13" name="Compliance" tableColumnId="13"/>
      <queryTableField id="14" dataBound="0" tableColumnId="14"/>
    </queryTableFields>
  </queryTableRefresh>
  <extLst>
    <ext xmlns:x15="http://schemas.microsoft.com/office/spreadsheetml/2010/11/main" uri="{883FBD77-0823-4a55-B5E3-86C4891E6966}">
      <x15:queryTable sourceDataName="Query - IntuneData"/>
    </ext>
  </extLst>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3</v>
    <v>8</v>
    <v>3</v>
    <v>5</v>
  </rv>
</rvData>
</file>

<file path=xl/richData/rdrichvaluestructure.xml><?xml version="1.0" encoding="utf-8"?>
<rvStructures xmlns="http://schemas.microsoft.com/office/spreadsheetml/2017/richdata" count="1">
  <s t="_error">
    <k n="colOffset" t="i"/>
    <k n="errorType" t="i"/>
    <k n="rwOffset"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8F7F69C6-590F-4741-927D-D5C1C9E8804E}" sourceName="Type">
  <extLst>
    <x:ext xmlns:x15="http://schemas.microsoft.com/office/spreadsheetml/2010/11/main" uri="{2F2917AC-EB37-4324-AD4E-5DD8C200BD13}">
      <x15:tableSlicerCache tableId="3"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S_Version" xr10:uid="{8195E223-315F-4D89-82FD-FB55209D213D}" sourceName="OS Version">
  <extLst>
    <x:ext xmlns:x15="http://schemas.microsoft.com/office/spreadsheetml/2010/11/main" uri="{2F2917AC-EB37-4324-AD4E-5DD8C200BD13}">
      <x15:tableSlicerCache tableId="3" column="15"/>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age_Location" xr10:uid="{9EE5DD04-C52F-4A57-A812-F238B3F06CCA}" sourceName="Storage Location">
  <extLst>
    <x:ext xmlns:x15="http://schemas.microsoft.com/office/spreadsheetml/2010/11/main" uri="{2F2917AC-EB37-4324-AD4E-5DD8C200BD13}">
      <x15:tableSlicerCache tableId="3" column="6"/>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igned_Location" xr10:uid="{3E449C3A-EC02-417B-9393-D19BB6014D3F}" sourceName="Assigned Location">
  <extLst>
    <x:ext xmlns:x15="http://schemas.microsoft.com/office/spreadsheetml/2010/11/main" uri="{2F2917AC-EB37-4324-AD4E-5DD8C200BD13}">
      <x15:tableSlicerCache tableId="3" column="10"/>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 xr10:uid="{C348FE73-1DF2-469B-8BBA-53A49841EDE5}" sourceName="Brand">
  <extLst>
    <x:ext xmlns:x15="http://schemas.microsoft.com/office/spreadsheetml/2010/11/main" uri="{2F2917AC-EB37-4324-AD4E-5DD8C200BD13}">
      <x15:tableSlicerCache tableId="3"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 xr10:uid="{0DE1E5EE-B4FE-43A2-BDBB-DB956359FA44}" sourceName="Model">
  <extLst>
    <x:ext xmlns:x15="http://schemas.microsoft.com/office/spreadsheetml/2010/11/main" uri="{2F2917AC-EB37-4324-AD4E-5DD8C200BD13}">
      <x15:tableSlicerCache tableId="3"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edsRepair" xr10:uid="{9BD47872-D671-4640-9289-697121F6B0BA}" sourceName="NeedsRepair">
  <extLst>
    <x:ext xmlns:x15="http://schemas.microsoft.com/office/spreadsheetml/2010/11/main" uri="{2F2917AC-EB37-4324-AD4E-5DD8C200BD13}">
      <x15:tableSlicerCache tableId="3" column="13"/>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dition" xr10:uid="{42CD1AA1-4C91-41C8-A60C-5812A8505077}" sourceName="Condition">
  <extLst>
    <x:ext xmlns:x15="http://schemas.microsoft.com/office/spreadsheetml/2010/11/main" uri="{2F2917AC-EB37-4324-AD4E-5DD8C200BD13}">
      <x15:tableSlicerCache tableId="3" column="11"/>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tes" xr10:uid="{D6F75116-AA76-4B88-8E74-C6D2F1F881D9}" sourceName="Notes">
  <extLst>
    <x:ext xmlns:x15="http://schemas.microsoft.com/office/spreadsheetml/2010/11/main" uri="{2F2917AC-EB37-4324-AD4E-5DD8C200BD13}">
      <x15:tableSlicerCache tableId="3"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5F3B7EED-9D45-4791-99C6-2A712CC9A56C}" cache="Slicer_Type" caption="Type" rowHeight="247650"/>
  <slicer name="OS Version" xr10:uid="{A7437267-8EE9-48A6-A5A3-BF999EAD99E1}" cache="Slicer_OS_Version" caption="OS Version" rowHeight="247650"/>
  <slicer name="Storage Location" xr10:uid="{9C11C9A1-80D1-480B-80ED-3D2AEDFEA9B8}" cache="Slicer_Storage_Location" caption="Storage Location" startItem="3" rowHeight="247650"/>
  <slicer name="Assigned Location" xr10:uid="{3B1181EF-FD7D-470B-B5CD-F95414305E5A}" cache="Slicer_Assigned_Location" caption="Assigned Location" startItem="81" rowHeight="247650"/>
  <slicer name="Brand" xr10:uid="{13B5B296-7D05-4973-85A0-8FF976D21033}" cache="Slicer_Brand" caption="Brand" rowHeight="247650"/>
  <slicer name="Model" xr10:uid="{E3C34DA4-BB20-4655-A265-5BCE247685C3}" cache="Slicer_Model" caption="Model" startItem="4" rowHeight="247650"/>
  <slicer name="NeedsRepair" xr10:uid="{9EED0219-D0B3-40F4-A36D-DAF97401BBB8}" cache="Slicer_NeedsRepair" caption="NeedsRepair" rowHeight="247650"/>
  <slicer name="Condition" xr10:uid="{3B9C8585-1EFA-4164-B892-D6A76AD97C05}" cache="Slicer_Condition" caption="Condition" startItem="22" rowHeight="247650"/>
  <slicer name="Notes" xr10:uid="{34303398-0E43-4D13-837D-F0F947921762}" cache="Slicer_Notes" caption="Notes" startItem="5" rowHeight="247650"/>
</slicers>
</file>

<file path=xl/tables/_rels/table2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1424411-8D69-451C-A131-7FF5AA7D2372}" name="KeyTable" displayName="KeyTable" ref="A2:R50" tableBorderDxfId="220">
  <tableColumns count="18">
    <tableColumn id="1" xr3:uid="{76068DAB-DC13-445B-857C-6BDE6792A5EF}" name="Cell Name" totalsRowLabel="Total" dataDxfId="219"/>
    <tableColumn id="10" xr3:uid="{7F57117A-3BC3-4A81-9ED4-DF1879D74C06}" name="StyleName" dataDxfId="218">
      <calculatedColumnFormula>KeyTable[[#This Row],[Class]]&amp;KeyTable[[#This Row],[Type]]</calculatedColumnFormula>
    </tableColumn>
    <tableColumn id="17" xr3:uid="{7EB90F7A-0B49-42FA-B346-EDC12516B994}" name="Class" dataDxfId="217" totalsRowDxfId="216"/>
    <tableColumn id="18" xr3:uid="{D2231085-8635-4719-ACB9-2A6FE34360B3}" name="Type" totalsRowDxfId="215"/>
    <tableColumn id="2" xr3:uid="{6D1D03BF-9E42-48E5-9D14-FCB08690EA7A}" name="Where Used" totalsRowDxfId="214"/>
    <tableColumn id="3" xr3:uid="{104032BF-985A-457B-B832-4433AB3EDBFC}" name="Typing Notes" totalsRowDxfId="213"/>
    <tableColumn id="4" xr3:uid="{DB8BFC11-B0D1-4846-A39C-C054A1119787}" name="Warnings" totalsRowDxfId="212"/>
    <tableColumn id="8" xr3:uid="{57BF9228-3F09-4079-ACFD-F5692E34A4C3}" name="Fmt Notes" totalsRowFunction="count" totalsRowDxfId="211"/>
    <tableColumn id="9" xr3:uid="{52CAA38C-101F-4454-9B7A-AEE3ED3DF879}" name="Font" dataDxfId="210" totalsRowDxfId="209" dataCellStyle="CalcCell">
      <calculatedColumnFormula array="1" xml:space="preserve"> IF( OR(RIGHT(KeyTable[[#This Row],[StyleName]], 4) = "Date", RIGHT(KeyTable[[#This Row],[StyleName]], 3) = "Val"), FontTable[Mono], FontTable[Body])</calculatedColumnFormula>
    </tableColumn>
    <tableColumn id="12" xr3:uid="{8CE7029C-941E-490F-8AF7-A660807E5881}" name="Fnt" dataDxfId="208" totalsRowDxfId="207"/>
    <tableColumn id="11" xr3:uid="{97705706-DD43-48D7-A714-6942BBA1BD45}" name="Base" dataDxfId="206" totalsRowDxfId="205"/>
    <tableColumn id="16" xr3:uid="{91C91811-BF5C-47BF-9544-301F1AD32EC9}" name="Pat" dataDxfId="204" totalsRowDxfId="203"/>
    <tableColumn id="13" xr3:uid="{9026655B-F047-4B16-9D83-46C4D12683B8}" name="BOv" dataDxfId="202" totalsRowDxfId="201"/>
    <tableColumn id="14" xr3:uid="{97D396DA-77C8-4EF1-ABB7-86BAAB20B0F4}" name="FOv" dataDxfId="200" totalsRowDxfId="199"/>
    <tableColumn id="15" xr3:uid="{D93B4D51-6EE6-4973-81E1-FBBFBCC42DFF}" name="POv" dataDxfId="198" totalsRowDxfId="197"/>
    <tableColumn id="5" xr3:uid="{3B9668E6-624A-46E5-B3D2-FFFE00082FEB}" name="BgClr" dataDxfId="196" totalsRowDxfId="195" dataCellStyle="CalcVal">
      <calculatedColumnFormula array="1">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calculatedColumnFormula>
    </tableColumn>
    <tableColumn id="6" xr3:uid="{479C343B-CBF8-4141-96F0-6C8702FBF17D}" name="TxClr" dataDxfId="194" totalsRowDxfId="193" dataCellStyle="CalcVal">
      <calculatedColumnFormula array="1">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calculatedColumnFormula>
    </tableColumn>
    <tableColumn id="7" xr3:uid="{4B487879-F9F5-4BFD-8760-E41888F50C6B}" name="PtClr" dataDxfId="192" totalsRowDxfId="191" dataCellStyle="CalcVal">
      <calculatedColumnFormula array="1" xml:space="preserve"> _xlfn.LET(  _xlpm.p, KeyTable[[#This Row],[Pat]],    _xlpm.o, KeyTable[[#This Row],[POv]],
_xlpm.use, NOT(ISBLANK(_xlpm.p)),
_xlpm.ov, _xlfn.IFS( _xlpm.o = "N", "",       _xlpm.o = "", "L80",       TRUE, _xlpm.o),
IF(_xlpm.use, _xlpm.p &amp; _xlpm.ov, ""))</calculatedColumnFormula>
    </tableColumn>
  </tableColumns>
  <tableStyleInfo name="InternalTable" showFirstColumn="1"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8B97F38-78AB-45EA-BFEA-0F54EA7A87AB}" name="LookupSampleTable" displayName="LookupSampleTable" ref="E59:G62" totalsRowCount="1">
  <tableColumns count="3">
    <tableColumn id="1" xr3:uid="{39355D74-341C-4CEE-9B1A-BB18F0C7A627}" name="LookupKey1" totalsRowLabel="Total:"/>
    <tableColumn id="2" xr3:uid="{D34B602B-F107-4881-B52E-6D0C3A556765}" name="LookupColumn2"/>
    <tableColumn id="3" xr3:uid="{D6F07BD5-B4E5-4FB1-9A46-95D1D5588CE9}" name="CalcColumn" totalsRowFunction="custom" totalsRowDxfId="190" dataCellStyle="CalcCell" totalsRowCellStyle="CalcHd">
      <calculatedColumnFormula>RIGHT(LookupSampleTable[[#This Row],[LookupColumn2]],5)</calculatedColumnFormula>
      <totalsRowFormula>COUNTIF(LookupSampleTable[CalcColumn],"Value") &amp; " Value"</totalsRowFormula>
    </tableColumn>
  </tableColumns>
  <tableStyleInfo name="LookupTable" showFirstColumn="1"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4862436-018E-40CC-B59B-9C83F5A69B9A}" name="ConitionalTable" displayName="ConitionalTable" ref="T2:W21">
  <tableColumns count="4">
    <tableColumn id="1" xr3:uid="{EC69CF64-4074-476A-B04E-5BE0C0379D56}" name="Column1" totalsRowLabel="Total"/>
    <tableColumn id="2" xr3:uid="{8AC56160-6459-4A0A-9342-990C97E0F2A3}" name="Column2"/>
    <tableColumn id="3" xr3:uid="{023FCC1E-0A81-41BB-B157-8DB56B8241E4}" name="Column3"/>
    <tableColumn id="4" xr3:uid="{8EACCDFE-5783-49AE-86F7-52700900A8F7}" name="Result" totalsRowFunction="count" dataDxfId="189">
      <calculatedColumnFormula array="1">AND(ConitionalTable[[#This Row],[Column1]]=BoolYes,ConitionalTable[[#This Row],[Column2]]&lt;&gt;"BadValue",OR(ConitionalTable[[#This Row],[Column3]]&gt;0, NOT(SampleOptionTable[UseCol3])))</calculatedColumnFormula>
    </tableColumn>
  </tableColumns>
  <tableStyleInfo name="LookupTable" showFirstColumn="0" showLastColumn="1"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1CDB7F9-3BE6-4567-AD15-1C963EFCE7E9}" name="SampleOptionTable" displayName="SampleOptionTable" ref="Y2:Y3" totalsRowShown="0" headerRowDxfId="188" dataDxfId="187" tableBorderDxfId="186">
  <tableColumns count="1">
    <tableColumn id="1" xr3:uid="{EBEEB104-485E-4066-A89C-BF60264C502F}" name="UseCol3" dataDxfId="185"/>
  </tableColumns>
  <tableStyleInfo name="InputTable"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CBD23DC-919A-4231-A108-94BB9F55D562}" name="IntSampleTable" displayName="IntSampleTable" ref="E65:G68" totalsRowCount="1">
  <tableColumns count="3">
    <tableColumn id="1" xr3:uid="{14D9F850-6742-4110-97CD-68E090508DFF}" name="Key1" totalsRowLabel="Total:"/>
    <tableColumn id="2" xr3:uid="{9DBCDB4A-AC76-4922-865B-C49ACB9F8168}" name="Internal2" totalsRowFunction="custom" dataDxfId="184">
      <totalsRowFormula>COUNTIF(IntSampleTable[Internal2],"")    &amp;     " Blank Cells"</totalsRowFormula>
    </tableColumn>
    <tableColumn id="3" xr3:uid="{F2CB2A44-808C-49EA-9140-07BAA4A60FA4}" name="CalcColumn3" totalsRowFunction="custom" dataDxfId="183" dataCellStyle="CalcVal" totalsRowCellStyle="CalcHd">
      <calculatedColumnFormula>1 /  VALUE(LEFT($F$68,1))</calculatedColumnFormula>
      <totalsRowFormula>"Total: "&amp; SUBTOTAL(109,IntSampleTable[CalcColumn3])*100 &amp;"%"</totalsRowFormula>
    </tableColumn>
  </tableColumns>
  <tableStyleInfo name="InternalTable" showFirstColumn="1" showLastColumn="1"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33934CE-686F-4988-BC24-951C1ECDE351}" name="QuerySampleTable" displayName="QuerySampleTable" ref="E71:G74" totalsRowCount="1">
  <tableColumns count="3">
    <tableColumn id="1" xr3:uid="{7A313683-44AB-47A6-8ABC-1C83577B1A6B}" name="QueryKey1" totalsRowLabel="Total:"/>
    <tableColumn id="2" xr3:uid="{9EF07AED-856A-4F07-A75D-D396829D1E92}" name="QueryColumn2" totalsRowFunction="custom">
      <totalsRowFormula>COUNTIF(QuerySampleTable[QueryColumn2],"* Error")&amp;" Error in Col"</totalsRowFormula>
    </tableColumn>
    <tableColumn id="3" xr3:uid="{9B6D6A2F-3BCF-4757-AE12-FE41C67BD4C5}" name="CalcColumn3" totalsRowFunction="custom" dataCellStyle="CalcCell" totalsRowCellStyle="CalcHd">
      <calculatedColumnFormula>QuerySampleTable[[#This Row],[QueryColumn2]]  = "Query Value"</calculatedColumnFormula>
      <totalsRowFormula>IF(_xlfn.XMATCH(FALSE, QuerySampleTable[CalcColumn3],0,1) &gt; 0,  "&gt;0  Falses in Column", "Column Good")</totalsRowFormula>
    </tableColumn>
  </tableColumns>
  <tableStyleInfo name="QueryTable" showFirstColumn="1" showLastColumn="1"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8A54CDB-0125-4038-911A-432100813CF3}" name="NewTable" displayName="NewTable" ref="E77:G80">
  <tableColumns count="3">
    <tableColumn id="1" xr3:uid="{B5DEA632-2684-44B4-8E1E-3DCB0DA0518A}" name="Column1" totalsRowLabel="Total" dataDxfId="182">
      <calculatedColumnFormula>4</calculatedColumnFormula>
    </tableColumn>
    <tableColumn id="2" xr3:uid="{134485BA-02AB-4EAC-957B-AC34B5356A49}" name="Column2" dataDxfId="181">
      <calculatedColumnFormula>4/NewTable[[#This Row],[Column1]]</calculatedColumnFormula>
    </tableColumn>
    <tableColumn id="3" xr3:uid="{C5C5FD05-190E-431D-ACF7-37F865730893}" name="Column3" totalsRowFunction="count"/>
  </tableColumns>
  <tableStyleInfo name="QueryTable" showFirstColumn="1" showLastColumn="1"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0CFEB45-3C0E-4BAD-B635-D4838357988F}" name="BoolTable" displayName="BoolTable" ref="A2:A4" totalsRowShown="0" headerRowDxfId="180" dataDxfId="179" tableBorderDxfId="178">
  <tableColumns count="1">
    <tableColumn id="1" xr3:uid="{05176BC8-1854-4480-8FA0-241B7288A519}" name="Bool" dataDxfId="177"/>
  </tableColumns>
  <tableStyleInfo name="InternalTable"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4A0CDA-7146-43CB-ABC8-75E582EC1F77}" name="BoolValueTable" displayName="BoolValueTable" ref="E3:F4" totalsRowShown="0" headerRowDxfId="176" dataDxfId="175" tableBorderDxfId="174" headerRowCellStyle="LkpHdKey" dataCellStyle="LkpKey">
  <tableColumns count="2">
    <tableColumn id="1" xr3:uid="{21F6AF6E-BC39-4E4D-96F8-2A8030E0361E}" name="Y" dataDxfId="173" dataCellStyle="LkpKey">
      <calculatedColumnFormula array="1">OFFSET( BoolName, 0, 0, 1, 1)</calculatedColumnFormula>
    </tableColumn>
    <tableColumn id="3" xr3:uid="{83460445-1457-46BA-8264-4B62AABBEE2F}" name="N" dataDxfId="172" dataCellStyle="LkpKey">
      <calculatedColumnFormula array="1">OFFSET( BoolName, 1, 0, 1, 1)</calculatedColumnFormula>
    </tableColumn>
  </tableColumns>
  <tableStyleInfo name="LookupTable" showFirstColumn="1"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ED86EB8-EDFC-40D7-91F1-801CCCF18F56}" name="YNTable" displayName="YNTable" ref="B2:B4" totalsRowShown="0" headerRowDxfId="171" dataDxfId="170">
  <tableColumns count="1">
    <tableColumn id="1" xr3:uid="{81DCCB68-E122-4508-B003-CA2A07871428}" name="YN" dataDxfId="169"/>
  </tableColumns>
  <tableStyleInfo name="InternalTable"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73A1C03-8985-4824-A1DD-3CE962890F2B}" name="YNValueTable" displayName="YNValueTable" ref="G3:H4" totalsRowShown="0" headerRowDxfId="168" dataDxfId="167" tableBorderDxfId="166" headerRowCellStyle="LkpHdKey" dataCellStyle="LkpKey">
  <tableColumns count="2">
    <tableColumn id="1" xr3:uid="{EA30E58B-0A29-4559-8833-A0D5373F57BC}" name="Y" dataDxfId="165" dataCellStyle="LkpKey">
      <calculatedColumnFormula>OFFSET( YNTable[], 0, 0, 1, 1)</calculatedColumnFormula>
    </tableColumn>
    <tableColumn id="2" xr3:uid="{1694A841-EFD0-42A1-8F8C-C4FF2FAB0707}" name="N" dataDxfId="164" dataCellStyle="LkpKey">
      <calculatedColumnFormula>OFFSET( YNTable[], 1, 0, 1, 1)</calculatedColumnFormula>
    </tableColumn>
  </tableColumns>
  <tableStyleInfo name="LookupTable"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2DA6A13-FA36-40A9-9798-22BB5C49BE71}" name="SizeOverrideTable" displayName="SizeOverrideTable" ref="J2:O3" totalsRowShown="0" dataDxfId="163" tableBorderDxfId="162">
  <tableColumns count="6">
    <tableColumn id="1" xr3:uid="{CE43395E-509B-4D9B-AEE6-3E667D174062}" name="Cell Title" dataDxfId="161"/>
    <tableColumn id="2" xr3:uid="{9B26D6EC-FDDF-4E71-A9C2-E86D018A2279}" name="Headers" dataDxfId="160"/>
    <tableColumn id="3" xr3:uid="{41F1A380-C2EE-499E-A8EB-894C73458495}" name="Cells" dataDxfId="159"/>
    <tableColumn id="4" xr3:uid="{03A9D671-23FC-45D7-AC5C-C176DD7C948D}" name="Sets Font" dataDxfId="158"/>
    <tableColumn id="5" xr3:uid="{9EA5D9D6-4C7D-4C49-9EC4-7320D66375FD}" name="Sets Fmt" dataDxfId="157"/>
    <tableColumn id="6" xr3:uid="{9BD9619D-860D-40AA-91FB-3F17BD285B88}" name="ChgNorm" dataDxfId="156"/>
  </tableColumns>
  <tableStyleInfo name="InternalTable" showFirstColumn="0" showLastColumn="0" showRowStripes="0"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A2A917F-C9B8-45EA-9FB2-EE31AA5C5E02}" name="FontTable" displayName="FontTable" ref="R2:U3" totalsRowShown="0" tableBorderDxfId="155">
  <tableColumns count="4">
    <tableColumn id="1" xr3:uid="{A5004194-60BB-433D-8E0E-0CF15C935043}" name="Heading" dataCellStyle="Normal"/>
    <tableColumn id="2" xr3:uid="{1393DE11-6B54-4717-B14B-6B5E72D45846}" name="Body" dataDxfId="154" dataCellStyle="Normal"/>
    <tableColumn id="3" xr3:uid="{96471B00-DE13-49DF-A453-FFA669FE7FF5}" name="Mono" dataCellStyle="xMono"/>
    <tableColumn id="4" xr3:uid="{DB125C5E-5FE8-410E-A6B1-7256D3DFA6AC}" name="Condensed" dataCellStyle="xCond"/>
  </tableColumns>
  <tableStyleInfo name="InternalTable"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5522422-FDBF-4EE1-ACDC-C6356B5E021C}" name="ErrorTable" displayName="ErrorTable" ref="A8:C15">
  <autoFilter ref="A8:C15" xr:uid="{35522422-FDBF-4EE1-ACDC-C6356B5E021C}">
    <filterColumn colId="0" hiddenButton="1"/>
    <filterColumn colId="1" hiddenButton="1"/>
    <filterColumn colId="2" hiddenButton="1"/>
  </autoFilter>
  <tableColumns count="3">
    <tableColumn id="1" xr3:uid="{3630D485-8FEF-4F8B-AA63-12AA2441D77B}" name="Error" totalsRowLabel="Total"/>
    <tableColumn id="2" xr3:uid="{7359E97B-CF32-4CC9-AC5B-A12A618EF849}" name="Value" totalsRowFunction="count"/>
    <tableColumn id="3" xr3:uid="{01457118-6349-40FB-8225-CFDBEBF40715}" name="Name"/>
  </tableColumns>
  <tableStyleInfo name="InternalTabl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3C7BD82-B032-4B36-8AD8-57EFE6ED1392}" name="TableTypeTable" displayName="TableTypeTable" ref="E8:H15" totalsRowShown="0" tableBorderDxfId="153">
  <autoFilter ref="E8:H15" xr:uid="{E3C7BD82-B032-4B36-8AD8-57EFE6ED1392}">
    <filterColumn colId="0" hiddenButton="1"/>
    <filterColumn colId="1" hiddenButton="1"/>
    <filterColumn colId="2" hiddenButton="1"/>
    <filterColumn colId="3" hiddenButton="1"/>
  </autoFilter>
  <tableColumns count="4">
    <tableColumn id="1" xr3:uid="{58E4AD85-173A-4FBC-A8C2-C4EE7BE78D5B}" name="Type"/>
    <tableColumn id="4" xr3:uid="{76892D63-CE48-44E6-87BE-A564150D6333}" name="StyleName"/>
    <tableColumn id="2" xr3:uid="{CD70DF1E-6DFA-41CB-B878-549219A16B1C}" name="HeadStyle"/>
    <tableColumn id="3" xr3:uid="{1A800A1F-47D9-464D-AE4A-8359B9B548D8}" name="CellStyle"/>
  </tableColumns>
  <tableStyleInfo name="InternalTabl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B59166-CCBD-4E98-A0CD-1936D776B257}" name="ITEquipmentTable" displayName="ITEquipmentTable" ref="A5:S772" tableBorderDxfId="152" dataCellStyle="Normal">
  <autoFilter ref="A5:S772" xr:uid="{B8B59166-CCBD-4E98-A0CD-1936D776B257}">
    <filterColumn colId="1">
      <filters>
        <filter val="Desktop"/>
      </filters>
    </filterColumn>
    <filterColumn colId="2">
      <filters>
        <filter val="HP"/>
      </filters>
    </filterColumn>
  </autoFilter>
  <sortState xmlns:xlrd2="http://schemas.microsoft.com/office/spreadsheetml/2017/richdata2" ref="A14:S765">
    <sortCondition ref="F5:F771"/>
  </sortState>
  <tableColumns count="19">
    <tableColumn id="12" xr3:uid="{499CF259-742C-4A36-A83A-169929F87493}" name="Key" totalsRowLabel="Total" dataDxfId="151" totalsRowDxfId="150" dataCellStyle="Normal"/>
    <tableColumn id="1" xr3:uid="{CE7878E0-11D1-4358-AA4E-49D4D23B3571}" name="Type" dataCellStyle="Normal"/>
    <tableColumn id="2" xr3:uid="{53CB1108-39E8-48D9-8971-C5FCD65CEBA4}" name="Brand" totalsRowFunction="custom" dataCellStyle="Normal">
      <totalsRowFormula>COUNTIF(ITEquipmentTable[Brand], "Intermec")</totalsRowFormula>
    </tableColumn>
    <tableColumn id="3" xr3:uid="{0DBEBDCF-C930-44A9-B2F3-934E048E4E39}" name="Model" dataCellStyle="Normal"/>
    <tableColumn id="7" xr3:uid="{301737AD-30D5-4C72-ABA2-1951D7D7F08B}" name="Serial Type" totalsRowFunction="custom" dataCellStyle="Normal">
      <totalsRowFormula>COUNTIF(ITEquipmentTable[Serial Type], "Mac Address")</totalsRowFormula>
    </tableColumn>
    <tableColumn id="4" xr3:uid="{75C30876-44F3-4659-8090-6A306D979ADB}" name="Serial" dataDxfId="149" dataCellStyle="Normal"/>
    <tableColumn id="19" xr3:uid="{AF67EF80-AEA8-45AA-9CF0-847F1F388274}" name="IntuneSerial" dataDxfId="148" dataCellStyle="Normal">
      <calculatedColumnFormula>_xlfn.XLOOKUP(ITEquipmentTable[[#This Row],[Name]], IntuneData[Device name], IntuneData[Serial number], "")</calculatedColumnFormula>
    </tableColumn>
    <tableColumn id="6" xr3:uid="{E1971BE5-E34E-4008-987B-F312973CF3D3}" name="Storage Location" dataDxfId="147" totalsRowDxfId="146" dataCellStyle="Normal"/>
    <tableColumn id="10" xr3:uid="{2AF389FF-CB60-4FC0-B326-8C70C6AE00A5}" name="Assigned Location" dataCellStyle="Normal"/>
    <tableColumn id="14" xr3:uid="{2EFA33B3-112A-4EBC-B2BB-BA8D53483E5B}" name="Assigned Employee" dataCellStyle="Normal"/>
    <tableColumn id="16" xr3:uid="{864A6EA6-DA34-48E6-A473-8F4CD7A63172}" name="IPv4 Address" dataDxfId="145" dataCellStyle="Normal"/>
    <tableColumn id="17" xr3:uid="{ABF31775-BA98-4F71-9C6B-BC9CEA97B012}" name="IPLookup" dataDxfId="144" dataCellStyle="Normal">
      <calculatedColumnFormula>_xlfn.LET(
_xlpm.look, _xlfn.XLOOKUP(ITEquipmentTable[[#This Row],[Name]], VNCTable[ClientName], VNCTable[IP], ""),
_xlpm.chkk, IF(ITEquipmentTable[[#This Row],[IPv4 Address]] = "N/A", "N/A", _xlpm.look),
IF(ITEquipmentTable[[#This Row],[Name]] = "", "", _xlpm.chkk))</calculatedColumnFormula>
    </tableColumn>
    <tableColumn id="9" xr3:uid="{FDFC5459-301F-4FE4-8E02-24368CC5E6A9}" name="Name" dataDxfId="143" totalsRowDxfId="142" dataCellStyle="Normal"/>
    <tableColumn id="18" xr3:uid="{79594C81-F6C9-4E92-80D8-924DD24251B9}" name="Status" dataDxfId="141" dataCellStyle="CalcCell">
      <calculatedColumnFormula>_xlfn.LET(_xlpm.emp, IF(_xlfn.XLOOKUP(ITEquipmentTable[[#This Row],[Assigned Employee]], EmployeeTable[name], EmployeeTable[Active], TRUE), "Employee", "Recover"),
IF(ITEquipmentTable[[#This Row],[Storage Location]] = "Assigned to Employee", _xlpm.emp, "N/A"))</calculatedColumnFormula>
    </tableColumn>
    <tableColumn id="15" xr3:uid="{4873552A-329A-4887-B0C3-4CFD2CB62CAF}" name="OS Version" dataDxfId="140" totalsRowDxfId="139" dataCellStyle="CalcCell">
      <calculatedColumnFormula array="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calculatedColumnFormula>
    </tableColumn>
    <tableColumn id="5" xr3:uid="{AC40105B-D9F3-4BD4-9713-FD5586BBD446}" name="Valid" dataDxfId="138" totalsRowDxfId="137" dataCellStyle="CalcCell">
      <calculatedColumnFormula>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calculatedColumnFormula>
    </tableColumn>
    <tableColumn id="11" xr3:uid="{6A8ACB37-47DC-493C-A535-45C47850EBD9}" name="Condition" dataCellStyle="Normal"/>
    <tableColumn id="13" xr3:uid="{DADE1D2D-A526-4E72-9899-22DAF600133D}" name="NeedsRepair" dataCellStyle="Normal"/>
    <tableColumn id="8" xr3:uid="{93CD3CC5-DB05-478D-853D-77E123D08EDA}" name="Notes" totalsRowFunction="count" totalsRowDxfId="136" dataCellStyle="Normal"/>
  </tableColumns>
  <tableStyleInfo name="InputTable"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278B41D-2410-43EE-AC55-DE4BE6110FB2}" name="ITEquipmentLocTable" displayName="ITEquipmentLocTable" ref="AB5:AC17" totalsRowShown="0" tableBorderDxfId="135">
  <autoFilter ref="AB5:AC17" xr:uid="{9278B41D-2410-43EE-AC55-DE4BE6110FB2}">
    <filterColumn colId="0" hiddenButton="1"/>
    <filterColumn colId="1" hiddenButton="1"/>
  </autoFilter>
  <tableColumns count="2">
    <tableColumn id="1" xr3:uid="{F6F741D2-CC6F-412D-8532-1E76D76EBE59}" name="Name" dataCellStyle="Normal"/>
    <tableColumn id="2" xr3:uid="{F61823CD-04EC-4152-81A1-28FFD04018AA}" name="Location"/>
  </tableColumns>
  <tableStyleInfo name="InputTable"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ED685647-D26F-452B-9B87-4C3849B37C2E}" name="DeviceTypeTable" displayName="DeviceTypeTable" ref="AE5:AE24" totalsRowShown="0" tableBorderDxfId="134">
  <autoFilter ref="AE5:AE24" xr:uid="{ED685647-D26F-452B-9B87-4C3849B37C2E}">
    <filterColumn colId="0" hiddenButton="1"/>
  </autoFilter>
  <tableColumns count="1">
    <tableColumn id="1" xr3:uid="{549776CC-7E6C-43B9-BECC-492B9D9AD64B}" name="Type"/>
  </tableColumns>
  <tableStyleInfo name="InputTable"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5B95E80B-C590-467D-8C0B-07C96BCBDBFA}" name="RepairCodeTable" displayName="RepairCodeTable" ref="AG5:AG14" totalsRowShown="0">
  <autoFilter ref="AG5:AG14" xr:uid="{5B95E80B-C590-467D-8C0B-07C96BCBDBFA}">
    <filterColumn colId="0" hiddenButton="1"/>
  </autoFilter>
  <tableColumns count="1">
    <tableColumn id="1" xr3:uid="{8D0D8BC4-C02E-4164-80A8-835F6CCE1A7B}" name="Code"/>
  </tableColumns>
  <tableStyleInfo name="InputTable"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984580-6A00-491D-9A4D-83C0F195A645}" name="Table19" displayName="Table19" ref="U5:V15" totalsRowShown="0" tableBorderDxfId="133">
  <autoFilter ref="U5:V15" xr:uid="{44984580-6A00-491D-9A4D-83C0F195A645}">
    <filterColumn colId="0" hiddenButton="1"/>
    <filterColumn colId="1" hiddenButton="1"/>
  </autoFilter>
  <tableColumns count="2">
    <tableColumn id="1" xr3:uid="{82B0FAE6-B4EE-47D8-983E-5960F2132079}" name="Style"/>
    <tableColumn id="2" xr3:uid="{818B898F-DD33-4534-972A-321FF56A6E77}" name="Description"/>
  </tableColumns>
  <tableStyleInfo name="InputTable"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03AE94C-31CF-4E58-81F4-B907903DB00F}" name="SerialTypeTable" displayName="SerialTypeTable" ref="AI5:AI10" totalsRowShown="0">
  <autoFilter ref="AI5:AI10" xr:uid="{803AE94C-31CF-4E58-81F4-B907903DB00F}">
    <filterColumn colId="0" hiddenButton="1"/>
  </autoFilter>
  <tableColumns count="1">
    <tableColumn id="1" xr3:uid="{D2F8EAD8-8DE6-4CA8-8374-887CF1881DA3}" name="Type"/>
  </tableColumns>
  <tableStyleInfo name="InputTable"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5D9819E-FE6F-4A3C-9C3C-53EEB67E714B}" name="Table17" displayName="Table17" ref="AK5:AM10" totalsRowShown="0" dataDxfId="132">
  <autoFilter ref="AK5:AM10" xr:uid="{B5D9819E-FE6F-4A3C-9C3C-53EEB67E714B}">
    <filterColumn colId="0" hiddenButton="1"/>
    <filterColumn colId="1" hiddenButton="1"/>
    <filterColumn colId="2" hiddenButton="1"/>
  </autoFilter>
  <tableColumns count="3">
    <tableColumn id="1" xr3:uid="{855C0400-C29F-4F41-B186-1EC5B79D81B4}" name="Versions" dataDxfId="131"/>
    <tableColumn id="3" xr3:uid="{85A1A415-7AB2-48A8-AEBF-8C321A76D53F}" name="Version Number" dataDxfId="130"/>
    <tableColumn id="2" xr3:uid="{8727EF38-2E32-46A4-A4CF-5CBF9C7D53D8}" name="IsServer" dataDxfId="129" dataCellStyle="CalcCell">
      <calculatedColumnFormula array="1">COntains(Table17[[#This Row],[Versions]], "Server")</calculatedColumnFormula>
    </tableColumn>
  </tableColumns>
  <tableStyleInfo name="InputTable"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0F950EF-9259-4F18-8CD7-CF83ABA9CF98}" name="EmployeeTable" displayName="EmployeeTable" ref="X5:Z415" tableType="queryTable" totalsRowShown="0" dataDxfId="128">
  <autoFilter ref="X5:Z415" xr:uid="{80F950EF-9259-4F18-8CD7-CF83ABA9CF98}">
    <filterColumn colId="0" hiddenButton="1"/>
    <filterColumn colId="1" hiddenButton="1"/>
    <filterColumn colId="2" hiddenButton="1"/>
  </autoFilter>
  <sortState xmlns:xlrd2="http://schemas.microsoft.com/office/spreadsheetml/2017/richdata2" ref="X6:Z415">
    <sortCondition descending="1" ref="Z6:Z415"/>
  </sortState>
  <tableColumns count="3">
    <tableColumn id="1" xr3:uid="{02981574-8504-4546-B4B3-9F0DBC089117}" uniqueName="1" name="ID" queryTableFieldId="1" dataDxfId="127"/>
    <tableColumn id="2" xr3:uid="{E788E91F-834F-43B6-9F5C-3AC62D1C9356}" uniqueName="2" name="name" queryTableFieldId="2" dataDxfId="126"/>
    <tableColumn id="3" xr3:uid="{8DD2D9FC-E2BF-4654-BB2A-ED74880021F7}" uniqueName="3" name="Active" queryTableFieldId="3" dataDxfId="125"/>
  </tableColumns>
  <tableStyleInfo name="QueryTable" showFirstColumn="0" showLastColumn="0" showRowStripes="0"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F278DF8-355B-4A4B-B454-436D20DD7265}" name="AddTable" displayName="AddTable" ref="B2:N3" totalsRowShown="0" headerRowDxfId="124" headerRowBorderDxfId="123" tableBorderDxfId="122" totalsRowBorderDxfId="121" headerRowCellStyle="InpHd" dataCellStyle="InpKey">
  <autoFilter ref="B2:N3" xr:uid="{2F278DF8-355B-4A4B-B454-436D20DD726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D391A221-4DF4-4AB1-BB69-432B0933FEEC}" name="Type" dataDxfId="120" dataCellStyle="InpKey"/>
    <tableColumn id="2" xr3:uid="{BEB69C1C-D7D8-4956-AC6A-328B9EC4B091}" name="Manf." dataDxfId="119" dataCellStyle="InpKey"/>
    <tableColumn id="3" xr3:uid="{BE022348-4F2D-497A-A4D9-FB314099A566}" name="Model" dataDxfId="118" dataCellStyle="InpKey"/>
    <tableColumn id="4" xr3:uid="{27AB6723-B733-4A66-858F-D1654EF838C3}" name="SType" dataDxfId="117" dataCellStyle="InpKey"/>
    <tableColumn id="5" xr3:uid="{DB1A4917-0F18-4FD8-98AC-C8F94E391338}" name="Serial" dataCellStyle="LkpCell"/>
    <tableColumn id="6" xr3:uid="{A318E41B-B77D-4DAF-B904-4287C1B6D0AD}" name="Where" dataDxfId="116" dataCellStyle="InpKey"/>
    <tableColumn id="7" xr3:uid="{3D959D30-02D5-49B8-AD2B-04C00194574B}" name="IP" dataDxfId="115" dataCellStyle="InpKey"/>
    <tableColumn id="8" xr3:uid="{65437C67-73D6-40BE-AB2A-C974D06B7009}" name="Name" dataDxfId="114" dataCellStyle="InpKey"/>
    <tableColumn id="9" xr3:uid="{731C9607-B98C-48C7-A594-29D46BD3871D}" name="Who" dataDxfId="113" dataCellStyle="InpKey"/>
    <tableColumn id="10" xr3:uid="{93161CD2-8FE0-4C65-BF14-508DB02523F5}" name="InUseAt" dataDxfId="112" dataCellStyle="InpKey"/>
    <tableColumn id="11" xr3:uid="{91060B3D-81D6-4C11-8183-5A2FD7807C33}" name="Condition" dataDxfId="111" dataCellStyle="InpKey"/>
    <tableColumn id="12" xr3:uid="{223590A9-7B2B-4EEA-8416-2CF146A1CF5E}" name="NextID" dataDxfId="110" dataCellStyle="CalcCell">
      <calculatedColumnFormula>NextID</calculatedColumnFormula>
    </tableColumn>
    <tableColumn id="13" xr3:uid="{A049D359-4F44-4586-A896-687ACF8D476F}" name="Status" dataCellStyle="QueCell"/>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A746C5E-D658-4214-B5C6-7A9F8ADBB703}" name="WhereTable" displayName="WhereTable" ref="B5:N6" totalsRowShown="0" headerRowDxfId="109" headerRowBorderDxfId="108" tableBorderDxfId="107" totalsRowBorderDxfId="106" headerRowCellStyle="InpHd" dataCellStyle="InpCell">
  <autoFilter ref="B5:N6" xr:uid="{3A746C5E-D658-4214-B5C6-7A9F8ADBB70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476CEAAF-2E99-45AB-8FC6-B526D23FAA65}" name="Type" dataCellStyle="InpCell"/>
    <tableColumn id="2" xr3:uid="{D91FF156-8A63-44DE-98D8-4DAFD2E879BB}" name="Manf." dataCellStyle="InpCell"/>
    <tableColumn id="3" xr3:uid="{0734BCD6-60F2-47DD-8BEF-954CC6DB56B8}" name="Model" dataCellStyle="InpCell"/>
    <tableColumn id="4" xr3:uid="{FB7F1B3D-5DE9-4CE9-AA2A-3F7A9F41A0A7}" name="SType" dataCellStyle="InpCell"/>
    <tableColumn id="5" xr3:uid="{39AE2AE6-2426-4FEB-B4F2-87B20E61444A}" name="Serial" dataCellStyle="InpCell"/>
    <tableColumn id="6" xr3:uid="{90E9810D-CAFC-4B6D-A7FA-C01DB421BE6B}" name="Where" dataCellStyle="InpCell"/>
    <tableColumn id="7" xr3:uid="{2FAADFEF-DA06-4197-B31D-D8DD0BEA5E7A}" name="IP" dataCellStyle="InpCell"/>
    <tableColumn id="8" xr3:uid="{34705F84-D3D6-43CF-8FA4-35CCBD04A042}" name="Name" dataCellStyle="InpCell"/>
    <tableColumn id="9" xr3:uid="{EBD08523-DFBC-404D-81D7-699EFB1D537F}" name="Who" dataCellStyle="InpCell"/>
    <tableColumn id="10" xr3:uid="{3A6E28CF-B403-4380-9A85-3E369B983056}" name="InUseAt" dataCellStyle="InpCell"/>
    <tableColumn id="11" xr3:uid="{8F391130-181A-4BC4-98A3-EFB0DACE56CB}" name="Condition" dataCellStyle="InpCell"/>
    <tableColumn id="12" xr3:uid="{764692C1-6533-4715-8D89-179E4B375D4F}" name="NextID" dataCellStyle="DeacHdKey"/>
    <tableColumn id="13" xr3:uid="{4EA324FB-E24B-4B16-9AA2-E7A0CB7A202D}" name="Status" dataCellStyle="QueCell"/>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BFC824E-E044-4520-A83A-C6EB155B1F89}" name="ChangeTable" displayName="ChangeTable" ref="B7:N8" totalsRowShown="0" headerRowDxfId="105" headerRowBorderDxfId="104" headerRowCellStyle="CalcHd">
  <autoFilter ref="B7:N8" xr:uid="{9BFC824E-E044-4520-A83A-C6EB155B1F8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A35A36BE-A0A6-4CCF-ABB0-32CEBE93B529}" name="Type"/>
    <tableColumn id="2" xr3:uid="{EFD33A4D-38E9-4F1D-98C3-88FD2E25DF33}" name="Manf."/>
    <tableColumn id="3" xr3:uid="{97B324AA-89FF-475C-BF8F-C643DC65414E}" name="Model"/>
    <tableColumn id="4" xr3:uid="{26457540-2F92-432E-80EE-ECF4CA4D994F}" name="SType"/>
    <tableColumn id="5" xr3:uid="{FA173CF7-63B4-4A27-B761-1AC0C279052A}" name="Serial"/>
    <tableColumn id="6" xr3:uid="{BFBE7553-D864-4AF5-8565-FB813AF5E7BB}" name="Where"/>
    <tableColumn id="7" xr3:uid="{25739BC0-B17A-430B-A0E5-47EC8336AF52}" name="IP"/>
    <tableColumn id="8" xr3:uid="{CA3A8377-36E7-44F3-BB0A-F045558690F6}" name="Name"/>
    <tableColumn id="9" xr3:uid="{C8259AD7-8B7A-4806-8DA9-D99E81FE3F15}" name="Who"/>
    <tableColumn id="10" xr3:uid="{3345A98A-AFEE-4E38-8D8E-FB1F93CCF3ED}" name="InUseAt"/>
    <tableColumn id="11" xr3:uid="{8E4224F2-CC25-44EE-B26B-D4C0FE08B01B}" name="Condition"/>
    <tableColumn id="12" xr3:uid="{2F5B47B1-6BCA-4D69-9934-248B0BF6970E}" name="NextID" dataCellStyle="DeacHdKey"/>
    <tableColumn id="13" xr3:uid="{1D8DDC8E-F97D-46B1-A4A3-31596F35E847}" name="Status" dataCellStyle="QueCell"/>
  </tableColumns>
  <tableStyleInfo name="InputTable"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5243DE2-65FF-46D4-847F-7C27D9939433}" name="ToTable" displayName="ToTable" ref="B9:N10" totalsRowShown="0" headerRowDxfId="103" headerRowBorderDxfId="102" headerRowCellStyle="CalcHd">
  <autoFilter ref="B9:N10" xr:uid="{85243DE2-65FF-46D4-847F-7C27D993943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6EBA104E-25C7-4038-879C-519DAE91D43B}" name="Type"/>
    <tableColumn id="2" xr3:uid="{E347902C-5BDB-4DC5-AA4B-6D52B626847C}" name="Manf."/>
    <tableColumn id="3" xr3:uid="{76154376-9F88-4A55-889F-76E9D743A4FD}" name="Model"/>
    <tableColumn id="4" xr3:uid="{319E9D0F-0179-44A7-909B-D666A77608D5}" name="SType"/>
    <tableColumn id="5" xr3:uid="{23FA95A4-6684-4BED-84E5-3AF9770200BE}" name="Serial"/>
    <tableColumn id="6" xr3:uid="{04DBD1DD-2932-4B2E-89C3-2022E949C918}" name="Where"/>
    <tableColumn id="7" xr3:uid="{6EEDC60A-8061-4225-A0C8-CCE33CB7A2FF}" name="IP"/>
    <tableColumn id="8" xr3:uid="{8B89813B-D2AF-4AB6-94DD-D25187AB95A5}" name="Name"/>
    <tableColumn id="9" xr3:uid="{D3EB74B0-E302-44C1-89E8-C4AF4594438C}" name="Who"/>
    <tableColumn id="10" xr3:uid="{CF59C411-6ACA-4A90-A5F4-2160C11508A1}" name="InUseAt"/>
    <tableColumn id="11" xr3:uid="{1B7197EB-92BB-411B-A8DC-3D85E4136D2B}" name="Condition"/>
    <tableColumn id="12" xr3:uid="{AF69C45B-9205-4B64-830C-6E0052F1765D}" name="NextID" dataCellStyle="DeacHdKey"/>
    <tableColumn id="13" xr3:uid="{C7026C09-C770-4A2D-A59C-F835F9188F43}" name="Status" dataCellStyle="QueCell"/>
  </tableColumns>
  <tableStyleInfo name="InputTable"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9A24E70-FC8E-44FC-950A-E35D321C83C6}" name="RemTable" displayName="RemTable" ref="B12:N13" totalsRowShown="0" headerRowDxfId="101" headerRowBorderDxfId="100" tableBorderDxfId="99" totalsRowBorderDxfId="98" headerRowCellStyle="InpHd" dataCellStyle="InpKey">
  <autoFilter ref="B12:N13" xr:uid="{79A24E70-FC8E-44FC-950A-E35D321C83C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AB629516-7EA7-4FEC-8EF0-58B81CE8F0EE}" name="Type" dataCellStyle="InpCell"/>
    <tableColumn id="2" xr3:uid="{D10119BD-ABCD-493A-B7FC-D0D074E4FFD0}" name="Manf." dataCellStyle="InpCell"/>
    <tableColumn id="3" xr3:uid="{8E461B22-526E-4295-85AA-37C539AAC08D}" name="Model" dataCellStyle="InpCell"/>
    <tableColumn id="4" xr3:uid="{F0179A9F-B6C1-4326-B87D-D3AC691D15A3}" name="SType" dataCellStyle="InpCell"/>
    <tableColumn id="5" xr3:uid="{78127993-3647-4E5A-9CA0-C7E28F876185}" name="Serial" dataCellStyle="LkpCell"/>
    <tableColumn id="6" xr3:uid="{EF1D9988-3CBF-49E5-A08C-8F7391ED9C6A}" name="Where" dataCellStyle="InpCell"/>
    <tableColumn id="7" xr3:uid="{067CE73C-27E6-493D-BD34-EA82BC3E93F3}" name="IP" dataCellStyle="InpCell"/>
    <tableColumn id="8" xr3:uid="{CB8D017C-B11A-499E-A15E-307128F284AF}" name="Name" dataCellStyle="InpCell"/>
    <tableColumn id="9" xr3:uid="{67C5E37C-30AA-44CA-A53E-EF641413507D}" name="Who" dataCellStyle="InpCell"/>
    <tableColumn id="10" xr3:uid="{67659765-1842-4E1F-8BE3-3686FAA92DC9}" name="InUseAt" dataCellStyle="InpCell"/>
    <tableColumn id="11" xr3:uid="{F4C83EC5-78C5-405D-882A-639E485C80FA}" name="Condition" dataCellStyle="InpCell"/>
    <tableColumn id="12" xr3:uid="{1823D0B6-7A85-4E7A-B19E-553BA46A338C}" name="NextID" dataCellStyle="DeacHdKey"/>
    <tableColumn id="13" xr3:uid="{8E1A7150-158B-484B-8748-9F38CFC3A3D7}" name="Status" dataCellStyle="QueCell"/>
  </tableColumns>
  <tableStyleInfo name="InputTable"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358F3107-71F4-4979-A186-14F0D9338908}" name="ITSecondTable" displayName="ITSecondTable" ref="A5:M772" totalsRowShown="0" tableBorderDxfId="97">
  <autoFilter ref="A5:M772" xr:uid="{358F3107-71F4-4979-A186-14F0D933890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sortState xmlns:xlrd2="http://schemas.microsoft.com/office/spreadsheetml/2017/richdata2" ref="A6:M642">
    <sortCondition descending="1" ref="L6:L642"/>
  </sortState>
  <tableColumns count="13">
    <tableColumn id="3" xr3:uid="{434C2531-D677-4B55-B0A7-BFD0FC8534E4}" name="IQty" dataDxfId="96">
      <calculatedColumnFormula>IF(LEN(ITSecondTable[[#This Row],[Tag]]) &gt; 0, _xlfn.XLOOKUP(ITSecondTable[[#This Row],[Tag]],StorageTable[Tag], StorageTable[In Storage - Count Total], "Err", 0, 1), 0)</calculatedColumnFormula>
    </tableColumn>
    <tableColumn id="1" xr3:uid="{CC57DF62-7FCA-468B-979E-B61DD110162C}" name="SQty" dataDxfId="95">
      <calculatedColumnFormula>_xlfn.LET(_xlpm.loc, ITEquipmentTable[Storage Location],
COUNTIFS(ITSecondTable[Tag], ITSecondTable[[#This Row],[Tag]], _xlpm.loc, "&lt;&gt;In Use", _xlpm.loc, "&lt;&gt;",  _xlpm.loc, "&lt;&gt;E-Waste", _xlpm.loc, "&lt;&gt;Virtual",  _xlpm.loc, "&lt;&gt;Assigned to Employee", _xlpm.loc, "&lt;&gt;Decommisioned", _xlpm.loc, "&lt;&gt;Missing")
)</calculatedColumnFormula>
    </tableColumn>
    <tableColumn id="5" xr3:uid="{71E63219-2C70-45C1-BF71-2A8C496A5F59}" name="TQty" dataDxfId="94">
      <calculatedColumnFormula>_xlfn.LET(_xlpm.loc, ITEquipmentTable[Storage Location],
COUNTIFS(ITSecondTable[Tag], ITSecondTable[[#This Row],[Tag]], _xlpm.loc, "&lt;&gt;E-Waste", _xlpm.loc, "&lt;&gt;Virtual", _xlpm.loc, "&lt;&gt;Decommisioned")
)</calculatedColumnFormula>
    </tableColumn>
    <tableColumn id="10" xr3:uid="{7915AB23-D935-445A-AC63-CDBB8102A558}" name="MQty" dataDxfId="93">
      <calculatedColumnFormula>_xlfn.LET(_xlpm.loc, ITEquipmentTable[Storage Location],
COUNTIFS(ITSecondTable[Tag], ITSecondTable[[#This Row],[Tag]], _xlpm.loc, "Missing")
)</calculatedColumnFormula>
    </tableColumn>
    <tableColumn id="11" xr3:uid="{95BEDD30-9BDE-4DB6-9FA8-24C98AFF4A22}" name="AQty" dataDxfId="92">
      <calculatedColumnFormula>_xlfn.LET(_xlpm.loc, ITEquipmentTable[Storage Location],
COUNTIFS(ITSecondTable[Tag], ITSecondTable[[#This Row],[Tag]], _xlpm.loc, "In Use") + COUNTIFS(ITSecondTable[Tag], ITSecondTable[[#This Row],[Tag]], _xlpm.loc, "Assigned to Employee")
)</calculatedColumnFormula>
    </tableColumn>
    <tableColumn id="13" xr3:uid="{83EE4578-4568-49BD-8F91-BEA0215EAD12}" name="BQty" dataDxfId="91">
      <calculatedColumnFormula>_xlfn.LET(_xlpm.loc, ITEquipmentTable[Storage Location],
COUNTIFS(ITSecondTable[Tag], ITSecondTable[[#This Row],[Tag]], _xlpm.loc, "")
)</calculatedColumnFormula>
    </tableColumn>
    <tableColumn id="12" xr3:uid="{0312DA77-5B00-479A-B1B2-8A4BD3EFA2B8}" name="UQty" dataDxfId="90">
      <calculatedColumnFormula>MAX(ITSecondTable[[#This Row],[SQty]] - ITSecondTable[[#This Row],[IQty]], 0)</calculatedColumnFormula>
    </tableColumn>
    <tableColumn id="14" xr3:uid="{5B0B770A-92EC-4AEB-BE7F-3604FEF22CD8}" name="XQty" dataDxfId="89">
      <calculatedColumnFormula>MAX(ITSecondTable[[#This Row],[IQty]]-ITSecondTable[[#This Row],[SQty]], 0)</calculatedColumnFormula>
    </tableColumn>
    <tableColumn id="2" xr3:uid="{D7F65082-5D5C-41EC-97B6-F1A6F7C8750F}" name="Tag" dataDxfId="88">
      <calculatedColumnFormula>IFERROR(_xlfn.TEXTJOIN("~", TRUE, ITEquipmentTable[[#This Row],[Type]],ITEquipmentTable[[#This Row],[Brand]],ITEquipmentTable[[#This Row],[Model]]), "")</calculatedColumnFormula>
    </tableColumn>
    <tableColumn id="4" xr3:uid="{6CAC8D01-4491-41E1-8DC3-C1F1607D9FCA}" name="IsCounted" dataDxfId="87">
      <calculatedColumnFormula xml:space="preserve"> _xlfn.IFNA(MATCH( ITSecondTable[[#This Row],[Tag]], StorageTable[Tag], 0)  &gt; -1, FALSE)</calculatedColumnFormula>
    </tableColumn>
    <tableColumn id="6" xr3:uid="{67C34A24-107B-4492-8FEA-2A8ABE04B425}" name="DuplicateSerial" dataDxfId="86">
      <calculatedColumnFormula>COUNTIFS(ITEquipmentTable[Serial], ITEquipmentTable[[#This Row],[Serial]], ITEquipmentTable[Serial], "&lt;&gt;N/A") &gt; 1</calculatedColumnFormula>
    </tableColumn>
    <tableColumn id="7" xr3:uid="{16B3CFD7-ABAD-4645-9FDF-F7F62EBCA044}" name="DuplicateName" dataDxfId="85">
      <calculatedColumnFormula>COUNTIFS(ITEquipmentTable[Name], ITEquipmentTable[[#This Row],[Name]], ITEquipmentTable[Name], "&lt;&gt;&lt;Unassigned&gt;",  ITEquipmentTable[Name], "&lt;&gt;N/A") &gt; 1</calculatedColumnFormula>
    </tableColumn>
    <tableColumn id="8" xr3:uid="{278CB034-86BB-4ECE-B95E-49B647D91E2B}" name="DuplicateIP" dataDxfId="84">
      <calculatedColumnFormula>AND(COUNTIFS(ITEquipmentTable[IPv4 Address], ITEquipmentTable[[#This Row],[IPv4 Address]]) &gt; 1, ITEquipmentTable[[#This Row],[IPv4 Address]] &lt;&gt; "DHCP",  ITEquipmentTable[[#This Row],[IPv4 Address]] &lt;&gt; "N/A")</calculatedColumnFormula>
    </tableColumn>
  </tableColumns>
  <tableStyleInfo name="CalculatedTable"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C6202DC-D475-4D7C-85FC-2347F1074A3E}" name="StorageTable" displayName="StorageTable" ref="A4:R101" totalsRowShown="0" headerRowDxfId="83" tableBorderDxfId="82">
  <autoFilter ref="A4:R101" xr:uid="{6C6202DC-D475-4D7C-85FC-2347F1074A3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sortState xmlns:xlrd2="http://schemas.microsoft.com/office/spreadsheetml/2017/richdata2" ref="A5:R100">
    <sortCondition ref="B5:B100"/>
    <sortCondition ref="C5:C100"/>
    <sortCondition ref="D5:D100"/>
  </sortState>
  <tableColumns count="18">
    <tableColumn id="13" xr3:uid="{D846F5F8-6B6A-4AB6-B5E1-93AEC0CDA035}" name="Tag" dataDxfId="81" dataCellStyle="CalcKey">
      <calculatedColumnFormula>_xlfn.TEXTJOIN("~", TRUE, StorageTable[[#This Row],[Type]],StorageTable[[#This Row],[Brand]],StorageTable[[#This Row],[Model]])</calculatedColumnFormula>
    </tableColumn>
    <tableColumn id="1" xr3:uid="{110545F0-C3BB-47CC-9877-350B8DCABA9F}" name="Type" dataCellStyle="InpKey"/>
    <tableColumn id="2" xr3:uid="{6D6BE6EA-99F4-4AF2-8C23-236B65DCFB72}" name="Brand" dataCellStyle="InpKey"/>
    <tableColumn id="3" xr3:uid="{53652054-8CAC-4EAF-B047-D645290F2949}" name="Model" dataCellStyle="InpKey"/>
    <tableColumn id="4" xr3:uid="{7A5D3AD5-5B3D-43A1-AD12-632E4B3C7641}" name="IT Cage" dataDxfId="80"/>
    <tableColumn id="8" xr3:uid="{0000EE45-DAA7-4960-BB93-64B1315613D2}" name="Cabinet in Cage" dataDxfId="79"/>
    <tableColumn id="10" xr3:uid="{D5011FA4-87B9-49A7-A4F6-0F6711F029D5}" name="Cube" dataDxfId="78"/>
    <tableColumn id="9" xr3:uid="{9CA59427-4E27-4A1C-A045-83B6FECD869F}" name="File Cabinet in Cube" dataDxfId="77"/>
    <tableColumn id="5" xr3:uid="{F90F1256-1351-4A23-BD5C-6B44DE2292F9}" name="Quality Cage" dataDxfId="76"/>
    <tableColumn id="6" xr3:uid="{65B6A62C-EA8D-4A11-82AB-DFB0CEAE7BCB}" name="Server Room" dataDxfId="75"/>
    <tableColumn id="7" xr3:uid="{9FC5189A-4246-43AD-B6A3-2981E4BCB591}" name="Backup Server Room" dataDxfId="74"/>
    <tableColumn id="12" xr3:uid="{25E8677B-1501-4515-87E7-FFE72987AF82}" name="IsValidated" dataDxfId="73" dataCellStyle="CalcCell">
      <calculatedColumnFormula>COUNTBLANK(StorageTable[[#This Row],[IT Cage]:[Backup Server Room]]) = 0</calculatedColumnFormula>
    </tableColumn>
    <tableColumn id="11" xr3:uid="{EE981A58-50FC-41C6-9B32-7D6EF9F64EF5}" name="In Storage - Count Total" dataDxfId="72" dataCellStyle="CalcCell">
      <calculatedColumnFormula>SUM(StorageTable[[#This Row],[IT Cage]:[Backup Server Room]])</calculatedColumnFormula>
    </tableColumn>
    <tableColumn id="14" xr3:uid="{F121EFDF-C62B-4648-990A-37BCAF501FC9}" name="All - Serialized Total" dataDxfId="71" dataCellStyle="CalcCell">
      <calculatedColumnFormula>_xlfn.XLOOKUP(StorageTable[[#This Row],[Tag]],ITSecondTable[Tag],ITSecondTable[SQty],0,0)</calculatedColumnFormula>
    </tableColumn>
    <tableColumn id="18" xr3:uid="{1BCF9565-C0F9-43D0-8AB6-01A37259A255}" name="Total In Use" dataDxfId="70" dataCellStyle="CalcCell">
      <calculatedColumnFormula>_xlfn.XLOOKUP(StorageTable[[#This Row],[Tag]],ITSecondTable[Tag],ITSecondTable[TQty],0,0) - StorageTable[[#This Row],[All - Serialized Total]]</calculatedColumnFormula>
    </tableColumn>
    <tableColumn id="15" xr3:uid="{77C0952F-C1E7-4B82-98DA-5F420683B5AB}" name="IsValidMatch" dataDxfId="69" dataCellStyle="CalcCell">
      <calculatedColumnFormula>OR(StorageTable[[#This Row],[In Storage - Count Total]] = StorageTable[[#This Row],[All - Serialized Total]], ISBLANK(StorageTable[[#This Row],[Model]]), ISBLANK(StorageTable[[#This Row],[Brand]]), ISBLANK(StorageTable[[#This Row],[Type]]))</calculatedColumnFormula>
    </tableColumn>
    <tableColumn id="16" xr3:uid="{94614DAC-7C92-407A-AF31-05E6B2FF6D2B}" name="Blanks" dataDxfId="68" dataCellStyle="CalcCell">
      <calculatedColumnFormula>_xlfn.LET(_xlpm.countb, COUNTIF(StorageTable[[#This Row],[IT Cage]:[Backup Server Room]], ""),
_xlpm.tbm_blank, COUNTBLANK(StorageTable[[#This Row],[Type]:[Model]]) &gt; 0,
_xlpm.adjcount, IF(_xlpm.tbm_blank, 0, _xlpm.countb),
_xlpm.adjcount)</calculatedColumnFormula>
    </tableColumn>
    <tableColumn id="17" xr3:uid="{3A4A9789-8363-4B4E-8FB0-25438CC30CD3}" name="Is Placeholder" dataDxfId="67" dataCellStyle="CalcCell">
      <calculatedColumnFormula>COUNTIF(StorageTable[[#This Row],[Type]:[Model]], "") &gt; 0</calculatedColumnFormula>
    </tableColumn>
  </tableColumns>
  <tableStyleInfo name="InputTable"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C83B176-E8ED-491D-8785-7DA25DDA5CE8}" name="InventoryStats" displayName="InventoryStats" ref="B2:C3" totalsRowShown="0" headerRowDxfId="66" dataDxfId="65">
  <autoFilter ref="B2:C3" xr:uid="{6C83B176-E8ED-491D-8785-7DA25DDA5CE8}">
    <filterColumn colId="0" hiddenButton="1"/>
    <filterColumn colId="1" hiddenButton="1"/>
  </autoFilter>
  <tableColumns count="2">
    <tableColumn id="2" xr3:uid="{EBF4C007-FC62-4ED2-8C7C-DE84C09AD0AC}" name="Non-Matches" dataDxfId="64">
      <calculatedColumnFormula>QtyNonMatchCount</calculatedColumnFormula>
    </tableColumn>
    <tableColumn id="1" xr3:uid="{EA88B0CD-52D3-4B27-8155-DD65260BBD1E}" name="Blanks" dataDxfId="63">
      <calculatedColumnFormula>QtyBlankCount</calculatedColumnFormula>
    </tableColumn>
  </tableColumns>
  <tableStyleInfo name="BoxTable"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FBCE19E-3211-4BF9-9078-E052305D1A15}" name="ActiveDirectoryComputers" displayName="ActiveDirectoryComputers" ref="A2:I392" tableType="queryTable" totalsRowShown="0" dataCellStyle="Normal">
  <sortState xmlns:xlrd2="http://schemas.microsoft.com/office/spreadsheetml/2017/richdata2" ref="A3:I392">
    <sortCondition sortBy="cellColor" ref="A3:A392" dxfId="44"/>
    <sortCondition sortBy="cellColor" ref="A3:A392" dxfId="43"/>
    <sortCondition sortBy="cellColor" ref="A3:A392" dxfId="42"/>
    <sortCondition descending="1" sortBy="cellColor" ref="A3:A392" dxfId="41"/>
    <sortCondition descending="1" sortBy="cellColor" ref="A3:A392" dxfId="40"/>
    <sortCondition ref="A3:A392"/>
  </sortState>
  <tableColumns count="9">
    <tableColumn id="2" xr3:uid="{18F15F6F-9673-4C08-A55F-A070436CFE37}" uniqueName="2" name="computer.cn" queryTableFieldId="2" dataDxfId="39" dataCellStyle="Trash"/>
    <tableColumn id="1" xr3:uid="{AF642D8F-7B77-4E99-BF84-919B611A7A92}" uniqueName="1" name="displayName" queryTableFieldId="1" dataDxfId="38" dataCellStyle="Trash"/>
    <tableColumn id="10" xr3:uid="{8366EEA6-8F24-4D5C-80F4-EBC8AFAFA9A5}" uniqueName="10" name="computer.operatingSystem" queryTableFieldId="10" dataDxfId="37" dataCellStyle="Trash"/>
    <tableColumn id="11" xr3:uid="{B5921F5D-65C4-467E-B45B-2090367AF1F4}" uniqueName="11" name="computer.operatingSystemVersion" queryTableFieldId="11" dataDxfId="36" dataCellStyle="Trash"/>
    <tableColumn id="3" xr3:uid="{A624D628-BF69-487C-90FC-A5A632D5B040}" uniqueName="3" name="computer.mitHomeCode" queryTableFieldId="3" dataDxfId="35" dataCellStyle="Trash"/>
    <tableColumn id="5" xr3:uid="{BB3D6505-2864-4E9C-910F-580149A22E18}" uniqueName="5" name="distinguishedName" queryTableFieldId="16" dataDxfId="34" dataCellStyle="Trash"/>
    <tableColumn id="4" xr3:uid="{DF0BF544-9149-4509-AC7E-C68735323628}" uniqueName="4" name="Needs Upgrade" queryTableFieldId="15" dataDxfId="33" dataCellStyle="Trash">
      <calculatedColumnFormula array="1">COntains(ActiveDirectoryComputers[[#This Row],[computer.operatingSystem]], "Pro")</calculatedColumnFormula>
    </tableColumn>
    <tableColumn id="6" xr3:uid="{0000EABC-3101-413A-8C6F-6532B81457BF}" uniqueName="6" name="IoT" queryTableFieldId="17" dataDxfId="32" dataCellStyle="Trash"/>
    <tableColumn id="7" xr3:uid="{0E3AAB32-1010-4138-A725-61369F816AA6}" uniqueName="7" name="KeyChg" queryTableFieldId="18" dataDxfId="31" dataCellStyle="Trash"/>
  </tableColumns>
  <tableStyleInfo name="QueryTable"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16867FA1-AFCC-4CF9-82AD-84EB08DABF6E}" name="VNCTable" displayName="VNCTable" ref="A2:K171" tableType="queryTable" totalsRowShown="0">
  <autoFilter ref="A2:K171" xr:uid="{16867FA1-AFCC-4CF9-82AD-84EB08DABF6E}">
    <filterColumn colId="0" hiddenButton="1"/>
    <filterColumn colId="2" hiddenButton="1"/>
    <filterColumn colId="4" hiddenButton="1"/>
    <filterColumn colId="6" hiddenButton="1"/>
  </autoFilter>
  <tableColumns count="11">
    <tableColumn id="1" xr3:uid="{F33460FD-692B-48AF-99F4-42D530927FB2}" uniqueName="1" name="Name" queryTableFieldId="1" dataDxfId="62"/>
    <tableColumn id="5" xr3:uid="{E9AF5E25-2392-4420-99CA-365C721843C5}" uniqueName="5" name="LocLookup" queryTableFieldId="6"/>
    <tableColumn id="2" xr3:uid="{2010F2D5-EB0D-4B24-BAD6-D43395F71E8A}" uniqueName="2" name="IP" queryTableFieldId="2" dataDxfId="61"/>
    <tableColumn id="6" xr3:uid="{10B4FE2E-3B46-4186-9AE1-B3FD3A93CC31}" uniqueName="6" name="NameLookup" queryTableFieldId="7"/>
    <tableColumn id="3" xr3:uid="{85E74503-1547-4E45-950E-50064B70E267}" uniqueName="3" name="ClientName" queryTableFieldId="3" dataDxfId="60"/>
    <tableColumn id="7" xr3:uid="{9481FC19-E646-4E28-B6BD-06FBCAA827ED}" uniqueName="7" name="IPLookup" queryTableFieldId="8"/>
    <tableColumn id="4" xr3:uid="{40461F6B-90E8-40E3-8D78-3F8EDC20A213}" uniqueName="4" name="Folder" queryTableFieldId="4" dataDxfId="59"/>
    <tableColumn id="8" xr3:uid="{90871625-1DAA-42DE-9F60-D28BE309D5E0}" uniqueName="8" name="Workstation" queryTableFieldId="9"/>
    <tableColumn id="9" xr3:uid="{E573BF44-CC72-4E6F-8E3B-863CDC1EB7F9}" uniqueName="9" name="MDSolidatWS" queryTableFieldId="10"/>
    <tableColumn id="10" xr3:uid="{47BDFD01-E2DA-4042-A888-C8DC7EA52C9A}" uniqueName="10" name="Win11" queryTableFieldId="11"/>
    <tableColumn id="11" xr3:uid="{FDE7D0B4-CCED-406D-8E27-32C836EDE882}" uniqueName="11" name="IoT" queryTableFieldId="12"/>
  </tableColumns>
  <tableStyleInfo name="QueryTable"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13C98048-7419-42EF-9359-AFEE86C1C9CD}" name="IntuneData" displayName="IntuneData" ref="A1:N109" tableType="queryTable" totalsRowShown="0">
  <autoFilter ref="A1:N109" xr:uid="{13C98048-7419-42EF-9359-AFEE86C1C9CD}"/>
  <sortState xmlns:xlrd2="http://schemas.microsoft.com/office/spreadsheetml/2017/richdata2" ref="A2:N109">
    <sortCondition descending="1" ref="J1:J109"/>
  </sortState>
  <tableColumns count="14">
    <tableColumn id="1" xr3:uid="{78D024D0-9907-40B4-BD93-0299CCCE4E3C}" uniqueName="1" name="Device name" queryTableFieldId="1" dataDxfId="58"/>
    <tableColumn id="2" xr3:uid="{7AC449E6-7444-481D-BE87-B9792F20DFD9}" uniqueName="2" name="Enrollment date" queryTableFieldId="2" dataDxfId="57"/>
    <tableColumn id="3" xr3:uid="{47A39B1C-625D-4C1D-873F-9D53BEC99140}" uniqueName="3" name="Last check-in" queryTableFieldId="3" dataDxfId="56"/>
    <tableColumn id="4" xr3:uid="{6569BBC5-7B9B-4585-9E9F-A6ACEC91D586}" uniqueName="4" name="OS version" queryTableFieldId="4" dataDxfId="55"/>
    <tableColumn id="5" xr3:uid="{409039FE-A4FA-4C83-AB7F-FBD5782358B6}" uniqueName="5" name="Serial number" queryTableFieldId="5" dataDxfId="54"/>
    <tableColumn id="6" xr3:uid="{09E7A5D7-F2F1-4B31-9F86-2BC476108E8F}" uniqueName="6" name="Manufacturer" queryTableFieldId="6" dataDxfId="53"/>
    <tableColumn id="7" xr3:uid="{860CB6D3-FEAD-4A7A-AB42-F128DEF9CBC2}" uniqueName="7" name="Model" queryTableFieldId="7" dataDxfId="52"/>
    <tableColumn id="8" xr3:uid="{988A0B79-765E-4F00-8ACA-3144C77493CF}" uniqueName="8" name="Compliance grace period expiration" queryTableFieldId="8" dataDxfId="51"/>
    <tableColumn id="9" xr3:uid="{EF961EC6-57B0-4B28-9C99-DDBA9A8BB5C1}" uniqueName="9" name="Primary user email address" queryTableFieldId="9" dataDxfId="50"/>
    <tableColumn id="10" xr3:uid="{F1E71AA0-194D-4AA5-9D94-1A03527EEADE}" uniqueName="10" name="Primary user display name" queryTableFieldId="10" dataDxfId="49"/>
    <tableColumn id="11" xr3:uid="{44103A90-B28A-482B-96C6-A79A761B5E6B}" uniqueName="11" name="WiFiIPv4Address" queryTableFieldId="11" dataDxfId="48"/>
    <tableColumn id="12" xr3:uid="{2C5196CF-4E9A-4908-88D1-9DB35D5D67BE}" uniqueName="12" name="WiFiSubnetID" queryTableFieldId="12" dataDxfId="47"/>
    <tableColumn id="13" xr3:uid="{F5A2E6CE-9709-424F-ACA1-13CF6710283E}" uniqueName="13" name="Compliance" queryTableFieldId="13" dataDxfId="46"/>
    <tableColumn id="14" xr3:uid="{BAD83623-3A7E-4720-9C91-B83E83D10D58}" uniqueName="14" name="Inventory" queryTableFieldId="14" dataDxfId="45" dataCellStyle="CalcCell">
      <calculatedColumnFormula>_xlfn.XLOOKUP(IntuneData[[#This Row],[Serial number]], ITEquipmentTable[Serial], ITEquipmentTable[Key], -1)</calculatedColumnFormula>
    </tableColumn>
  </tableColumns>
  <tableStyleInfo name="QueryTable" showFirstColumn="0" showLastColumn="0" showRowStripes="1" showColumnStripes="0"/>
</table>
</file>

<file path=xl/theme/theme1.xml><?xml version="1.0" encoding="utf-8"?>
<a:theme xmlns:a="http://schemas.openxmlformats.org/drawingml/2006/main" name="Office Theme">
  <a:themeElements>
    <a:clrScheme name="CI Current">
      <a:dk1>
        <a:srgbClr val="000000"/>
      </a:dk1>
      <a:lt1>
        <a:srgbClr val="7F7F7F"/>
      </a:lt1>
      <a:dk2>
        <a:srgbClr val="3F3F3F"/>
      </a:dk2>
      <a:lt2>
        <a:srgbClr val="FFFFFF"/>
      </a:lt2>
      <a:accent1>
        <a:srgbClr val="4164F9"/>
      </a:accent1>
      <a:accent2>
        <a:srgbClr val="FFFF00"/>
      </a:accent2>
      <a:accent3>
        <a:srgbClr val="FB0000"/>
      </a:accent3>
      <a:accent4>
        <a:srgbClr val="14F0EB"/>
      </a:accent4>
      <a:accent5>
        <a:srgbClr val="03D70D"/>
      </a:accent5>
      <a:accent6>
        <a:srgbClr val="AB73D5"/>
      </a:accent6>
      <a:hlink>
        <a:srgbClr val="E3D0F1"/>
      </a:hlink>
      <a:folHlink>
        <a:srgbClr val="AB73D5"/>
      </a:folHlink>
    </a:clrScheme>
    <a:fontScheme name="Bahn">
      <a:majorFont>
        <a:latin typeface="Bahnschrift"/>
        <a:ea typeface=""/>
        <a:cs typeface=""/>
      </a:majorFont>
      <a:minorFont>
        <a:latin typeface="Bahnschrif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5" dT="2025-11-04T02:45:31.37" personId="{A270065F-48A9-485E-94FD-8342678E6B01}" id="{D3310FDA-FF41-4289-A618-0257574FB925}">
    <text>Assigned or In Use</text>
  </threadedComment>
</ThreadedComment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656" row="2">
    <wetp:webextensionref xmlns:r="http://schemas.openxmlformats.org/officeDocument/2006/relationships" r:id="rId1"/>
  </wetp:taskpane>
  <wetp:taskpane dockstate="right" visibility="0" width="350"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2203B1DF-C3FE-4E52-9EB1-9E424B923D25}">
  <we:reference id="wa200002346" version="1.0.0.0" store="en-US" storeType="OMEX"/>
  <we:alternateReferences>
    <we:reference id="wa200002346" version="1.0.0.0" store="WA200002346"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68C11045-E97D-45E0-8D59-4273CD1AF89F}">
  <we:reference id="wa104380862" version="3.0.0.0" store="en-US" storeType="OMEX"/>
  <we:alternateReferences>
    <we:reference id="WA104380862" version="3.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1.vml"/><Relationship Id="rId7" Type="http://schemas.openxmlformats.org/officeDocument/2006/relationships/table" Target="../tables/table2.xml"/><Relationship Id="rId12" Type="http://schemas.openxmlformats.org/officeDocument/2006/relationships/table" Target="../tables/table7.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11" Type="http://schemas.openxmlformats.org/officeDocument/2006/relationships/table" Target="../tables/table6.xml"/><Relationship Id="rId5" Type="http://schemas.openxmlformats.org/officeDocument/2006/relationships/image" Target="../media/image1.emf"/><Relationship Id="rId10" Type="http://schemas.openxmlformats.org/officeDocument/2006/relationships/table" Target="../tables/table5.xml"/><Relationship Id="rId4" Type="http://schemas.openxmlformats.org/officeDocument/2006/relationships/control" Target="../activeX/activeX1.xml"/><Relationship Id="rId9" Type="http://schemas.openxmlformats.org/officeDocument/2006/relationships/table" Target="../tables/table4.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2.v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0" Type="http://schemas.openxmlformats.org/officeDocument/2006/relationships/table" Target="../tables/table13.xml"/><Relationship Id="rId4" Type="http://schemas.openxmlformats.org/officeDocument/2006/relationships/ctrlProp" Target="../ctrlProps/ctrlProp1.xml"/><Relationship Id="rId9" Type="http://schemas.openxmlformats.org/officeDocument/2006/relationships/table" Target="../tables/table1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table" Target="../tables/table16.xml"/><Relationship Id="rId7" Type="http://schemas.openxmlformats.org/officeDocument/2006/relationships/table" Target="../tables/table2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9.xml"/><Relationship Id="rId11" Type="http://schemas.microsoft.com/office/2007/relationships/slicer" Target="../slicers/slicer1.xml"/><Relationship Id="rId5" Type="http://schemas.openxmlformats.org/officeDocument/2006/relationships/table" Target="../tables/table18.xml"/><Relationship Id="rId10" Type="http://schemas.openxmlformats.org/officeDocument/2006/relationships/table" Target="../tables/table23.xml"/><Relationship Id="rId4" Type="http://schemas.openxmlformats.org/officeDocument/2006/relationships/table" Target="../tables/table17.xml"/><Relationship Id="rId9" Type="http://schemas.openxmlformats.org/officeDocument/2006/relationships/table" Target="../tables/table2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3.vml"/><Relationship Id="rId7" Type="http://schemas.openxmlformats.org/officeDocument/2006/relationships/image" Target="../media/image3.emf"/><Relationship Id="rId12" Type="http://schemas.openxmlformats.org/officeDocument/2006/relationships/table" Target="../tables/table2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table" Target="../tables/table27.xml"/><Relationship Id="rId5" Type="http://schemas.openxmlformats.org/officeDocument/2006/relationships/image" Target="../media/image2.emf"/><Relationship Id="rId10" Type="http://schemas.openxmlformats.org/officeDocument/2006/relationships/table" Target="../tables/table26.xml"/><Relationship Id="rId4" Type="http://schemas.openxmlformats.org/officeDocument/2006/relationships/control" Target="../activeX/activeX2.xml"/><Relationship Id="rId9" Type="http://schemas.openxmlformats.org/officeDocument/2006/relationships/table" Target="../tables/table2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9C173-B134-4B51-91C5-7F975ED3B70E}">
  <sheetPr codeName="KeySheet">
    <tabColor theme="8" tint="-0.249977111117893"/>
  </sheetPr>
  <dimension ref="A1:Y80"/>
  <sheetViews>
    <sheetView workbookViewId="0">
      <selection sqref="A1:R1"/>
    </sheetView>
  </sheetViews>
  <sheetFormatPr defaultRowHeight="14.25" x14ac:dyDescent="0.2"/>
  <cols>
    <col min="1" max="1" width="20.44140625" bestFit="1" customWidth="1"/>
    <col min="2" max="2" width="9.44140625" bestFit="1" customWidth="1"/>
    <col min="3" max="3" width="5.21875" bestFit="1" customWidth="1"/>
    <col min="4" max="4" width="5.77734375" bestFit="1" customWidth="1"/>
    <col min="5" max="5" width="24.77734375" bestFit="1" customWidth="1"/>
    <col min="6" max="6" width="22.33203125" bestFit="1" customWidth="1"/>
    <col min="7" max="7" width="37.6640625" bestFit="1" customWidth="1"/>
    <col min="8" max="8" width="25.6640625" bestFit="1" customWidth="1"/>
    <col min="9" max="9" width="14.33203125" bestFit="1" customWidth="1"/>
    <col min="10" max="10" width="3.33203125" bestFit="1" customWidth="1"/>
    <col min="11" max="11" width="4.77734375" bestFit="1" customWidth="1"/>
    <col min="12" max="12" width="3.44140625" bestFit="1" customWidth="1"/>
    <col min="13" max="13" width="4.109375" bestFit="1" customWidth="1"/>
    <col min="14" max="14" width="3.77734375" bestFit="1" customWidth="1"/>
    <col min="15" max="15" width="4" bestFit="1" customWidth="1"/>
    <col min="16" max="18" width="6" bestFit="1" customWidth="1"/>
    <col min="19" max="19" width="8.6640625" bestFit="1" customWidth="1"/>
    <col min="20" max="20" width="7.44140625" bestFit="1" customWidth="1"/>
    <col min="21" max="21" width="9.33203125" bestFit="1" customWidth="1"/>
    <col min="23" max="23" width="7.109375" bestFit="1" customWidth="1"/>
  </cols>
  <sheetData>
    <row r="1" spans="1:25" ht="19.5" x14ac:dyDescent="0.2">
      <c r="A1" s="277" t="s">
        <v>0</v>
      </c>
      <c r="B1" s="277"/>
      <c r="C1" s="277"/>
      <c r="D1" s="277"/>
      <c r="E1" s="277"/>
      <c r="F1" s="277"/>
      <c r="G1" s="277"/>
      <c r="H1" s="277"/>
      <c r="I1" s="277"/>
      <c r="J1" s="277"/>
      <c r="K1" s="277"/>
      <c r="L1" s="277"/>
      <c r="M1" s="277"/>
      <c r="N1" s="277"/>
      <c r="O1" s="277"/>
      <c r="P1" s="277"/>
      <c r="Q1" s="277"/>
      <c r="R1" s="277"/>
      <c r="T1" s="277" t="s">
        <v>1</v>
      </c>
      <c r="U1" s="277"/>
      <c r="V1" s="277"/>
      <c r="W1" s="277"/>
      <c r="Y1" s="3" t="s">
        <v>2</v>
      </c>
    </row>
    <row r="2" spans="1:25" x14ac:dyDescent="0.2">
      <c r="A2" t="s">
        <v>3</v>
      </c>
      <c r="B2" t="s">
        <v>4</v>
      </c>
      <c r="C2" t="s">
        <v>5</v>
      </c>
      <c r="D2" t="s">
        <v>6</v>
      </c>
      <c r="E2" t="s">
        <v>7</v>
      </c>
      <c r="F2" t="s">
        <v>8</v>
      </c>
      <c r="G2" t="s">
        <v>9</v>
      </c>
      <c r="H2" t="s">
        <v>10</v>
      </c>
      <c r="I2" s="76" t="s">
        <v>11</v>
      </c>
      <c r="J2" t="s">
        <v>12</v>
      </c>
      <c r="K2" t="s">
        <v>13</v>
      </c>
      <c r="L2" t="s">
        <v>14</v>
      </c>
      <c r="M2" t="s">
        <v>15</v>
      </c>
      <c r="N2" t="s">
        <v>16</v>
      </c>
      <c r="O2" t="s">
        <v>17</v>
      </c>
      <c r="P2" s="76" t="s">
        <v>18</v>
      </c>
      <c r="Q2" s="76" t="s">
        <v>19</v>
      </c>
      <c r="R2" s="76" t="s">
        <v>20</v>
      </c>
      <c r="T2" t="s">
        <v>21</v>
      </c>
      <c r="U2" t="s">
        <v>22</v>
      </c>
      <c r="V2" t="s">
        <v>23</v>
      </c>
      <c r="W2" t="s">
        <v>24</v>
      </c>
      <c r="Y2" s="1" t="s">
        <v>25</v>
      </c>
    </row>
    <row r="3" spans="1:25" x14ac:dyDescent="0.2">
      <c r="A3" s="4" t="s">
        <v>26</v>
      </c>
      <c r="B3" s="90" t="str">
        <f>KeyTable[[#This Row],[Class]]&amp;KeyTable[[#This Row],[Type]]</f>
        <v>CalcHdKey</v>
      </c>
      <c r="C3" t="s">
        <v>27</v>
      </c>
      <c r="D3" t="s">
        <v>28</v>
      </c>
      <c r="E3" t="s">
        <v>29</v>
      </c>
      <c r="F3" t="s">
        <v>30</v>
      </c>
      <c r="G3" t="s">
        <v>31</v>
      </c>
      <c r="H3" t="s">
        <v>32</v>
      </c>
      <c r="I3" s="5" t="str" cm="1">
        <f t="array" ref="I3" xml:space="preserve"> IF( OR(RIGHT(KeyTable[[#This Row],[StyleName]], 4) = "Date", RIGHT(KeyTable[[#This Row],[StyleName]], 3) = "Val"), FontTable[Mono], FontTable[Body])</f>
        <v>Bahnschrift</v>
      </c>
      <c r="J3" s="134" t="s">
        <v>33</v>
      </c>
      <c r="K3" s="135" t="s">
        <v>34</v>
      </c>
      <c r="L3" s="135"/>
      <c r="M3" s="134"/>
      <c r="N3" s="135"/>
      <c r="O3" s="136"/>
      <c r="P3" s="6" t="str" cm="1">
        <f t="array" ref="P3">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T2D50</v>
      </c>
      <c r="Q3" s="7" t="str" cm="1">
        <f t="array" ref="Q3">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B1L80</v>
      </c>
      <c r="R3" s="8" t="str" cm="1">
        <f t="array" ref="R3" xml:space="preserve"> _xlfn.LET(  _xlpm.p, KeyTable[[#This Row],[Pat]],    _xlpm.o, KeyTable[[#This Row],[POv]],
_xlpm.use, NOT(ISBLANK(_xlpm.p)),
_xlpm.ov, _xlfn.IFS( _xlpm.o = "N", "",       _xlpm.o = "", "L80",       TRUE, _xlpm.o),
IF(_xlpm.use, _xlpm.p &amp; _xlpm.ov, ""))</f>
        <v/>
      </c>
      <c r="T3" t="b">
        <v>1</v>
      </c>
      <c r="U3" t="s">
        <v>35</v>
      </c>
      <c r="V3">
        <v>700</v>
      </c>
      <c r="W3" t="b" cm="1">
        <f t="array" aca="1" ref="W3" ca="1">AND(ConitionalTable[[#This Row],[Column1]]=BoolYes,ConitionalTable[[#This Row],[Column2]]&lt;&gt;"BadValue",OR(ConitionalTable[[#This Row],[Column3]]&gt;0, NOT(SampleOptionTable[UseCol3])))</f>
        <v>1</v>
      </c>
      <c r="Y3" s="1" t="b">
        <v>0</v>
      </c>
    </row>
    <row r="4" spans="1:25" x14ac:dyDescent="0.2">
      <c r="A4" s="9" t="s">
        <v>36</v>
      </c>
      <c r="B4" s="76" t="str">
        <f>KeyTable[[#This Row],[Class]]&amp;KeyTable[[#This Row],[Type]]</f>
        <v>CalcHd</v>
      </c>
      <c r="C4" t="s">
        <v>27</v>
      </c>
      <c r="D4" t="s">
        <v>37</v>
      </c>
      <c r="E4" t="s">
        <v>29</v>
      </c>
      <c r="F4" t="s">
        <v>30</v>
      </c>
      <c r="G4" t="s">
        <v>31</v>
      </c>
      <c r="H4" t="s">
        <v>32</v>
      </c>
      <c r="I4" s="5" t="str" cm="1">
        <f t="array" ref="I4" xml:space="preserve"> IF( OR(RIGHT(KeyTable[[#This Row],[StyleName]], 4) = "Date", RIGHT(KeyTable[[#This Row],[StyleName]], 3) = "Val"), FontTable[Mono], FontTable[Body])</f>
        <v>Bahnschrift</v>
      </c>
      <c r="J4" s="134" t="s">
        <v>33</v>
      </c>
      <c r="K4" s="135" t="s">
        <v>38</v>
      </c>
      <c r="L4" s="135"/>
      <c r="M4" s="134" t="s">
        <v>39</v>
      </c>
      <c r="N4" s="135"/>
      <c r="O4" s="136"/>
      <c r="P4" s="6" t="str" cm="1">
        <f t="array" ref="P4">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T1L35</v>
      </c>
      <c r="Q4" s="7" t="str" cm="1">
        <f t="array" ref="Q4">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B1L80</v>
      </c>
      <c r="R4" s="10" t="str" cm="1">
        <f t="array" ref="R4" xml:space="preserve"> _xlfn.LET(  _xlpm.p, KeyTable[[#This Row],[Pat]],    _xlpm.o, KeyTable[[#This Row],[POv]],
_xlpm.use, NOT(ISBLANK(_xlpm.p)),
_xlpm.ov, _xlfn.IFS( _xlpm.o = "N", "",       _xlpm.o = "", "L80",       TRUE, _xlpm.o),
IF(_xlpm.use, _xlpm.p &amp; _xlpm.ov, ""))</f>
        <v/>
      </c>
      <c r="T4" t="b">
        <v>0</v>
      </c>
      <c r="U4" t="s">
        <v>40</v>
      </c>
      <c r="V4">
        <v>5</v>
      </c>
      <c r="W4" t="b" cm="1">
        <f t="array" aca="1" ref="W4" ca="1">AND(ConitionalTable[[#This Row],[Column1]]=BoolYes,ConitionalTable[[#This Row],[Column2]]&lt;&gt;"BadValue",OR(ConitionalTable[[#This Row],[Column3]]&gt;0, NOT(SampleOptionTable[UseCol3])))</f>
        <v>0</v>
      </c>
    </row>
    <row r="5" spans="1:25" x14ac:dyDescent="0.2">
      <c r="A5" s="11" t="s">
        <v>41</v>
      </c>
      <c r="B5" s="91" t="str">
        <f>KeyTable[[#This Row],[Class]]&amp;KeyTable[[#This Row],[Type]]</f>
        <v>CalcKey</v>
      </c>
      <c r="C5" t="s">
        <v>27</v>
      </c>
      <c r="D5" t="s">
        <v>42</v>
      </c>
      <c r="E5" t="s">
        <v>43</v>
      </c>
      <c r="F5" t="s">
        <v>30</v>
      </c>
      <c r="G5" t="s">
        <v>44</v>
      </c>
      <c r="I5" s="5" t="str" cm="1">
        <f t="array" ref="I5" xml:space="preserve"> IF( OR(RIGHT(KeyTable[[#This Row],[StyleName]], 4) = "Date", RIGHT(KeyTable[[#This Row],[StyleName]], 3) = "Val"), FontTable[Mono], FontTable[Body])</f>
        <v>Bahnschrift</v>
      </c>
      <c r="J5" s="134" t="s">
        <v>34</v>
      </c>
      <c r="K5" s="135" t="s">
        <v>45</v>
      </c>
      <c r="L5" s="135"/>
      <c r="M5" s="134" t="s">
        <v>46</v>
      </c>
      <c r="N5" s="135"/>
      <c r="O5" s="136"/>
      <c r="P5" s="6" t="str" cm="1">
        <f t="array" ref="P5">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B2D25</v>
      </c>
      <c r="Q5" s="7" t="str" cm="1">
        <f t="array" ref="Q5">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T2</v>
      </c>
      <c r="R5" s="10" t="str" cm="1">
        <f t="array" ref="R5" xml:space="preserve"> _xlfn.LET(  _xlpm.p, KeyTable[[#This Row],[Pat]],    _xlpm.o, KeyTable[[#This Row],[POv]],
_xlpm.use, NOT(ISBLANK(_xlpm.p)),
_xlpm.ov, _xlfn.IFS( _xlpm.o = "N", "",       _xlpm.o = "", "L80",       TRUE, _xlpm.o),
IF(_xlpm.use, _xlpm.p &amp; _xlpm.ov, ""))</f>
        <v/>
      </c>
      <c r="T5" t="b">
        <v>1</v>
      </c>
      <c r="V5">
        <v>-7</v>
      </c>
      <c r="W5" t="b" cm="1">
        <f t="array" aca="1" ref="W5" ca="1">AND(ConitionalTable[[#This Row],[Column1]]=BoolYes,ConitionalTable[[#This Row],[Column2]]&lt;&gt;"BadValue",OR(ConitionalTable[[#This Row],[Column3]]&gt;0, NOT(SampleOptionTable[UseCol3])))</f>
        <v>1</v>
      </c>
    </row>
    <row r="6" spans="1:25" x14ac:dyDescent="0.2">
      <c r="A6" s="10" t="s">
        <v>47</v>
      </c>
      <c r="B6" s="92" t="str">
        <f>KeyTable[[#This Row],[Class]]&amp;KeyTable[[#This Row],[Type]]</f>
        <v>CalcVal</v>
      </c>
      <c r="C6" t="s">
        <v>27</v>
      </c>
      <c r="D6" t="s">
        <v>48</v>
      </c>
      <c r="E6" t="s">
        <v>43</v>
      </c>
      <c r="F6" t="s">
        <v>30</v>
      </c>
      <c r="G6" t="s">
        <v>44</v>
      </c>
      <c r="I6" s="5" t="str" cm="1">
        <f t="array" ref="I6" xml:space="preserve"> IF( OR(RIGHT(KeyTable[[#This Row],[StyleName]], 4) = "Date", RIGHT(KeyTable[[#This Row],[StyleName]], 3) = "Val"), FontTable[Mono], FontTable[Body])</f>
        <v>OCR A Extended</v>
      </c>
      <c r="J6" s="134" t="s">
        <v>34</v>
      </c>
      <c r="K6" s="135" t="s">
        <v>45</v>
      </c>
      <c r="L6" s="135"/>
      <c r="M6" s="134" t="s">
        <v>49</v>
      </c>
      <c r="N6" s="135"/>
      <c r="O6" s="136"/>
      <c r="P6" s="6" t="str" cm="1">
        <f t="array" ref="P6">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B2D15</v>
      </c>
      <c r="Q6" s="7" t="str" cm="1">
        <f t="array" ref="Q6">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T2</v>
      </c>
      <c r="R6" s="10" t="str" cm="1">
        <f t="array" ref="R6" xml:space="preserve"> _xlfn.LET(  _xlpm.p, KeyTable[[#This Row],[Pat]],    _xlpm.o, KeyTable[[#This Row],[POv]],
_xlpm.use, NOT(ISBLANK(_xlpm.p)),
_xlpm.ov, _xlfn.IFS( _xlpm.o = "N", "",       _xlpm.o = "", "L80",       TRUE, _xlpm.o),
IF(_xlpm.use, _xlpm.p &amp; _xlpm.ov, ""))</f>
        <v/>
      </c>
      <c r="T6" t="b">
        <v>1</v>
      </c>
      <c r="U6" t="s">
        <v>50</v>
      </c>
      <c r="V6">
        <v>20</v>
      </c>
      <c r="W6" t="b" cm="1">
        <f t="array" aca="1" ref="W6" ca="1">AND(ConitionalTable[[#This Row],[Column1]]=BoolYes,ConitionalTable[[#This Row],[Column2]]&lt;&gt;"BadValue",OR(ConitionalTable[[#This Row],[Column3]]&gt;0, NOT(SampleOptionTable[UseCol3])))</f>
        <v>1</v>
      </c>
    </row>
    <row r="7" spans="1:25" ht="15" thickBot="1" x14ac:dyDescent="0.25">
      <c r="A7" s="12" t="s">
        <v>51</v>
      </c>
      <c r="B7" s="12" t="str">
        <f>KeyTable[[#This Row],[Class]]&amp;KeyTable[[#This Row],[Type]]</f>
        <v>CalcCell</v>
      </c>
      <c r="C7" t="s">
        <v>27</v>
      </c>
      <c r="D7" t="s">
        <v>52</v>
      </c>
      <c r="E7" s="13" t="s">
        <v>43</v>
      </c>
      <c r="F7" s="13" t="s">
        <v>30</v>
      </c>
      <c r="G7" s="13" t="s">
        <v>44</v>
      </c>
      <c r="H7" s="13"/>
      <c r="I7" s="14" t="str" cm="1">
        <f t="array" ref="I7" xml:space="preserve"> IF( OR(RIGHT(KeyTable[[#This Row],[StyleName]], 4) = "Date", RIGHT(KeyTable[[#This Row],[StyleName]], 3) = "Val"), FontTable[Mono], FontTable[Body])</f>
        <v>Bahnschrift</v>
      </c>
      <c r="J7" s="137" t="s">
        <v>34</v>
      </c>
      <c r="K7" s="138" t="s">
        <v>45</v>
      </c>
      <c r="L7" s="138"/>
      <c r="M7" s="137" t="s">
        <v>53</v>
      </c>
      <c r="N7" s="138"/>
      <c r="O7" s="139"/>
      <c r="P7" s="15" t="str" cm="1">
        <f t="array" ref="P7">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B2D5</v>
      </c>
      <c r="Q7" s="16" t="str" cm="1">
        <f t="array" ref="Q7">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T2</v>
      </c>
      <c r="R7" s="17" t="str" cm="1">
        <f t="array" ref="R7" xml:space="preserve"> _xlfn.LET(  _xlpm.p, KeyTable[[#This Row],[Pat]],    _xlpm.o, KeyTable[[#This Row],[POv]],
_xlpm.use, NOT(ISBLANK(_xlpm.p)),
_xlpm.ov, _xlfn.IFS( _xlpm.o = "N", "",       _xlpm.o = "", "L80",       TRUE, _xlpm.o),
IF(_xlpm.use, _xlpm.p &amp; _xlpm.ov, ""))</f>
        <v/>
      </c>
      <c r="T7" t="b">
        <v>1</v>
      </c>
      <c r="V7">
        <v>-100</v>
      </c>
      <c r="W7" t="b" cm="1">
        <f t="array" aca="1" ref="W7" ca="1">AND(ConitionalTable[[#This Row],[Column1]]=BoolYes,ConitionalTable[[#This Row],[Column2]]&lt;&gt;"BadValue",OR(ConitionalTable[[#This Row],[Column3]]&gt;0, NOT(SampleOptionTable[UseCol3])))</f>
        <v>1</v>
      </c>
    </row>
    <row r="8" spans="1:25" x14ac:dyDescent="0.2">
      <c r="A8" s="18" t="s">
        <v>54</v>
      </c>
      <c r="B8" s="93" t="str">
        <f>KeyTable[[#This Row],[Class]]&amp;KeyTable[[#This Row],[Type]]</f>
        <v>DeacHdKey</v>
      </c>
      <c r="C8" t="s">
        <v>55</v>
      </c>
      <c r="D8" t="s">
        <v>28</v>
      </c>
      <c r="E8" t="s">
        <v>29</v>
      </c>
      <c r="F8" t="s">
        <v>30</v>
      </c>
      <c r="G8" t="s">
        <v>56</v>
      </c>
      <c r="H8" t="s">
        <v>57</v>
      </c>
      <c r="I8" s="19" t="str" cm="1">
        <f t="array" ref="I8" xml:space="preserve"> IF( OR(RIGHT(KeyTable[[#This Row],[StyleName]], 4) = "Date", RIGHT(KeyTable[[#This Row],[StyleName]], 3) = "Val"), FontTable[Mono], FontTable[Body])</f>
        <v>Bahnschrift</v>
      </c>
      <c r="J8" s="134" t="s">
        <v>33</v>
      </c>
      <c r="K8" s="135" t="s">
        <v>34</v>
      </c>
      <c r="L8" s="135" t="s">
        <v>34</v>
      </c>
      <c r="M8" s="140"/>
      <c r="N8" s="141" t="s">
        <v>46</v>
      </c>
      <c r="O8" s="142" t="s">
        <v>58</v>
      </c>
      <c r="P8" s="20" t="str" cm="1">
        <f t="array" ref="P8">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T2D50</v>
      </c>
      <c r="Q8" s="21" t="str" cm="1">
        <f t="array" ref="Q8">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B1D25</v>
      </c>
      <c r="R8" s="22" t="str" cm="1">
        <f t="array" ref="R8" xml:space="preserve"> _xlfn.LET(  _xlpm.p, KeyTable[[#This Row],[Pat]],    _xlpm.o, KeyTable[[#This Row],[POv]],
_xlpm.use, NOT(ISBLANK(_xlpm.p)),
_xlpm.ov, _xlfn.IFS( _xlpm.o = "N", "",       _xlpm.o = "", "L80",       TRUE, _xlpm.o),
IF(_xlpm.use, _xlpm.p &amp; _xlpm.ov, ""))</f>
        <v>T2</v>
      </c>
      <c r="T8" t="b">
        <v>1</v>
      </c>
      <c r="W8" t="b" cm="1">
        <f t="array" aca="1" ref="W8" ca="1">AND(ConitionalTable[[#This Row],[Column1]]=BoolYes,ConitionalTable[[#This Row],[Column2]]&lt;&gt;"BadValue",OR(ConitionalTable[[#This Row],[Column3]]&gt;0, NOT(SampleOptionTable[UseCol3])))</f>
        <v>1</v>
      </c>
    </row>
    <row r="9" spans="1:25" x14ac:dyDescent="0.2">
      <c r="A9" s="23" t="s">
        <v>59</v>
      </c>
      <c r="B9" s="94" t="str">
        <f>KeyTable[[#This Row],[Class]]&amp;KeyTable[[#This Row],[Type]]</f>
        <v>DeacHd</v>
      </c>
      <c r="C9" t="s">
        <v>55</v>
      </c>
      <c r="D9" t="s">
        <v>37</v>
      </c>
      <c r="E9" t="s">
        <v>29</v>
      </c>
      <c r="F9" t="s">
        <v>30</v>
      </c>
      <c r="G9" t="s">
        <v>56</v>
      </c>
      <c r="H9" t="s">
        <v>32</v>
      </c>
      <c r="I9" s="5" t="str" cm="1">
        <f t="array" ref="I9" xml:space="preserve"> IF( OR(RIGHT(KeyTable[[#This Row],[StyleName]], 4) = "Date", RIGHT(KeyTable[[#This Row],[StyleName]], 3) = "Val"), FontTable[Mono], FontTable[Body])</f>
        <v>Bahnschrift</v>
      </c>
      <c r="J9" s="134" t="s">
        <v>38</v>
      </c>
      <c r="K9" s="135" t="s">
        <v>38</v>
      </c>
      <c r="L9" s="135"/>
      <c r="M9" s="134"/>
      <c r="N9" s="135" t="s">
        <v>60</v>
      </c>
      <c r="O9" s="136"/>
      <c r="P9" s="6" t="str" cm="1">
        <f t="array" ref="P9">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T1D25</v>
      </c>
      <c r="Q9" s="7" t="str" cm="1">
        <f t="array" ref="Q9">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T1L50</v>
      </c>
      <c r="R9" s="7" t="str" cm="1">
        <f t="array" ref="R9" xml:space="preserve"> _xlfn.LET(  _xlpm.p, KeyTable[[#This Row],[Pat]],    _xlpm.o, KeyTable[[#This Row],[POv]],
_xlpm.use, NOT(ISBLANK(_xlpm.p)),
_xlpm.ov, _xlfn.IFS( _xlpm.o = "N", "",       _xlpm.o = "", "L80",       TRUE, _xlpm.o),
IF(_xlpm.use, _xlpm.p &amp; _xlpm.ov, ""))</f>
        <v/>
      </c>
      <c r="T9" t="b">
        <v>1</v>
      </c>
      <c r="V9">
        <v>80</v>
      </c>
      <c r="W9" t="b" cm="1">
        <f t="array" aca="1" ref="W9" ca="1">AND(ConitionalTable[[#This Row],[Column1]]=BoolYes,ConitionalTable[[#This Row],[Column2]]&lt;&gt;"BadValue",OR(ConitionalTable[[#This Row],[Column3]]&gt;0, NOT(SampleOptionTable[UseCol3])))</f>
        <v>1</v>
      </c>
    </row>
    <row r="10" spans="1:25" x14ac:dyDescent="0.2">
      <c r="A10" s="24" t="s">
        <v>61</v>
      </c>
      <c r="B10" s="95" t="str">
        <f>KeyTable[[#This Row],[Class]]&amp;KeyTable[[#This Row],[Type]]</f>
        <v>DeacCell</v>
      </c>
      <c r="C10" t="s">
        <v>55</v>
      </c>
      <c r="D10" t="s">
        <v>52</v>
      </c>
      <c r="E10" t="s">
        <v>62</v>
      </c>
      <c r="F10" t="s">
        <v>30</v>
      </c>
      <c r="G10" t="s">
        <v>63</v>
      </c>
      <c r="I10" s="5" t="str" cm="1">
        <f t="array" ref="I10" xml:space="preserve"> IF( OR(RIGHT(KeyTable[[#This Row],[StyleName]], 4) = "Date", RIGHT(KeyTable[[#This Row],[StyleName]], 3) = "Val"), FontTable[Mono], FontTable[Body])</f>
        <v>Bahnschrift</v>
      </c>
      <c r="J10" s="134" t="s">
        <v>33</v>
      </c>
      <c r="K10" s="135" t="s">
        <v>33</v>
      </c>
      <c r="L10" s="135"/>
      <c r="M10" s="134" t="s">
        <v>58</v>
      </c>
      <c r="N10" s="135" t="s">
        <v>46</v>
      </c>
      <c r="O10" s="136"/>
      <c r="P10" s="6" t="str" cm="1">
        <f t="array" ref="P10">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B1</v>
      </c>
      <c r="Q10" s="7" t="str" cm="1">
        <f t="array" ref="Q10">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B1D25</v>
      </c>
      <c r="R10" s="7" t="str" cm="1">
        <f t="array" ref="R10" xml:space="preserve"> _xlfn.LET(  _xlpm.p, KeyTable[[#This Row],[Pat]],    _xlpm.o, KeyTable[[#This Row],[POv]],
_xlpm.use, NOT(ISBLANK(_xlpm.p)),
_xlpm.ov, _xlfn.IFS( _xlpm.o = "N", "",       _xlpm.o = "", "L80",       TRUE, _xlpm.o),
IF(_xlpm.use, _xlpm.p &amp; _xlpm.ov, ""))</f>
        <v/>
      </c>
      <c r="W10" t="b" cm="1">
        <f t="array" aca="1" ref="W10" ca="1">AND(ConitionalTable[[#This Row],[Column1]]=BoolYes,ConitionalTable[[#This Row],[Column2]]&lt;&gt;"BadValue",OR(ConitionalTable[[#This Row],[Column3]]&gt;0, NOT(SampleOptionTable[UseCol3])))</f>
        <v>0</v>
      </c>
    </row>
    <row r="11" spans="1:25" ht="15" thickBot="1" x14ac:dyDescent="0.25">
      <c r="A11" s="25" t="s">
        <v>64</v>
      </c>
      <c r="B11" s="96" t="str">
        <f>KeyTable[[#This Row],[Class]]&amp;KeyTable[[#This Row],[Type]]</f>
        <v>ActDeac</v>
      </c>
      <c r="C11" t="s">
        <v>65</v>
      </c>
      <c r="D11" t="s">
        <v>55</v>
      </c>
      <c r="E11" s="13" t="s">
        <v>62</v>
      </c>
      <c r="F11" s="13" t="s">
        <v>30</v>
      </c>
      <c r="G11" s="13" t="s">
        <v>63</v>
      </c>
      <c r="H11" s="13" t="s">
        <v>66</v>
      </c>
      <c r="I11" s="14" t="str" cm="1">
        <f t="array" ref="I11" xml:space="preserve"> IF( OR(RIGHT(KeyTable[[#This Row],[StyleName]], 4) = "Date", RIGHT(KeyTable[[#This Row],[StyleName]], 3) = "Val"), FontTable[Mono], FontTable[Body])</f>
        <v>Bahnschrift</v>
      </c>
      <c r="J11" s="137" t="s">
        <v>33</v>
      </c>
      <c r="K11" s="138" t="s">
        <v>33</v>
      </c>
      <c r="L11" s="138" t="s">
        <v>38</v>
      </c>
      <c r="M11" s="137"/>
      <c r="N11" s="138"/>
      <c r="O11" s="139" t="s">
        <v>39</v>
      </c>
      <c r="P11" s="15" t="str" cm="1">
        <f t="array" ref="P11">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B1</v>
      </c>
      <c r="Q11" s="16" t="str" cm="1">
        <f t="array" ref="Q11">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B1D50</v>
      </c>
      <c r="R11" s="16" t="str" cm="1">
        <f t="array" ref="R11" xml:space="preserve"> _xlfn.LET(  _xlpm.p, KeyTable[[#This Row],[Pat]],    _xlpm.o, KeyTable[[#This Row],[POv]],
_xlpm.use, NOT(ISBLANK(_xlpm.p)),
_xlpm.ov, _xlfn.IFS( _xlpm.o = "N", "",       _xlpm.o = "", "L80",       TRUE, _xlpm.o),
IF(_xlpm.use, _xlpm.p &amp; _xlpm.ov, ""))</f>
        <v>T1L35</v>
      </c>
      <c r="W11" t="b" cm="1">
        <f t="array" aca="1" ref="W11" ca="1">AND(ConitionalTable[[#This Row],[Column1]]=BoolYes,ConitionalTable[[#This Row],[Column2]]&lt;&gt;"BadValue",OR(ConitionalTable[[#This Row],[Column3]]&gt;0, NOT(SampleOptionTable[UseCol3])))</f>
        <v>0</v>
      </c>
    </row>
    <row r="12" spans="1:25" x14ac:dyDescent="0.2">
      <c r="A12" s="26" t="s">
        <v>67</v>
      </c>
      <c r="B12" s="97" t="str">
        <f>KeyTable[[#This Row],[Class]]&amp;KeyTable[[#This Row],[Type]]</f>
        <v>BoxTitle</v>
      </c>
      <c r="C12" t="s">
        <v>68</v>
      </c>
      <c r="D12" t="s">
        <v>69</v>
      </c>
      <c r="E12" t="s">
        <v>70</v>
      </c>
      <c r="F12" t="s">
        <v>30</v>
      </c>
      <c r="G12" t="s">
        <v>71</v>
      </c>
      <c r="H12" t="s">
        <v>72</v>
      </c>
      <c r="I12" s="19" t="str" cm="1">
        <f t="array" ref="I12" xml:space="preserve"> IF( OR(RIGHT(KeyTable[[#This Row],[StyleName]], 4) = "Date", RIGHT(KeyTable[[#This Row],[StyleName]], 3) = "Val"), FontTable[Mono], FontTable[Body])</f>
        <v>Bahnschrift</v>
      </c>
      <c r="J12" s="134" t="s">
        <v>73</v>
      </c>
      <c r="K12" s="135" t="s">
        <v>73</v>
      </c>
      <c r="L12" s="135"/>
      <c r="M12" s="140" t="s">
        <v>74</v>
      </c>
      <c r="N12" s="141"/>
      <c r="O12" s="142"/>
      <c r="P12" s="20" t="str" cm="1">
        <f t="array" ref="P12">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A1D50</v>
      </c>
      <c r="Q12" s="21" t="str" cm="1">
        <f t="array" ref="Q12">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A1L80</v>
      </c>
      <c r="R12" s="21" t="str" cm="1">
        <f t="array" ref="R12" xml:space="preserve"> _xlfn.LET(  _xlpm.p, KeyTable[[#This Row],[Pat]],    _xlpm.o, KeyTable[[#This Row],[POv]],
_xlpm.use, NOT(ISBLANK(_xlpm.p)),
_xlpm.ov, _xlfn.IFS( _xlpm.o = "N", "",       _xlpm.o = "", "L80",       TRUE, _xlpm.o),
IF(_xlpm.use, _xlpm.p &amp; _xlpm.ov, ""))</f>
        <v/>
      </c>
      <c r="T12" t="b">
        <v>0</v>
      </c>
      <c r="W12" t="b" cm="1">
        <f t="array" aca="1" ref="W12" ca="1">AND(ConitionalTable[[#This Row],[Column1]]=BoolYes,ConitionalTable[[#This Row],[Column2]]&lt;&gt;"BadValue",OR(ConitionalTable[[#This Row],[Column3]]&gt;0, NOT(SampleOptionTable[UseCol3])))</f>
        <v>0</v>
      </c>
    </row>
    <row r="13" spans="1:25" x14ac:dyDescent="0.2">
      <c r="A13" s="27" t="s">
        <v>75</v>
      </c>
      <c r="B13" s="98" t="str">
        <f>KeyTable[[#This Row],[Class]]&amp;KeyTable[[#This Row],[Type]]</f>
        <v>BoxHdKey</v>
      </c>
      <c r="C13" t="s">
        <v>68</v>
      </c>
      <c r="D13" t="s">
        <v>28</v>
      </c>
      <c r="E13" t="s">
        <v>70</v>
      </c>
      <c r="F13" t="s">
        <v>30</v>
      </c>
      <c r="G13" t="s">
        <v>71</v>
      </c>
      <c r="H13" t="s">
        <v>76</v>
      </c>
      <c r="I13" s="5" t="str" cm="1">
        <f t="array" ref="I13" xml:space="preserve"> IF( OR(RIGHT(KeyTable[[#This Row],[StyleName]], 4) = "Date", RIGHT(KeyTable[[#This Row],[StyleName]], 3) = "Val"), FontTable[Mono], FontTable[Body])</f>
        <v>Bahnschrift</v>
      </c>
      <c r="J13" s="134" t="s">
        <v>73</v>
      </c>
      <c r="K13" s="135" t="s">
        <v>73</v>
      </c>
      <c r="L13" s="135"/>
      <c r="M13" s="134"/>
      <c r="N13" s="135"/>
      <c r="O13" s="136"/>
      <c r="P13" s="6" t="str" cm="1">
        <f t="array" ref="P13">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A1D50</v>
      </c>
      <c r="Q13" s="7" t="str" cm="1">
        <f t="array" ref="Q13">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A1L80</v>
      </c>
      <c r="R13" s="10" t="str" cm="1">
        <f t="array" ref="R13" xml:space="preserve"> _xlfn.LET(  _xlpm.p, KeyTable[[#This Row],[Pat]],    _xlpm.o, KeyTable[[#This Row],[POv]],
_xlpm.use, NOT(ISBLANK(_xlpm.p)),
_xlpm.ov, _xlfn.IFS( _xlpm.o = "N", "",       _xlpm.o = "", "L80",       TRUE, _xlpm.o),
IF(_xlpm.use, _xlpm.p &amp; _xlpm.ov, ""))</f>
        <v/>
      </c>
      <c r="T13" t="b">
        <v>0</v>
      </c>
      <c r="V13">
        <v>-56</v>
      </c>
      <c r="W13" t="b" cm="1">
        <f t="array" aca="1" ref="W13" ca="1">AND(ConitionalTable[[#This Row],[Column1]]=BoolYes,ConitionalTable[[#This Row],[Column2]]&lt;&gt;"BadValue",OR(ConitionalTable[[#This Row],[Column3]]&gt;0, NOT(SampleOptionTable[UseCol3])))</f>
        <v>0</v>
      </c>
    </row>
    <row r="14" spans="1:25" x14ac:dyDescent="0.2">
      <c r="A14" s="28" t="s">
        <v>77</v>
      </c>
      <c r="B14" s="28" t="str">
        <f>KeyTable[[#This Row],[Class]]&amp;KeyTable[[#This Row],[Type]]</f>
        <v>BoxHd</v>
      </c>
      <c r="C14" t="s">
        <v>68</v>
      </c>
      <c r="D14" t="s">
        <v>37</v>
      </c>
      <c r="E14" t="s">
        <v>70</v>
      </c>
      <c r="F14" t="s">
        <v>30</v>
      </c>
      <c r="G14" t="s">
        <v>71</v>
      </c>
      <c r="H14" t="s">
        <v>76</v>
      </c>
      <c r="I14" s="5" t="str" cm="1">
        <f t="array" ref="I14" xml:space="preserve"> IF( OR(RIGHT(KeyTable[[#This Row],[StyleName]], 4) = "Date", RIGHT(KeyTable[[#This Row],[StyleName]], 3) = "Val"), FontTable[Mono], FontTable[Body])</f>
        <v>Bahnschrift</v>
      </c>
      <c r="J14" s="134" t="s">
        <v>73</v>
      </c>
      <c r="K14" s="135" t="s">
        <v>73</v>
      </c>
      <c r="L14" s="135"/>
      <c r="M14" s="134"/>
      <c r="N14" s="135"/>
      <c r="O14" s="136"/>
      <c r="P14" s="6" t="str" cm="1">
        <f t="array" ref="P14">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A1D25</v>
      </c>
      <c r="Q14" s="7" t="str" cm="1">
        <f t="array" ref="Q14">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A1L80</v>
      </c>
      <c r="R14" s="10" t="str" cm="1">
        <f t="array" ref="R14" xml:space="preserve"> _xlfn.LET(  _xlpm.p, KeyTable[[#This Row],[Pat]],    _xlpm.o, KeyTable[[#This Row],[POv]],
_xlpm.use, NOT(ISBLANK(_xlpm.p)),
_xlpm.ov, _xlfn.IFS( _xlpm.o = "N", "",       _xlpm.o = "", "L80",       TRUE, _xlpm.o),
IF(_xlpm.use, _xlpm.p &amp; _xlpm.ov, ""))</f>
        <v/>
      </c>
      <c r="T14" t="b">
        <v>0</v>
      </c>
      <c r="W14" t="b" cm="1">
        <f t="array" aca="1" ref="W14" ca="1">AND(ConitionalTable[[#This Row],[Column1]]=BoolYes,ConitionalTable[[#This Row],[Column2]]&lt;&gt;"BadValue",OR(ConitionalTable[[#This Row],[Column3]]&gt;0, NOT(SampleOptionTable[UseCol3])))</f>
        <v>0</v>
      </c>
    </row>
    <row r="15" spans="1:25" x14ac:dyDescent="0.2">
      <c r="A15" s="29" t="s">
        <v>78</v>
      </c>
      <c r="B15" s="99" t="str">
        <f>KeyTable[[#This Row],[Class]]&amp;KeyTable[[#This Row],[Type]]</f>
        <v>BoxKey</v>
      </c>
      <c r="C15" t="s">
        <v>68</v>
      </c>
      <c r="D15" t="s">
        <v>42</v>
      </c>
      <c r="E15" s="30" t="s">
        <v>79</v>
      </c>
      <c r="F15" s="30" t="s">
        <v>80</v>
      </c>
      <c r="G15" s="30" t="s">
        <v>81</v>
      </c>
      <c r="H15" s="30" t="s">
        <v>82</v>
      </c>
      <c r="I15" s="5" t="str" cm="1">
        <f t="array" ref="I15" xml:space="preserve"> IF( OR(RIGHT(KeyTable[[#This Row],[StyleName]], 4) = "Date", RIGHT(KeyTable[[#This Row],[StyleName]], 3) = "Val"), FontTable[Mono], FontTable[Body])</f>
        <v>Bahnschrift</v>
      </c>
      <c r="J15" s="143" t="s">
        <v>73</v>
      </c>
      <c r="K15" s="144" t="s">
        <v>73</v>
      </c>
      <c r="L15" s="144"/>
      <c r="M15" s="143"/>
      <c r="N15" s="144" t="s">
        <v>74</v>
      </c>
      <c r="O15" s="136"/>
      <c r="P15" s="6" t="str" cm="1">
        <f t="array" ref="P15">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A1L40</v>
      </c>
      <c r="Q15" s="7" t="str" cm="1">
        <f t="array" ref="Q15">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A1D50</v>
      </c>
      <c r="R15" s="10" t="str" cm="1">
        <f t="array" ref="R15" xml:space="preserve"> _xlfn.LET(  _xlpm.p, KeyTable[[#This Row],[Pat]],    _xlpm.o, KeyTable[[#This Row],[POv]],
_xlpm.use, NOT(ISBLANK(_xlpm.p)),
_xlpm.ov, _xlfn.IFS( _xlpm.o = "N", "",       _xlpm.o = "", "L80",       TRUE, _xlpm.o),
IF(_xlpm.use, _xlpm.p &amp; _xlpm.ov, ""))</f>
        <v/>
      </c>
      <c r="T15" t="b">
        <v>0</v>
      </c>
      <c r="W15" t="b" cm="1">
        <f t="array" aca="1" ref="W15" ca="1">AND(ConitionalTable[[#This Row],[Column1]]=BoolYes,ConitionalTable[[#This Row],[Column2]]&lt;&gt;"BadValue",OR(ConitionalTable[[#This Row],[Column3]]&gt;0, NOT(SampleOptionTable[UseCol3])))</f>
        <v>0</v>
      </c>
    </row>
    <row r="16" spans="1:25" x14ac:dyDescent="0.2">
      <c r="A16" s="31" t="s">
        <v>83</v>
      </c>
      <c r="B16" s="100" t="str">
        <f>KeyTable[[#This Row],[Class]]&amp;KeyTable[[#This Row],[Type]]</f>
        <v>BoxVal</v>
      </c>
      <c r="C16" t="s">
        <v>68</v>
      </c>
      <c r="D16" t="s">
        <v>48</v>
      </c>
      <c r="E16" t="s">
        <v>70</v>
      </c>
      <c r="F16" t="s">
        <v>80</v>
      </c>
      <c r="G16" t="s">
        <v>81</v>
      </c>
      <c r="H16" t="s">
        <v>82</v>
      </c>
      <c r="I16" s="5" t="str" cm="1">
        <f t="array" ref="I16" xml:space="preserve"> IF( OR(RIGHT(KeyTable[[#This Row],[StyleName]], 4) = "Date", RIGHT(KeyTable[[#This Row],[StyleName]], 3) = "Val"), FontTable[Mono], FontTable[Body])</f>
        <v>OCR A Extended</v>
      </c>
      <c r="J16" s="134" t="s">
        <v>73</v>
      </c>
      <c r="K16" s="135" t="s">
        <v>73</v>
      </c>
      <c r="L16" s="135"/>
      <c r="M16" s="134" t="s">
        <v>84</v>
      </c>
      <c r="N16" s="135" t="s">
        <v>74</v>
      </c>
      <c r="O16" s="136"/>
      <c r="P16" s="6" t="str" cm="1">
        <f t="array" ref="P16">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A1L60</v>
      </c>
      <c r="Q16" s="7" t="str" cm="1">
        <f t="array" ref="Q16">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A1D50</v>
      </c>
      <c r="R16" s="10" t="str" cm="1">
        <f t="array" ref="R16" xml:space="preserve"> _xlfn.LET(  _xlpm.p, KeyTable[[#This Row],[Pat]],    _xlpm.o, KeyTable[[#This Row],[POv]],
_xlpm.use, NOT(ISBLANK(_xlpm.p)),
_xlpm.ov, _xlfn.IFS( _xlpm.o = "N", "",       _xlpm.o = "", "L80",       TRUE, _xlpm.o),
IF(_xlpm.use, _xlpm.p &amp; _xlpm.ov, ""))</f>
        <v/>
      </c>
      <c r="T16" t="b">
        <v>0</v>
      </c>
      <c r="W16" t="b" cm="1">
        <f t="array" aca="1" ref="W16" ca="1">AND(ConitionalTable[[#This Row],[Column1]]=BoolYes,ConitionalTable[[#This Row],[Column2]]&lt;&gt;"BadValue",OR(ConitionalTable[[#This Row],[Column3]]&gt;0, NOT(SampleOptionTable[UseCol3])))</f>
        <v>0</v>
      </c>
    </row>
    <row r="17" spans="1:23" x14ac:dyDescent="0.2">
      <c r="A17" s="32" t="s">
        <v>85</v>
      </c>
      <c r="B17" s="101" t="str">
        <f>KeyTable[[#This Row],[Class]]&amp;KeyTable[[#This Row],[Type]]</f>
        <v>BoxCell</v>
      </c>
      <c r="C17" t="s">
        <v>68</v>
      </c>
      <c r="D17" t="s">
        <v>52</v>
      </c>
      <c r="E17" s="30" t="s">
        <v>79</v>
      </c>
      <c r="F17" s="30" t="s">
        <v>80</v>
      </c>
      <c r="G17" s="30" t="s">
        <v>81</v>
      </c>
      <c r="H17" s="30" t="s">
        <v>82</v>
      </c>
      <c r="I17" s="5" t="str" cm="1">
        <f t="array" ref="I17" xml:space="preserve"> IF( OR(RIGHT(KeyTable[[#This Row],[StyleName]], 4) = "Date", RIGHT(KeyTable[[#This Row],[StyleName]], 3) = "Val"), FontTable[Mono], FontTable[Body])</f>
        <v>Bahnschrift</v>
      </c>
      <c r="J17" s="143" t="s">
        <v>73</v>
      </c>
      <c r="K17" s="144" t="s">
        <v>73</v>
      </c>
      <c r="L17" s="144"/>
      <c r="M17" s="143" t="s">
        <v>86</v>
      </c>
      <c r="N17" s="144" t="s">
        <v>74</v>
      </c>
      <c r="O17" s="136"/>
      <c r="P17" s="6" t="str" cm="1">
        <f t="array" ref="P17">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A1L80</v>
      </c>
      <c r="Q17" s="7" t="str" cm="1">
        <f t="array" ref="Q17">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A1D50</v>
      </c>
      <c r="R17" s="10" t="str" cm="1">
        <f t="array" ref="R17" xml:space="preserve"> _xlfn.LET(  _xlpm.p, KeyTable[[#This Row],[Pat]],    _xlpm.o, KeyTable[[#This Row],[POv]],
_xlpm.use, NOT(ISBLANK(_xlpm.p)),
_xlpm.ov, _xlfn.IFS( _xlpm.o = "N", "",       _xlpm.o = "", "L80",       TRUE, _xlpm.o),
IF(_xlpm.use, _xlpm.p &amp; _xlpm.ov, ""))</f>
        <v/>
      </c>
      <c r="T17" t="b">
        <v>0</v>
      </c>
      <c r="W17" t="b" cm="1">
        <f t="array" aca="1" ref="W17" ca="1">AND(ConitionalTable[[#This Row],[Column1]]=BoolYes,ConitionalTable[[#This Row],[Column2]]&lt;&gt;"BadValue",OR(ConitionalTable[[#This Row],[Column3]]&gt;0, NOT(SampleOptionTable[UseCol3])))</f>
        <v>0</v>
      </c>
    </row>
    <row r="18" spans="1:23" ht="15" thickBot="1" x14ac:dyDescent="0.25">
      <c r="A18" s="33" t="s">
        <v>87</v>
      </c>
      <c r="B18" s="102" t="str">
        <f>KeyTable[[#This Row],[Class]]&amp;KeyTable[[#This Row],[Type]]</f>
        <v>ActBox</v>
      </c>
      <c r="C18" t="s">
        <v>65</v>
      </c>
      <c r="D18" t="s">
        <v>68</v>
      </c>
      <c r="E18" s="34" t="s">
        <v>88</v>
      </c>
      <c r="F18" s="34" t="s">
        <v>30</v>
      </c>
      <c r="G18" s="34" t="s">
        <v>89</v>
      </c>
      <c r="H18" s="13" t="s">
        <v>90</v>
      </c>
      <c r="I18" s="14" t="str" cm="1">
        <f t="array" ref="I18" xml:space="preserve"> IF( OR(RIGHT(KeyTable[[#This Row],[StyleName]], 4) = "Date", RIGHT(KeyTable[[#This Row],[StyleName]], 3) = "Val"), FontTable[Mono], FontTable[Body])</f>
        <v>Bahnschrift</v>
      </c>
      <c r="J18" s="145" t="s">
        <v>73</v>
      </c>
      <c r="K18" s="146" t="s">
        <v>73</v>
      </c>
      <c r="L18" s="146" t="s">
        <v>73</v>
      </c>
      <c r="M18" s="145" t="s">
        <v>84</v>
      </c>
      <c r="N18" s="146"/>
      <c r="O18" s="139"/>
      <c r="P18" s="35" t="str" cm="1">
        <f t="array" ref="P18">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A1L60</v>
      </c>
      <c r="Q18" s="16" t="str" cm="1">
        <f t="array" ref="Q18">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A1D50</v>
      </c>
      <c r="R18" s="17" t="str" cm="1">
        <f t="array" ref="R18" xml:space="preserve"> _xlfn.LET(  _xlpm.p, KeyTable[[#This Row],[Pat]],    _xlpm.o, KeyTable[[#This Row],[POv]],
_xlpm.use, NOT(ISBLANK(_xlpm.p)),
_xlpm.ov, _xlfn.IFS( _xlpm.o = "N", "",       _xlpm.o = "", "L80",       TRUE, _xlpm.o),
IF(_xlpm.use, _xlpm.p &amp; _xlpm.ov, ""))</f>
        <v>A1L80</v>
      </c>
      <c r="T18" t="b">
        <v>0</v>
      </c>
      <c r="W18" t="b" cm="1">
        <f t="array" aca="1" ref="W18" ca="1">AND(ConitionalTable[[#This Row],[Column1]]=BoolYes,ConitionalTable[[#This Row],[Column2]]&lt;&gt;"BadValue",OR(ConitionalTable[[#This Row],[Column3]]&gt;0, NOT(SampleOptionTable[UseCol3])))</f>
        <v>0</v>
      </c>
    </row>
    <row r="19" spans="1:23" x14ac:dyDescent="0.2">
      <c r="A19" s="36" t="s">
        <v>91</v>
      </c>
      <c r="B19" s="103" t="str">
        <f>KeyTable[[#This Row],[Class]]&amp;KeyTable[[#This Row],[Type]]</f>
        <v>InpHdKey</v>
      </c>
      <c r="C19" t="s">
        <v>92</v>
      </c>
      <c r="D19" t="s">
        <v>28</v>
      </c>
      <c r="E19" t="s">
        <v>29</v>
      </c>
      <c r="F19" t="s">
        <v>30</v>
      </c>
      <c r="G19" t="s">
        <v>71</v>
      </c>
      <c r="H19" t="s">
        <v>32</v>
      </c>
      <c r="I19" s="19" t="str" cm="1">
        <f t="array" ref="I19" xml:space="preserve"> IF( OR(RIGHT(KeyTable[[#This Row],[StyleName]], 4) = "Date", RIGHT(KeyTable[[#This Row],[StyleName]], 3) = "Val"), FontTable[Mono], FontTable[Body])</f>
        <v>Bahnschrift</v>
      </c>
      <c r="J19" s="134" t="s">
        <v>93</v>
      </c>
      <c r="K19" s="135" t="s">
        <v>93</v>
      </c>
      <c r="L19" s="135"/>
      <c r="M19" s="134"/>
      <c r="N19" s="135"/>
      <c r="O19" s="136"/>
      <c r="P19" s="20" t="str" cm="1">
        <f t="array" ref="P19">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A2D50</v>
      </c>
      <c r="Q19" s="21" t="str" cm="1">
        <f t="array" ref="Q19">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A2L80</v>
      </c>
      <c r="R19" s="22" t="str" cm="1">
        <f t="array" ref="R19" xml:space="preserve"> _xlfn.LET(  _xlpm.p, KeyTable[[#This Row],[Pat]],    _xlpm.o, KeyTable[[#This Row],[POv]],
_xlpm.use, NOT(ISBLANK(_xlpm.p)),
_xlpm.ov, _xlfn.IFS( _xlpm.o = "N", "",       _xlpm.o = "", "L80",       TRUE, _xlpm.o),
IF(_xlpm.use, _xlpm.p &amp; _xlpm.ov, ""))</f>
        <v/>
      </c>
      <c r="T19" t="b">
        <v>0</v>
      </c>
      <c r="W19" t="b" cm="1">
        <f t="array" aca="1" ref="W19" ca="1">AND(ConitionalTable[[#This Row],[Column1]]=BoolYes,ConitionalTable[[#This Row],[Column2]]&lt;&gt;"BadValue",OR(ConitionalTable[[#This Row],[Column3]]&gt;0, NOT(SampleOptionTable[UseCol3])))</f>
        <v>0</v>
      </c>
    </row>
    <row r="20" spans="1:23" x14ac:dyDescent="0.2">
      <c r="A20" s="37" t="s">
        <v>94</v>
      </c>
      <c r="B20" s="104" t="str">
        <f>KeyTable[[#This Row],[Class]]&amp;KeyTable[[#This Row],[Type]]</f>
        <v>InpHd</v>
      </c>
      <c r="C20" t="s">
        <v>92</v>
      </c>
      <c r="D20" t="s">
        <v>37</v>
      </c>
      <c r="E20" t="s">
        <v>29</v>
      </c>
      <c r="F20" t="s">
        <v>30</v>
      </c>
      <c r="G20" t="s">
        <v>71</v>
      </c>
      <c r="H20" t="s">
        <v>32</v>
      </c>
      <c r="I20" s="5" t="str" cm="1">
        <f t="array" ref="I20" xml:space="preserve"> IF( OR(RIGHT(KeyTable[[#This Row],[StyleName]], 4) = "Date", RIGHT(KeyTable[[#This Row],[StyleName]], 3) = "Val"), FontTable[Mono], FontTable[Body])</f>
        <v>Bahnschrift</v>
      </c>
      <c r="J20" s="134" t="s">
        <v>93</v>
      </c>
      <c r="K20" s="135" t="s">
        <v>93</v>
      </c>
      <c r="L20" s="135"/>
      <c r="M20" s="134"/>
      <c r="N20" s="135"/>
      <c r="O20" s="136"/>
      <c r="P20" s="6" t="str" cm="1">
        <f t="array" ref="P20">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A2D25</v>
      </c>
      <c r="Q20" s="7" t="str" cm="1">
        <f t="array" ref="Q20">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A2L80</v>
      </c>
      <c r="R20" s="10" t="str" cm="1">
        <f t="array" ref="R20" xml:space="preserve"> _xlfn.LET(  _xlpm.p, KeyTable[[#This Row],[Pat]],    _xlpm.o, KeyTable[[#This Row],[POv]],
_xlpm.use, NOT(ISBLANK(_xlpm.p)),
_xlpm.ov, _xlfn.IFS( _xlpm.o = "N", "",       _xlpm.o = "", "L80",       TRUE, _xlpm.o),
IF(_xlpm.use, _xlpm.p &amp; _xlpm.ov, ""))</f>
        <v/>
      </c>
      <c r="T20" t="b">
        <v>0</v>
      </c>
      <c r="W20" t="b" cm="1">
        <f t="array" aca="1" ref="W20" ca="1">AND(ConitionalTable[[#This Row],[Column1]]=BoolYes,ConitionalTable[[#This Row],[Column2]]&lt;&gt;"BadValue",OR(ConitionalTable[[#This Row],[Column3]]&gt;0, NOT(SampleOptionTable[UseCol3])))</f>
        <v>0</v>
      </c>
    </row>
    <row r="21" spans="1:23" x14ac:dyDescent="0.2">
      <c r="A21" s="38" t="s">
        <v>95</v>
      </c>
      <c r="B21" s="128" t="str">
        <f>KeyTable[[#This Row],[Class]]&amp;KeyTable[[#This Row],[Type]]</f>
        <v>InpKey</v>
      </c>
      <c r="C21" t="s">
        <v>92</v>
      </c>
      <c r="D21" t="s">
        <v>42</v>
      </c>
      <c r="E21" t="s">
        <v>96</v>
      </c>
      <c r="F21" t="s">
        <v>80</v>
      </c>
      <c r="G21" t="s">
        <v>81</v>
      </c>
      <c r="I21" s="5" t="str" cm="1">
        <f t="array" ref="I21" xml:space="preserve"> IF( OR(RIGHT(KeyTable[[#This Row],[StyleName]], 4) = "Date", RIGHT(KeyTable[[#This Row],[StyleName]], 3) = "Val"), FontTable[Mono], FontTable[Body])</f>
        <v>Bahnschrift</v>
      </c>
      <c r="J21" s="134" t="s">
        <v>38</v>
      </c>
      <c r="K21" s="135" t="s">
        <v>93</v>
      </c>
      <c r="L21" s="135"/>
      <c r="M21" s="134"/>
      <c r="N21" s="135"/>
      <c r="O21" s="136"/>
      <c r="P21" s="6" t="str" cm="1">
        <f t="array" ref="P21">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A2L40</v>
      </c>
      <c r="Q21" s="7" t="str" cm="1">
        <f t="array" ref="Q21">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T1</v>
      </c>
      <c r="R21" s="10" t="str" cm="1">
        <f t="array" ref="R21" xml:space="preserve"> _xlfn.LET(  _xlpm.p, KeyTable[[#This Row],[Pat]],    _xlpm.o, KeyTable[[#This Row],[POv]],
_xlpm.use, NOT(ISBLANK(_xlpm.p)),
_xlpm.ov, _xlfn.IFS( _xlpm.o = "N", "",       _xlpm.o = "", "L80",       TRUE, _xlpm.o),
IF(_xlpm.use, _xlpm.p &amp; _xlpm.ov, ""))</f>
        <v/>
      </c>
      <c r="W21" t="b" cm="1">
        <f t="array" aca="1" ref="W21" ca="1">AND(ConitionalTable[[#This Row],[Column1]]=BoolYes,ConitionalTable[[#This Row],[Column2]]&lt;&gt;"BadValue",OR(ConitionalTable[[#This Row],[Column3]]&gt;0, NOT(SampleOptionTable[UseCol3])))</f>
        <v>0</v>
      </c>
    </row>
    <row r="22" spans="1:23" x14ac:dyDescent="0.2">
      <c r="A22" s="39" t="s">
        <v>97</v>
      </c>
      <c r="B22" s="129" t="str">
        <f>KeyTable[[#This Row],[Class]]&amp;KeyTable[[#This Row],[Type]]</f>
        <v>InpDate</v>
      </c>
      <c r="C22" t="s">
        <v>92</v>
      </c>
      <c r="D22" t="s">
        <v>98</v>
      </c>
      <c r="E22" t="s">
        <v>96</v>
      </c>
      <c r="F22" t="s">
        <v>80</v>
      </c>
      <c r="G22" t="s">
        <v>81</v>
      </c>
      <c r="H22" t="s">
        <v>99</v>
      </c>
      <c r="I22" s="5" t="str" cm="1">
        <f t="array" ref="I22" xml:space="preserve"> IF( OR(RIGHT(KeyTable[[#This Row],[StyleName]], 4) = "Date", RIGHT(KeyTable[[#This Row],[StyleName]], 3) = "Val"), FontTable[Mono], FontTable[Body])</f>
        <v>OCR A Extended</v>
      </c>
      <c r="J22" s="134" t="s">
        <v>38</v>
      </c>
      <c r="K22" s="135" t="s">
        <v>93</v>
      </c>
      <c r="L22" s="135"/>
      <c r="M22" s="134" t="s">
        <v>84</v>
      </c>
      <c r="N22" s="135"/>
      <c r="O22" s="136"/>
      <c r="P22" s="6" t="str" cm="1">
        <f t="array" ref="P22">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A2L60</v>
      </c>
      <c r="Q22" s="7" t="str" cm="1">
        <f t="array" ref="Q22">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T1</v>
      </c>
      <c r="R22" s="10" t="str" cm="1">
        <f t="array" ref="R22" xml:space="preserve"> _xlfn.LET(  _xlpm.p, KeyTable[[#This Row],[Pat]],    _xlpm.o, KeyTable[[#This Row],[POv]],
_xlpm.use, NOT(ISBLANK(_xlpm.p)),
_xlpm.ov, _xlfn.IFS( _xlpm.o = "N", "",       _xlpm.o = "", "L80",       TRUE, _xlpm.o),
IF(_xlpm.use, _xlpm.p &amp; _xlpm.ov, ""))</f>
        <v/>
      </c>
    </row>
    <row r="23" spans="1:23" x14ac:dyDescent="0.2">
      <c r="A23" s="40" t="s">
        <v>100</v>
      </c>
      <c r="B23" s="130" t="str">
        <f>KeyTable[[#This Row],[Class]]&amp;KeyTable[[#This Row],[Type]]</f>
        <v>InpVal</v>
      </c>
      <c r="C23" t="s">
        <v>92</v>
      </c>
      <c r="D23" t="s">
        <v>48</v>
      </c>
      <c r="E23" t="s">
        <v>96</v>
      </c>
      <c r="F23" t="s">
        <v>80</v>
      </c>
      <c r="G23" t="s">
        <v>81</v>
      </c>
      <c r="I23" s="5" t="str" cm="1">
        <f t="array" ref="I23" xml:space="preserve"> IF( OR(RIGHT(KeyTable[[#This Row],[StyleName]], 4) = "Date", RIGHT(KeyTable[[#This Row],[StyleName]], 3) = "Val"), FontTable[Mono], FontTable[Body])</f>
        <v>OCR A Extended</v>
      </c>
      <c r="J23" s="134" t="s">
        <v>38</v>
      </c>
      <c r="K23" s="135" t="s">
        <v>93</v>
      </c>
      <c r="L23" s="135"/>
      <c r="M23" s="134" t="s">
        <v>84</v>
      </c>
      <c r="N23" s="135"/>
      <c r="O23" s="136"/>
      <c r="P23" s="6" t="str" cm="1">
        <f t="array" ref="P23">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A2L60</v>
      </c>
      <c r="Q23" s="7" t="str" cm="1">
        <f t="array" ref="Q23">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T1</v>
      </c>
      <c r="R23" s="10" t="str" cm="1">
        <f t="array" ref="R23" xml:space="preserve"> _xlfn.LET(  _xlpm.p, KeyTable[[#This Row],[Pat]],    _xlpm.o, KeyTable[[#This Row],[POv]],
_xlpm.use, NOT(ISBLANK(_xlpm.p)),
_xlpm.ov, _xlfn.IFS( _xlpm.o = "N", "",       _xlpm.o = "", "L80",       TRUE, _xlpm.o),
IF(_xlpm.use, _xlpm.p &amp; _xlpm.ov, ""))</f>
        <v/>
      </c>
    </row>
    <row r="24" spans="1:23" x14ac:dyDescent="0.2">
      <c r="A24" s="41" t="s">
        <v>101</v>
      </c>
      <c r="B24" s="131" t="str">
        <f>KeyTable[[#This Row],[Class]]&amp;KeyTable[[#This Row],[Type]]</f>
        <v>InpCell</v>
      </c>
      <c r="C24" t="s">
        <v>92</v>
      </c>
      <c r="D24" t="s">
        <v>52</v>
      </c>
      <c r="E24" t="s">
        <v>96</v>
      </c>
      <c r="F24" t="s">
        <v>80</v>
      </c>
      <c r="G24" t="s">
        <v>81</v>
      </c>
      <c r="I24" s="5" t="str" cm="1">
        <f t="array" ref="I24" xml:space="preserve"> IF( OR(RIGHT(KeyTable[[#This Row],[StyleName]], 4) = "Date", RIGHT(KeyTable[[#This Row],[StyleName]], 3) = "Val"), FontTable[Mono], FontTable[Body])</f>
        <v>Bahnschrift</v>
      </c>
      <c r="J24" s="134" t="s">
        <v>38</v>
      </c>
      <c r="K24" s="135" t="s">
        <v>93</v>
      </c>
      <c r="L24" s="135"/>
      <c r="M24" s="134" t="s">
        <v>86</v>
      </c>
      <c r="N24" s="135"/>
      <c r="O24" s="136"/>
      <c r="P24" s="6" t="str" cm="1">
        <f t="array" ref="P24">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A2L80</v>
      </c>
      <c r="Q24" s="7" t="str" cm="1">
        <f t="array" ref="Q24">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T1</v>
      </c>
      <c r="R24" s="10" t="str" cm="1">
        <f t="array" ref="R24" xml:space="preserve"> _xlfn.LET(  _xlpm.p, KeyTable[[#This Row],[Pat]],    _xlpm.o, KeyTable[[#This Row],[POv]],
_xlpm.use, NOT(ISBLANK(_xlpm.p)),
_xlpm.ov, _xlfn.IFS( _xlpm.o = "N", "",       _xlpm.o = "", "L80",       TRUE, _xlpm.o),
IF(_xlpm.use, _xlpm.p &amp; _xlpm.ov, ""))</f>
        <v/>
      </c>
    </row>
    <row r="25" spans="1:23" ht="15" thickBot="1" x14ac:dyDescent="0.25">
      <c r="A25" s="42" t="s">
        <v>102</v>
      </c>
      <c r="B25" s="132" t="str">
        <f>KeyTable[[#This Row],[Class]]&amp;KeyTable[[#This Row],[Type]]</f>
        <v>ActMiss</v>
      </c>
      <c r="C25" t="s">
        <v>65</v>
      </c>
      <c r="D25" t="s">
        <v>103</v>
      </c>
      <c r="E25" s="13" t="s">
        <v>96</v>
      </c>
      <c r="F25" s="13" t="s">
        <v>80</v>
      </c>
      <c r="G25" s="13" t="s">
        <v>104</v>
      </c>
      <c r="H25" s="13" t="s">
        <v>66</v>
      </c>
      <c r="I25" s="14" t="str" cm="1">
        <f t="array" ref="I25" xml:space="preserve"> IF( OR(RIGHT(KeyTable[[#This Row],[StyleName]], 4) = "Date", RIGHT(KeyTable[[#This Row],[StyleName]], 3) = "Val"), FontTable[Mono], FontTable[Body])</f>
        <v>Bahnschrift</v>
      </c>
      <c r="J25" s="137" t="s">
        <v>93</v>
      </c>
      <c r="K25" s="138" t="s">
        <v>93</v>
      </c>
      <c r="L25" s="138" t="s">
        <v>93</v>
      </c>
      <c r="M25" s="137"/>
      <c r="N25" s="138"/>
      <c r="O25" s="139"/>
      <c r="P25" s="15" t="str" cm="1">
        <f t="array" ref="P25">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A2</v>
      </c>
      <c r="Q25" s="16" t="str" cm="1">
        <f t="array" ref="Q25">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A2D50</v>
      </c>
      <c r="R25" s="17" t="str" cm="1">
        <f t="array" ref="R25" xml:space="preserve"> _xlfn.LET(  _xlpm.p, KeyTable[[#This Row],[Pat]],    _xlpm.o, KeyTable[[#This Row],[POv]],
_xlpm.use, NOT(ISBLANK(_xlpm.p)),
_xlpm.ov, _xlfn.IFS( _xlpm.o = "N", "",       _xlpm.o = "", "L80",       TRUE, _xlpm.o),
IF(_xlpm.use, _xlpm.p &amp; _xlpm.ov, ""))</f>
        <v>A2L80</v>
      </c>
    </row>
    <row r="26" spans="1:23" x14ac:dyDescent="0.2">
      <c r="A26" s="43" t="s">
        <v>105</v>
      </c>
      <c r="B26" s="105" t="str">
        <f>KeyTable[[#This Row],[Class]]&amp;KeyTable[[#This Row],[Type]]</f>
        <v>ErrHdKey</v>
      </c>
      <c r="C26" t="s">
        <v>106</v>
      </c>
      <c r="D26" t="s">
        <v>28</v>
      </c>
      <c r="E26" t="s">
        <v>29</v>
      </c>
      <c r="F26" t="s">
        <v>30</v>
      </c>
      <c r="G26" t="s">
        <v>71</v>
      </c>
      <c r="H26" t="s">
        <v>57</v>
      </c>
      <c r="I26" s="19" t="str" cm="1">
        <f t="array" ref="I26" xml:space="preserve"> IF( OR(RIGHT(KeyTable[[#This Row],[StyleName]], 4) = "Date", RIGHT(KeyTable[[#This Row],[StyleName]], 3) = "Val"), FontTable[Mono], FontTable[Body])</f>
        <v>Bahnschrift</v>
      </c>
      <c r="J26" s="134" t="s">
        <v>107</v>
      </c>
      <c r="K26" s="135" t="s">
        <v>107</v>
      </c>
      <c r="L26" s="135"/>
      <c r="M26" s="140"/>
      <c r="N26" s="141"/>
      <c r="O26" s="142"/>
      <c r="P26" s="20" t="str" cm="1">
        <f t="array" ref="P26">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A3D50</v>
      </c>
      <c r="Q26" s="21" t="str" cm="1">
        <f t="array" ref="Q26">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A3L80</v>
      </c>
      <c r="R26" s="22" t="str" cm="1">
        <f t="array" ref="R26" xml:space="preserve"> _xlfn.LET(  _xlpm.p, KeyTable[[#This Row],[Pat]],    _xlpm.o, KeyTable[[#This Row],[POv]],
_xlpm.use, NOT(ISBLANK(_xlpm.p)),
_xlpm.ov, _xlfn.IFS( _xlpm.o = "N", "",       _xlpm.o = "", "L80",       TRUE, _xlpm.o),
IF(_xlpm.use, _xlpm.p &amp; _xlpm.ov, ""))</f>
        <v/>
      </c>
    </row>
    <row r="27" spans="1:23" x14ac:dyDescent="0.2">
      <c r="A27" s="44" t="s">
        <v>108</v>
      </c>
      <c r="B27" s="106" t="str">
        <f>KeyTable[[#This Row],[Class]]&amp;KeyTable[[#This Row],[Type]]</f>
        <v>ErrHd</v>
      </c>
      <c r="C27" t="s">
        <v>106</v>
      </c>
      <c r="D27" t="s">
        <v>37</v>
      </c>
      <c r="E27" t="s">
        <v>109</v>
      </c>
      <c r="F27" t="s">
        <v>30</v>
      </c>
      <c r="G27" t="s">
        <v>110</v>
      </c>
      <c r="H27" t="s">
        <v>32</v>
      </c>
      <c r="I27" s="5" t="str" cm="1">
        <f t="array" ref="I27" xml:space="preserve"> IF( OR(RIGHT(KeyTable[[#This Row],[StyleName]], 4) = "Date", RIGHT(KeyTable[[#This Row],[StyleName]], 3) = "Val"), FontTable[Mono], FontTable[Body])</f>
        <v>Bahnschrift</v>
      </c>
      <c r="J27" s="134" t="s">
        <v>107</v>
      </c>
      <c r="K27" s="135" t="s">
        <v>107</v>
      </c>
      <c r="L27" s="135"/>
      <c r="M27" s="134"/>
      <c r="N27" s="135"/>
      <c r="O27" s="136"/>
      <c r="P27" s="6" t="str" cm="1">
        <f t="array" ref="P27">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A3D25</v>
      </c>
      <c r="Q27" s="7" t="str" cm="1">
        <f t="array" ref="Q27">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A3L80</v>
      </c>
      <c r="R27" s="10" t="str" cm="1">
        <f t="array" ref="R27" xml:space="preserve"> _xlfn.LET(  _xlpm.p, KeyTable[[#This Row],[Pat]],    _xlpm.o, KeyTable[[#This Row],[POv]],
_xlpm.use, NOT(ISBLANK(_xlpm.p)),
_xlpm.ov, _xlfn.IFS( _xlpm.o = "N", "",       _xlpm.o = "", "L80",       TRUE, _xlpm.o),
IF(_xlpm.use, _xlpm.p &amp; _xlpm.ov, ""))</f>
        <v/>
      </c>
    </row>
    <row r="28" spans="1:23" x14ac:dyDescent="0.2">
      <c r="A28" s="45" t="s">
        <v>111</v>
      </c>
      <c r="B28" s="107" t="str">
        <f>KeyTable[[#This Row],[Class]]&amp;KeyTable[[#This Row],[Type]]</f>
        <v>ErrKey</v>
      </c>
      <c r="C28" t="s">
        <v>106</v>
      </c>
      <c r="D28" t="s">
        <v>42</v>
      </c>
      <c r="E28" t="s">
        <v>43</v>
      </c>
      <c r="F28" t="s">
        <v>30</v>
      </c>
      <c r="G28" t="s">
        <v>112</v>
      </c>
      <c r="I28" s="5" t="str" cm="1">
        <f t="array" ref="I28" xml:space="preserve"> IF( OR(RIGHT(KeyTable[[#This Row],[StyleName]], 4) = "Date", RIGHT(KeyTable[[#This Row],[StyleName]], 3) = "Val"), FontTable[Mono], FontTable[Body])</f>
        <v>Bahnschrift</v>
      </c>
      <c r="J28" s="147" t="s">
        <v>38</v>
      </c>
      <c r="K28" s="135" t="s">
        <v>107</v>
      </c>
      <c r="L28" s="135"/>
      <c r="M28" s="134"/>
      <c r="N28" s="135"/>
      <c r="O28" s="136"/>
      <c r="P28" s="6" t="str" cm="1">
        <f t="array" ref="P28">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A3L40</v>
      </c>
      <c r="Q28" s="7" t="str" cm="1">
        <f t="array" ref="Q28">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T1</v>
      </c>
      <c r="R28" s="10" t="str" cm="1">
        <f t="array" ref="R28" xml:space="preserve"> _xlfn.LET(  _xlpm.p, KeyTable[[#This Row],[Pat]],    _xlpm.o, KeyTable[[#This Row],[POv]],
_xlpm.use, NOT(ISBLANK(_xlpm.p)),
_xlpm.ov, _xlfn.IFS( _xlpm.o = "N", "",       _xlpm.o = "", "L80",       TRUE, _xlpm.o),
IF(_xlpm.use, _xlpm.p &amp; _xlpm.ov, ""))</f>
        <v/>
      </c>
    </row>
    <row r="29" spans="1:23" x14ac:dyDescent="0.2">
      <c r="A29" s="46" t="s">
        <v>113</v>
      </c>
      <c r="B29" s="108" t="str">
        <f>KeyTable[[#This Row],[Class]]&amp;KeyTable[[#This Row],[Type]]</f>
        <v>ErrVal</v>
      </c>
      <c r="C29" t="s">
        <v>106</v>
      </c>
      <c r="D29" t="s">
        <v>48</v>
      </c>
      <c r="E29" t="s">
        <v>43</v>
      </c>
      <c r="F29" t="s">
        <v>30</v>
      </c>
      <c r="G29" t="s">
        <v>114</v>
      </c>
      <c r="I29" s="5" t="str" cm="1">
        <f t="array" ref="I29" xml:space="preserve"> IF( OR(RIGHT(KeyTable[[#This Row],[StyleName]], 4) = "Date", RIGHT(KeyTable[[#This Row],[StyleName]], 3) = "Val"), FontTable[Mono], FontTable[Body])</f>
        <v>OCR A Extended</v>
      </c>
      <c r="J29" s="147" t="s">
        <v>38</v>
      </c>
      <c r="K29" s="135" t="s">
        <v>107</v>
      </c>
      <c r="L29" s="135"/>
      <c r="M29" s="134" t="s">
        <v>84</v>
      </c>
      <c r="N29" s="135"/>
      <c r="O29" s="136"/>
      <c r="P29" s="6" t="str" cm="1">
        <f t="array" ref="P29">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A3L60</v>
      </c>
      <c r="Q29" s="7" t="str" cm="1">
        <f t="array" ref="Q29">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T1</v>
      </c>
      <c r="R29" s="10" t="str" cm="1">
        <f t="array" ref="R29" xml:space="preserve"> _xlfn.LET(  _xlpm.p, KeyTable[[#This Row],[Pat]],    _xlpm.o, KeyTable[[#This Row],[POv]],
_xlpm.use, NOT(ISBLANK(_xlpm.p)),
_xlpm.ov, _xlfn.IFS( _xlpm.o = "N", "",       _xlpm.o = "", "L80",       TRUE, _xlpm.o),
IF(_xlpm.use, _xlpm.p &amp; _xlpm.ov, ""))</f>
        <v/>
      </c>
    </row>
    <row r="30" spans="1:23" x14ac:dyDescent="0.2">
      <c r="A30" s="47" t="s">
        <v>115</v>
      </c>
      <c r="B30" s="109" t="str">
        <f>KeyTable[[#This Row],[Class]]&amp;KeyTable[[#This Row],[Type]]</f>
        <v>ErrCell</v>
      </c>
      <c r="C30" t="s">
        <v>106</v>
      </c>
      <c r="D30" t="s">
        <v>52</v>
      </c>
      <c r="E30" t="s">
        <v>43</v>
      </c>
      <c r="F30" t="s">
        <v>30</v>
      </c>
      <c r="G30" t="s">
        <v>114</v>
      </c>
      <c r="I30" s="5" t="str" cm="1">
        <f t="array" ref="I30" xml:space="preserve"> IF( OR(RIGHT(KeyTable[[#This Row],[StyleName]], 4) = "Date", RIGHT(KeyTable[[#This Row],[StyleName]], 3) = "Val"), FontTable[Mono], FontTable[Body])</f>
        <v>Bahnschrift</v>
      </c>
      <c r="J30" s="147" t="s">
        <v>38</v>
      </c>
      <c r="K30" s="135" t="s">
        <v>107</v>
      </c>
      <c r="L30" s="135"/>
      <c r="M30" s="134" t="s">
        <v>86</v>
      </c>
      <c r="N30" s="135"/>
      <c r="O30" s="136"/>
      <c r="P30" s="6" t="str" cm="1">
        <f t="array" ref="P30">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A3L80</v>
      </c>
      <c r="Q30" s="7" t="str" cm="1">
        <f t="array" ref="Q30">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T1</v>
      </c>
      <c r="R30" s="10" t="str" cm="1">
        <f t="array" ref="R30" xml:space="preserve"> _xlfn.LET(  _xlpm.p, KeyTable[[#This Row],[Pat]],    _xlpm.o, KeyTable[[#This Row],[POv]],
_xlpm.use, NOT(ISBLANK(_xlpm.p)),
_xlpm.ov, _xlfn.IFS( _xlpm.o = "N", "",       _xlpm.o = "", "L80",       TRUE, _xlpm.o),
IF(_xlpm.use, _xlpm.p &amp; _xlpm.ov, ""))</f>
        <v/>
      </c>
    </row>
    <row r="31" spans="1:23" ht="15" thickBot="1" x14ac:dyDescent="0.25">
      <c r="A31" s="48" t="s">
        <v>116</v>
      </c>
      <c r="B31" s="110" t="str">
        <f>KeyTable[[#This Row],[Class]]&amp;KeyTable[[#This Row],[Type]]</f>
        <v>ActError</v>
      </c>
      <c r="C31" t="s">
        <v>65</v>
      </c>
      <c r="D31" t="s">
        <v>117</v>
      </c>
      <c r="E31" s="13" t="s">
        <v>118</v>
      </c>
      <c r="F31" s="13" t="s">
        <v>80</v>
      </c>
      <c r="G31" s="13" t="s">
        <v>119</v>
      </c>
      <c r="H31" s="13" t="s">
        <v>66</v>
      </c>
      <c r="I31" s="14" t="str" cm="1">
        <f t="array" ref="I31" xml:space="preserve"> IF( OR(RIGHT(KeyTable[[#This Row],[StyleName]], 4) = "Date", RIGHT(KeyTable[[#This Row],[StyleName]], 3) = "Val"), FontTable[Mono], FontTable[Body])</f>
        <v>Bahnschrift</v>
      </c>
      <c r="J31" s="137" t="s">
        <v>107</v>
      </c>
      <c r="K31" s="138" t="s">
        <v>107</v>
      </c>
      <c r="L31" s="138" t="s">
        <v>107</v>
      </c>
      <c r="M31" s="137" t="s">
        <v>84</v>
      </c>
      <c r="N31" s="138"/>
      <c r="O31" s="139"/>
      <c r="P31" s="15" t="str" cm="1">
        <f t="array" ref="P31">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A3L60</v>
      </c>
      <c r="Q31" s="16" t="str" cm="1">
        <f t="array" ref="Q31">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A3D50</v>
      </c>
      <c r="R31" s="17" t="str" cm="1">
        <f t="array" ref="R31" xml:space="preserve"> _xlfn.LET(  _xlpm.p, KeyTable[[#This Row],[Pat]],    _xlpm.o, KeyTable[[#This Row],[POv]],
_xlpm.use, NOT(ISBLANK(_xlpm.p)),
_xlpm.ov, _xlfn.IFS( _xlpm.o = "N", "",       _xlpm.o = "", "L80",       TRUE, _xlpm.o),
IF(_xlpm.use, _xlpm.p &amp; _xlpm.ov, ""))</f>
        <v>A3L80</v>
      </c>
    </row>
    <row r="32" spans="1:23" x14ac:dyDescent="0.2">
      <c r="A32" s="49" t="s">
        <v>120</v>
      </c>
      <c r="B32" s="111" t="str">
        <f>KeyTable[[#This Row],[Class]]&amp;KeyTable[[#This Row],[Type]]</f>
        <v>LkpHdKey</v>
      </c>
      <c r="C32" t="s">
        <v>121</v>
      </c>
      <c r="D32" t="s">
        <v>28</v>
      </c>
      <c r="E32" t="s">
        <v>29</v>
      </c>
      <c r="F32" t="s">
        <v>30</v>
      </c>
      <c r="G32" t="s">
        <v>71</v>
      </c>
      <c r="H32" t="s">
        <v>32</v>
      </c>
      <c r="I32" s="19" t="str" cm="1">
        <f t="array" ref="I32" xml:space="preserve"> IF( OR(RIGHT(KeyTable[[#This Row],[StyleName]], 4) = "Date", RIGHT(KeyTable[[#This Row],[StyleName]], 3) = "Val"), FontTable[Mono], FontTable[Body])</f>
        <v>Bahnschrift</v>
      </c>
      <c r="J32" s="134" t="s">
        <v>122</v>
      </c>
      <c r="K32" s="135" t="s">
        <v>122</v>
      </c>
      <c r="L32" s="135"/>
      <c r="M32" s="140"/>
      <c r="N32" s="141"/>
      <c r="O32" s="142"/>
      <c r="P32" s="20" t="str" cm="1">
        <f t="array" ref="P32">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A4D50</v>
      </c>
      <c r="Q32" s="21" t="str" cm="1">
        <f t="array" ref="Q32">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A4L80</v>
      </c>
      <c r="R32" s="22" t="str" cm="1">
        <f t="array" ref="R32" xml:space="preserve"> _xlfn.LET(  _xlpm.p, KeyTable[[#This Row],[Pat]],    _xlpm.o, KeyTable[[#This Row],[POv]],
_xlpm.use, NOT(ISBLANK(_xlpm.p)),
_xlpm.ov, _xlfn.IFS( _xlpm.o = "N", "",       _xlpm.o = "", "L80",       TRUE, _xlpm.o),
IF(_xlpm.use, _xlpm.p &amp; _xlpm.ov, ""))</f>
        <v/>
      </c>
    </row>
    <row r="33" spans="1:18" x14ac:dyDescent="0.2">
      <c r="A33" s="50" t="s">
        <v>123</v>
      </c>
      <c r="B33" s="112" t="str">
        <f>KeyTable[[#This Row],[Class]]&amp;KeyTable[[#This Row],[Type]]</f>
        <v>LkpHd</v>
      </c>
      <c r="C33" t="s">
        <v>121</v>
      </c>
      <c r="D33" t="s">
        <v>37</v>
      </c>
      <c r="E33" t="s">
        <v>29</v>
      </c>
      <c r="F33" t="s">
        <v>30</v>
      </c>
      <c r="G33" t="s">
        <v>71</v>
      </c>
      <c r="H33" t="s">
        <v>32</v>
      </c>
      <c r="I33" s="5" t="str" cm="1">
        <f t="array" ref="I33" xml:space="preserve"> IF( OR(RIGHT(KeyTable[[#This Row],[StyleName]], 4) = "Date", RIGHT(KeyTable[[#This Row],[StyleName]], 3) = "Val"), FontTable[Mono], FontTable[Body])</f>
        <v>Bahnschrift</v>
      </c>
      <c r="J33" s="134" t="s">
        <v>122</v>
      </c>
      <c r="K33" s="135" t="s">
        <v>122</v>
      </c>
      <c r="L33" s="135"/>
      <c r="M33" s="134"/>
      <c r="N33" s="135"/>
      <c r="O33" s="136"/>
      <c r="P33" s="6" t="str" cm="1">
        <f t="array" ref="P33">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A4D25</v>
      </c>
      <c r="Q33" s="7" t="str" cm="1">
        <f t="array" ref="Q33">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A4L80</v>
      </c>
      <c r="R33" s="10" t="str" cm="1">
        <f t="array" ref="R33" xml:space="preserve"> _xlfn.LET(  _xlpm.p, KeyTable[[#This Row],[Pat]],    _xlpm.o, KeyTable[[#This Row],[POv]],
_xlpm.use, NOT(ISBLANK(_xlpm.p)),
_xlpm.ov, _xlfn.IFS( _xlpm.o = "N", "",       _xlpm.o = "", "L80",       TRUE, _xlpm.o),
IF(_xlpm.use, _xlpm.p &amp; _xlpm.ov, ""))</f>
        <v/>
      </c>
    </row>
    <row r="34" spans="1:18" x14ac:dyDescent="0.2">
      <c r="A34" s="51" t="s">
        <v>124</v>
      </c>
      <c r="B34" s="113" t="str">
        <f>KeyTable[[#This Row],[Class]]&amp;KeyTable[[#This Row],[Type]]</f>
        <v>LkpKey</v>
      </c>
      <c r="C34" t="s">
        <v>121</v>
      </c>
      <c r="D34" t="s">
        <v>42</v>
      </c>
      <c r="E34" t="s">
        <v>125</v>
      </c>
      <c r="F34" t="s">
        <v>30</v>
      </c>
      <c r="G34" t="s">
        <v>126</v>
      </c>
      <c r="I34" s="5" t="str" cm="1">
        <f t="array" ref="I34" xml:space="preserve"> IF( OR(RIGHT(KeyTable[[#This Row],[StyleName]], 4) = "Date", RIGHT(KeyTable[[#This Row],[StyleName]], 3) = "Val"), FontTable[Mono], FontTable[Body])</f>
        <v>Bahnschrift</v>
      </c>
      <c r="J34" s="147" t="s">
        <v>38</v>
      </c>
      <c r="K34" s="135" t="s">
        <v>122</v>
      </c>
      <c r="L34" s="135"/>
      <c r="M34" s="134"/>
      <c r="N34" s="135"/>
      <c r="O34" s="136"/>
      <c r="P34" s="6" t="str" cm="1">
        <f t="array" ref="P34">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A4L40</v>
      </c>
      <c r="Q34" s="7" t="str" cm="1">
        <f t="array" ref="Q34">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T1</v>
      </c>
      <c r="R34" s="10" t="str" cm="1">
        <f t="array" ref="R34" xml:space="preserve"> _xlfn.LET(  _xlpm.p, KeyTable[[#This Row],[Pat]],    _xlpm.o, KeyTable[[#This Row],[POv]],
_xlpm.use, NOT(ISBLANK(_xlpm.p)),
_xlpm.ov, _xlfn.IFS( _xlpm.o = "N", "",       _xlpm.o = "", "L80",       TRUE, _xlpm.o),
IF(_xlpm.use, _xlpm.p &amp; _xlpm.ov, ""))</f>
        <v/>
      </c>
    </row>
    <row r="35" spans="1:18" x14ac:dyDescent="0.2">
      <c r="A35" s="52" t="s">
        <v>127</v>
      </c>
      <c r="B35" s="114" t="str">
        <f>KeyTable[[#This Row],[Class]]&amp;KeyTable[[#This Row],[Type]]</f>
        <v>LkpDate</v>
      </c>
      <c r="C35" t="s">
        <v>121</v>
      </c>
      <c r="D35" t="s">
        <v>98</v>
      </c>
      <c r="E35" t="s">
        <v>125</v>
      </c>
      <c r="F35" t="s">
        <v>30</v>
      </c>
      <c r="G35" t="s">
        <v>128</v>
      </c>
      <c r="H35" t="s">
        <v>99</v>
      </c>
      <c r="I35" s="5" t="str" cm="1">
        <f t="array" ref="I35" xml:space="preserve"> IF( OR(RIGHT(KeyTable[[#This Row],[StyleName]], 4) = "Date", RIGHT(KeyTable[[#This Row],[StyleName]], 3) = "Val"), FontTable[Mono], FontTable[Body])</f>
        <v>OCR A Extended</v>
      </c>
      <c r="J35" s="147" t="s">
        <v>38</v>
      </c>
      <c r="K35" s="135" t="s">
        <v>122</v>
      </c>
      <c r="L35" s="135"/>
      <c r="M35" s="134" t="s">
        <v>84</v>
      </c>
      <c r="N35" s="135"/>
      <c r="O35" s="136"/>
      <c r="P35" s="6" t="str" cm="1">
        <f t="array" ref="P35">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A4L60</v>
      </c>
      <c r="Q35" s="7" t="str" cm="1">
        <f t="array" ref="Q35">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T1</v>
      </c>
      <c r="R35" s="10" t="str" cm="1">
        <f t="array" ref="R35" xml:space="preserve"> _xlfn.LET(  _xlpm.p, KeyTable[[#This Row],[Pat]],    _xlpm.o, KeyTable[[#This Row],[POv]],
_xlpm.use, NOT(ISBLANK(_xlpm.p)),
_xlpm.ov, _xlfn.IFS( _xlpm.o = "N", "",       _xlpm.o = "", "L80",       TRUE, _xlpm.o),
IF(_xlpm.use, _xlpm.p &amp; _xlpm.ov, ""))</f>
        <v/>
      </c>
    </row>
    <row r="36" spans="1:18" x14ac:dyDescent="0.2">
      <c r="A36" s="53" t="s">
        <v>129</v>
      </c>
      <c r="B36" s="115" t="str">
        <f>KeyTable[[#This Row],[Class]]&amp;KeyTable[[#This Row],[Type]]</f>
        <v>LkpVal</v>
      </c>
      <c r="C36" t="s">
        <v>121</v>
      </c>
      <c r="D36" t="s">
        <v>48</v>
      </c>
      <c r="E36" t="s">
        <v>125</v>
      </c>
      <c r="F36" t="s">
        <v>30</v>
      </c>
      <c r="G36" t="s">
        <v>128</v>
      </c>
      <c r="I36" s="5" t="str" cm="1">
        <f t="array" ref="I36" xml:space="preserve"> IF( OR(RIGHT(KeyTable[[#This Row],[StyleName]], 4) = "Date", RIGHT(KeyTable[[#This Row],[StyleName]], 3) = "Val"), FontTable[Mono], FontTable[Body])</f>
        <v>OCR A Extended</v>
      </c>
      <c r="J36" s="147" t="s">
        <v>38</v>
      </c>
      <c r="K36" s="135" t="s">
        <v>122</v>
      </c>
      <c r="L36" s="135"/>
      <c r="M36" s="134" t="s">
        <v>84</v>
      </c>
      <c r="N36" s="135"/>
      <c r="O36" s="136"/>
      <c r="P36" s="6" t="str" cm="1">
        <f t="array" ref="P36">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A4L60</v>
      </c>
      <c r="Q36" s="7" t="str" cm="1">
        <f t="array" ref="Q36">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T1</v>
      </c>
      <c r="R36" s="10" t="str" cm="1">
        <f t="array" ref="R36" xml:space="preserve"> _xlfn.LET(  _xlpm.p, KeyTable[[#This Row],[Pat]],    _xlpm.o, KeyTable[[#This Row],[POv]],
_xlpm.use, NOT(ISBLANK(_xlpm.p)),
_xlpm.ov, _xlfn.IFS( _xlpm.o = "N", "",       _xlpm.o = "", "L80",       TRUE, _xlpm.o),
IF(_xlpm.use, _xlpm.p &amp; _xlpm.ov, ""))</f>
        <v/>
      </c>
    </row>
    <row r="37" spans="1:18" x14ac:dyDescent="0.2">
      <c r="A37" s="54" t="s">
        <v>130</v>
      </c>
      <c r="B37" s="54" t="str">
        <f>KeyTable[[#This Row],[Class]]&amp;KeyTable[[#This Row],[Type]]</f>
        <v>LkpCell</v>
      </c>
      <c r="C37" t="s">
        <v>121</v>
      </c>
      <c r="D37" t="s">
        <v>52</v>
      </c>
      <c r="E37" t="s">
        <v>125</v>
      </c>
      <c r="F37" t="s">
        <v>30</v>
      </c>
      <c r="G37" t="s">
        <v>126</v>
      </c>
      <c r="I37" s="5" t="str" cm="1">
        <f t="array" ref="I37" xml:space="preserve"> IF( OR(RIGHT(KeyTable[[#This Row],[StyleName]], 4) = "Date", RIGHT(KeyTable[[#This Row],[StyleName]], 3) = "Val"), FontTable[Mono], FontTable[Body])</f>
        <v>Bahnschrift</v>
      </c>
      <c r="J37" s="147" t="s">
        <v>38</v>
      </c>
      <c r="K37" s="135" t="s">
        <v>122</v>
      </c>
      <c r="L37" s="135"/>
      <c r="M37" s="134" t="s">
        <v>86</v>
      </c>
      <c r="N37" s="135"/>
      <c r="O37" s="136"/>
      <c r="P37" s="6" t="str" cm="1">
        <f t="array" ref="P37">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A4L80</v>
      </c>
      <c r="Q37" s="7" t="str" cm="1">
        <f t="array" ref="Q37">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T1</v>
      </c>
      <c r="R37" s="10" t="str" cm="1">
        <f t="array" ref="R37" xml:space="preserve"> _xlfn.LET(  _xlpm.p, KeyTable[[#This Row],[Pat]],    _xlpm.o, KeyTable[[#This Row],[POv]],
_xlpm.use, NOT(ISBLANK(_xlpm.p)),
_xlpm.ov, _xlfn.IFS( _xlpm.o = "N", "",       _xlpm.o = "", "L80",       TRUE, _xlpm.o),
IF(_xlpm.use, _xlpm.p &amp; _xlpm.ov, ""))</f>
        <v/>
      </c>
    </row>
    <row r="38" spans="1:18" ht="15" thickBot="1" x14ac:dyDescent="0.25">
      <c r="A38" s="55" t="s">
        <v>131</v>
      </c>
      <c r="B38" s="133" t="str">
        <f>KeyTable[[#This Row],[Class]]&amp;KeyTable[[#This Row],[Type]]</f>
        <v>ActFind</v>
      </c>
      <c r="C38" t="s">
        <v>65</v>
      </c>
      <c r="D38" t="s">
        <v>132</v>
      </c>
      <c r="E38" s="13" t="s">
        <v>125</v>
      </c>
      <c r="F38" s="13" t="s">
        <v>30</v>
      </c>
      <c r="G38" s="13" t="s">
        <v>126</v>
      </c>
      <c r="H38" s="13" t="s">
        <v>66</v>
      </c>
      <c r="I38" s="14" t="str" cm="1">
        <f t="array" ref="I38" xml:space="preserve"> IF( OR(RIGHT(KeyTable[[#This Row],[StyleName]], 4) = "Date", RIGHT(KeyTable[[#This Row],[StyleName]], 3) = "Val"), FontTable[Mono], FontTable[Body])</f>
        <v>Bahnschrift</v>
      </c>
      <c r="J38" s="137" t="s">
        <v>122</v>
      </c>
      <c r="K38" s="138" t="s">
        <v>122</v>
      </c>
      <c r="L38" s="138" t="s">
        <v>122</v>
      </c>
      <c r="M38" s="137"/>
      <c r="N38" s="138"/>
      <c r="O38" s="139"/>
      <c r="P38" s="15" t="str" cm="1">
        <f t="array" ref="P38">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A4</v>
      </c>
      <c r="Q38" s="16" t="str" cm="1">
        <f t="array" ref="Q38">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A4D50</v>
      </c>
      <c r="R38" s="17" t="str" cm="1">
        <f t="array" ref="R38" xml:space="preserve"> _xlfn.LET(  _xlpm.p, KeyTable[[#This Row],[Pat]],    _xlpm.o, KeyTable[[#This Row],[POv]],
_xlpm.use, NOT(ISBLANK(_xlpm.p)),
_xlpm.ov, _xlfn.IFS( _xlpm.o = "N", "",       _xlpm.o = "", "L80",       TRUE, _xlpm.o),
IF(_xlpm.use, _xlpm.p &amp; _xlpm.ov, ""))</f>
        <v>A4L80</v>
      </c>
    </row>
    <row r="39" spans="1:18" x14ac:dyDescent="0.2">
      <c r="A39" s="56" t="s">
        <v>133</v>
      </c>
      <c r="B39" s="116" t="str">
        <f>KeyTable[[#This Row],[Class]]&amp;KeyTable[[#This Row],[Type]]</f>
        <v>QueHdKey</v>
      </c>
      <c r="C39" t="s">
        <v>134</v>
      </c>
      <c r="D39" t="s">
        <v>28</v>
      </c>
      <c r="E39" t="s">
        <v>29</v>
      </c>
      <c r="F39" t="s">
        <v>30</v>
      </c>
      <c r="G39" t="s">
        <v>71</v>
      </c>
      <c r="H39" t="s">
        <v>32</v>
      </c>
      <c r="I39" s="19" t="str" cm="1">
        <f t="array" ref="I39" xml:space="preserve"> IF( OR(RIGHT(KeyTable[[#This Row],[StyleName]], 4) = "Date", RIGHT(KeyTable[[#This Row],[StyleName]], 3) = "Val"), FontTable[Mono], FontTable[Body])</f>
        <v>Bahnschrift</v>
      </c>
      <c r="J39" s="134" t="s">
        <v>135</v>
      </c>
      <c r="K39" s="135" t="s">
        <v>135</v>
      </c>
      <c r="L39" s="135"/>
      <c r="M39" s="140"/>
      <c r="N39" s="141"/>
      <c r="O39" s="142"/>
      <c r="P39" s="20" t="str" cm="1">
        <f t="array" ref="P39">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A5D50</v>
      </c>
      <c r="Q39" s="21" t="str" cm="1">
        <f t="array" ref="Q39">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A5L80</v>
      </c>
      <c r="R39" s="22" t="str" cm="1">
        <f t="array" ref="R39" xml:space="preserve"> _xlfn.LET(  _xlpm.p, KeyTable[[#This Row],[Pat]],    _xlpm.o, KeyTable[[#This Row],[POv]],
_xlpm.use, NOT(ISBLANK(_xlpm.p)),
_xlpm.ov, _xlfn.IFS( _xlpm.o = "N", "",       _xlpm.o = "", "L80",       TRUE, _xlpm.o),
IF(_xlpm.use, _xlpm.p &amp; _xlpm.ov, ""))</f>
        <v/>
      </c>
    </row>
    <row r="40" spans="1:18" x14ac:dyDescent="0.2">
      <c r="A40" s="57" t="s">
        <v>136</v>
      </c>
      <c r="B40" s="117" t="str">
        <f>KeyTable[[#This Row],[Class]]&amp;KeyTable[[#This Row],[Type]]</f>
        <v>QueHd</v>
      </c>
      <c r="C40" t="s">
        <v>134</v>
      </c>
      <c r="D40" t="s">
        <v>37</v>
      </c>
      <c r="E40" t="s">
        <v>29</v>
      </c>
      <c r="F40" t="s">
        <v>30</v>
      </c>
      <c r="G40" t="s">
        <v>71</v>
      </c>
      <c r="H40" t="s">
        <v>32</v>
      </c>
      <c r="I40" s="5" t="str" cm="1">
        <f t="array" ref="I40" xml:space="preserve"> IF( OR(RIGHT(KeyTable[[#This Row],[StyleName]], 4) = "Date", RIGHT(KeyTable[[#This Row],[StyleName]], 3) = "Val"), FontTable[Mono], FontTable[Body])</f>
        <v>Bahnschrift</v>
      </c>
      <c r="J40" s="134" t="s">
        <v>135</v>
      </c>
      <c r="K40" s="135" t="s">
        <v>135</v>
      </c>
      <c r="L40" s="135"/>
      <c r="M40" s="134"/>
      <c r="N40" s="135"/>
      <c r="O40" s="136"/>
      <c r="P40" s="6" t="str" cm="1">
        <f t="array" ref="P40">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A5D25</v>
      </c>
      <c r="Q40" s="7" t="str" cm="1">
        <f t="array" ref="Q40">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A5L80</v>
      </c>
      <c r="R40" s="10" t="str" cm="1">
        <f t="array" ref="R40" xml:space="preserve"> _xlfn.LET(  _xlpm.p, KeyTable[[#This Row],[Pat]],    _xlpm.o, KeyTable[[#This Row],[POv]],
_xlpm.use, NOT(ISBLANK(_xlpm.p)),
_xlpm.ov, _xlfn.IFS( _xlpm.o = "N", "",       _xlpm.o = "", "L80",       TRUE, _xlpm.o),
IF(_xlpm.use, _xlpm.p &amp; _xlpm.ov, ""))</f>
        <v/>
      </c>
    </row>
    <row r="41" spans="1:18" x14ac:dyDescent="0.2">
      <c r="A41" s="58" t="s">
        <v>137</v>
      </c>
      <c r="B41" s="118" t="str">
        <f>KeyTable[[#This Row],[Class]]&amp;KeyTable[[#This Row],[Type]]</f>
        <v>QueKey</v>
      </c>
      <c r="C41" t="s">
        <v>134</v>
      </c>
      <c r="D41" t="s">
        <v>42</v>
      </c>
      <c r="E41" t="s">
        <v>43</v>
      </c>
      <c r="F41" t="s">
        <v>30</v>
      </c>
      <c r="G41" t="s">
        <v>138</v>
      </c>
      <c r="I41" s="5" t="str" cm="1">
        <f t="array" ref="I41" xml:space="preserve"> IF( OR(RIGHT(KeyTable[[#This Row],[StyleName]], 4) = "Date", RIGHT(KeyTable[[#This Row],[StyleName]], 3) = "Val"), FontTable[Mono], FontTable[Body])</f>
        <v>Bahnschrift</v>
      </c>
      <c r="J41" s="147" t="s">
        <v>38</v>
      </c>
      <c r="K41" s="135" t="s">
        <v>135</v>
      </c>
      <c r="L41" s="135"/>
      <c r="M41" s="134"/>
      <c r="N41" s="135"/>
      <c r="O41" s="136"/>
      <c r="P41" s="6" t="str" cm="1">
        <f t="array" ref="P41">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A5L40</v>
      </c>
      <c r="Q41" s="7" t="str" cm="1">
        <f t="array" ref="Q41">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T1</v>
      </c>
      <c r="R41" s="10" t="str" cm="1">
        <f t="array" ref="R41" xml:space="preserve"> _xlfn.LET(  _xlpm.p, KeyTable[[#This Row],[Pat]],    _xlpm.o, KeyTable[[#This Row],[POv]],
_xlpm.use, NOT(ISBLANK(_xlpm.p)),
_xlpm.ov, _xlfn.IFS( _xlpm.o = "N", "",       _xlpm.o = "", "L80",       TRUE, _xlpm.o),
IF(_xlpm.use, _xlpm.p &amp; _xlpm.ov, ""))</f>
        <v/>
      </c>
    </row>
    <row r="42" spans="1:18" x14ac:dyDescent="0.2">
      <c r="A42" s="59" t="s">
        <v>139</v>
      </c>
      <c r="B42" s="119" t="str">
        <f>KeyTable[[#This Row],[Class]]&amp;KeyTable[[#This Row],[Type]]</f>
        <v>QueVal</v>
      </c>
      <c r="C42" t="s">
        <v>134</v>
      </c>
      <c r="D42" t="s">
        <v>48</v>
      </c>
      <c r="E42" t="s">
        <v>43</v>
      </c>
      <c r="F42" t="s">
        <v>30</v>
      </c>
      <c r="G42" t="s">
        <v>138</v>
      </c>
      <c r="I42" s="5" t="str" cm="1">
        <f t="array" ref="I42" xml:space="preserve"> IF( OR(RIGHT(KeyTable[[#This Row],[StyleName]], 4) = "Date", RIGHT(KeyTable[[#This Row],[StyleName]], 3) = "Val"), FontTable[Mono], FontTable[Body])</f>
        <v>OCR A Extended</v>
      </c>
      <c r="J42" s="147" t="s">
        <v>38</v>
      </c>
      <c r="K42" s="135" t="s">
        <v>135</v>
      </c>
      <c r="L42" s="135"/>
      <c r="M42" s="134" t="s">
        <v>84</v>
      </c>
      <c r="N42" s="135"/>
      <c r="O42" s="136"/>
      <c r="P42" s="6" t="str" cm="1">
        <f t="array" ref="P42">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A5L60</v>
      </c>
      <c r="Q42" s="7" t="str" cm="1">
        <f t="array" ref="Q42">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T1</v>
      </c>
      <c r="R42" s="10" t="str" cm="1">
        <f t="array" ref="R42" xml:space="preserve"> _xlfn.LET(  _xlpm.p, KeyTable[[#This Row],[Pat]],    _xlpm.o, KeyTable[[#This Row],[POv]],
_xlpm.use, NOT(ISBLANK(_xlpm.p)),
_xlpm.ov, _xlfn.IFS( _xlpm.o = "N", "",       _xlpm.o = "", "L80",       TRUE, _xlpm.o),
IF(_xlpm.use, _xlpm.p &amp; _xlpm.ov, ""))</f>
        <v/>
      </c>
    </row>
    <row r="43" spans="1:18" x14ac:dyDescent="0.2">
      <c r="A43" s="60" t="s">
        <v>140</v>
      </c>
      <c r="B43" s="120" t="str">
        <f>KeyTable[[#This Row],[Class]]&amp;KeyTable[[#This Row],[Type]]</f>
        <v>QueCell</v>
      </c>
      <c r="C43" t="s">
        <v>134</v>
      </c>
      <c r="D43" t="s">
        <v>52</v>
      </c>
      <c r="E43" t="s">
        <v>43</v>
      </c>
      <c r="F43" t="s">
        <v>30</v>
      </c>
      <c r="G43" t="s">
        <v>138</v>
      </c>
      <c r="I43" s="5" t="str" cm="1">
        <f t="array" ref="I43" xml:space="preserve"> IF( OR(RIGHT(KeyTable[[#This Row],[StyleName]], 4) = "Date", RIGHT(KeyTable[[#This Row],[StyleName]], 3) = "Val"), FontTable[Mono], FontTable[Body])</f>
        <v>Bahnschrift</v>
      </c>
      <c r="J43" s="147" t="s">
        <v>38</v>
      </c>
      <c r="K43" s="135" t="s">
        <v>135</v>
      </c>
      <c r="L43" s="135"/>
      <c r="M43" s="134" t="s">
        <v>86</v>
      </c>
      <c r="N43" s="135"/>
      <c r="O43" s="136"/>
      <c r="P43" s="6" t="str" cm="1">
        <f t="array" ref="P43">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A5L80</v>
      </c>
      <c r="Q43" s="7" t="str" cm="1">
        <f t="array" ref="Q43">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T1</v>
      </c>
      <c r="R43" s="10" t="str" cm="1">
        <f t="array" ref="R43" xml:space="preserve"> _xlfn.LET(  _xlpm.p, KeyTable[[#This Row],[Pat]],    _xlpm.o, KeyTable[[#This Row],[POv]],
_xlpm.use, NOT(ISBLANK(_xlpm.p)),
_xlpm.ov, _xlfn.IFS( _xlpm.o = "N", "",       _xlpm.o = "", "L80",       TRUE, _xlpm.o),
IF(_xlpm.use, _xlpm.p &amp; _xlpm.ov, ""))</f>
        <v/>
      </c>
    </row>
    <row r="44" spans="1:18" ht="15" thickBot="1" x14ac:dyDescent="0.25">
      <c r="A44" s="61" t="s">
        <v>141</v>
      </c>
      <c r="B44" s="121" t="str">
        <f>KeyTable[[#This Row],[Class]]&amp;KeyTable[[#This Row],[Type]]</f>
        <v>ActGood</v>
      </c>
      <c r="C44" s="13" t="s">
        <v>65</v>
      </c>
      <c r="D44" s="13" t="s">
        <v>142</v>
      </c>
      <c r="E44" s="13" t="s">
        <v>43</v>
      </c>
      <c r="F44" s="13" t="s">
        <v>30</v>
      </c>
      <c r="G44" s="13" t="s">
        <v>138</v>
      </c>
      <c r="H44" s="13" t="s">
        <v>66</v>
      </c>
      <c r="I44" s="14" t="str" cm="1">
        <f t="array" ref="I44" xml:space="preserve"> IF( OR(RIGHT(KeyTable[[#This Row],[StyleName]], 4) = "Date", RIGHT(KeyTable[[#This Row],[StyleName]], 3) = "Val"), FontTable[Mono], FontTable[Body])</f>
        <v>Bahnschrift</v>
      </c>
      <c r="J44" s="137" t="s">
        <v>135</v>
      </c>
      <c r="K44" s="138" t="s">
        <v>135</v>
      </c>
      <c r="L44" s="138" t="s">
        <v>135</v>
      </c>
      <c r="M44" s="137" t="s">
        <v>143</v>
      </c>
      <c r="N44" s="138"/>
      <c r="O44" s="139"/>
      <c r="P44" s="15" t="str" cm="1">
        <f t="array" ref="P44">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A5L40</v>
      </c>
      <c r="Q44" s="16" t="str" cm="1">
        <f t="array" ref="Q44">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A5D50</v>
      </c>
      <c r="R44" s="17" t="str" cm="1">
        <f t="array" ref="R44" xml:space="preserve"> _xlfn.LET(  _xlpm.p, KeyTable[[#This Row],[Pat]],    _xlpm.o, KeyTable[[#This Row],[POv]],
_xlpm.use, NOT(ISBLANK(_xlpm.p)),
_xlpm.ov, _xlfn.IFS( _xlpm.o = "N", "",       _xlpm.o = "", "L80",       TRUE, _xlpm.o),
IF(_xlpm.use, _xlpm.p &amp; _xlpm.ov, ""))</f>
        <v>A5L80</v>
      </c>
    </row>
    <row r="45" spans="1:18" x14ac:dyDescent="0.2">
      <c r="A45" s="62" t="s">
        <v>144</v>
      </c>
      <c r="B45" s="122" t="str">
        <f>KeyTable[[#This Row],[Class]]&amp;KeyTable[[#This Row],[Type]]</f>
        <v>IntHdKey</v>
      </c>
      <c r="C45" t="s">
        <v>145</v>
      </c>
      <c r="D45" t="s">
        <v>28</v>
      </c>
      <c r="E45" t="s">
        <v>29</v>
      </c>
      <c r="F45" t="s">
        <v>30</v>
      </c>
      <c r="G45" t="s">
        <v>146</v>
      </c>
      <c r="H45" t="s">
        <v>32</v>
      </c>
      <c r="I45" s="19" t="str" cm="1">
        <f t="array" ref="I45" xml:space="preserve"> IF( OR(RIGHT(KeyTable[[#This Row],[StyleName]], 4) = "Date", RIGHT(KeyTable[[#This Row],[StyleName]], 3) = "Val"), FontTable[Mono], FontTable[Body])</f>
        <v>Bahnschrift</v>
      </c>
      <c r="J45" s="134" t="s">
        <v>147</v>
      </c>
      <c r="K45" s="135" t="s">
        <v>147</v>
      </c>
      <c r="L45" s="135"/>
      <c r="M45" s="140"/>
      <c r="N45" s="141"/>
      <c r="O45" s="142"/>
      <c r="P45" s="20" t="str" cm="1">
        <f t="array" ref="P45">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A6D50</v>
      </c>
      <c r="Q45" s="21" t="str" cm="1">
        <f t="array" ref="Q45">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A6L80</v>
      </c>
      <c r="R45" s="22" t="str" cm="1">
        <f t="array" ref="R45" xml:space="preserve"> _xlfn.LET(  _xlpm.p, KeyTable[[#This Row],[Pat]],    _xlpm.o, KeyTable[[#This Row],[POv]],
_xlpm.use, NOT(ISBLANK(_xlpm.p)),
_xlpm.ov, _xlfn.IFS( _xlpm.o = "N", "",       _xlpm.o = "", "L80",       TRUE, _xlpm.o),
IF(_xlpm.use, _xlpm.p &amp; _xlpm.ov, ""))</f>
        <v/>
      </c>
    </row>
    <row r="46" spans="1:18" x14ac:dyDescent="0.2">
      <c r="A46" s="63" t="s">
        <v>148</v>
      </c>
      <c r="B46" s="123" t="str">
        <f>KeyTable[[#This Row],[Class]]&amp;KeyTable[[#This Row],[Type]]</f>
        <v>IntHd</v>
      </c>
      <c r="C46" t="s">
        <v>145</v>
      </c>
      <c r="D46" t="s">
        <v>37</v>
      </c>
      <c r="E46" t="s">
        <v>29</v>
      </c>
      <c r="F46" t="s">
        <v>30</v>
      </c>
      <c r="G46" t="s">
        <v>146</v>
      </c>
      <c r="H46" t="s">
        <v>32</v>
      </c>
      <c r="I46" s="5" t="str" cm="1">
        <f t="array" ref="I46" xml:space="preserve"> IF( OR(RIGHT(KeyTable[[#This Row],[StyleName]], 4) = "Date", RIGHT(KeyTable[[#This Row],[StyleName]], 3) = "Val"), FontTable[Mono], FontTable[Body])</f>
        <v>Bahnschrift</v>
      </c>
      <c r="J46" s="134" t="s">
        <v>147</v>
      </c>
      <c r="K46" s="135" t="s">
        <v>147</v>
      </c>
      <c r="L46" s="135"/>
      <c r="M46" s="134"/>
      <c r="N46" s="135"/>
      <c r="O46" s="136"/>
      <c r="P46" s="6" t="str" cm="1">
        <f t="array" ref="P46">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A6D25</v>
      </c>
      <c r="Q46" s="7" t="str" cm="1">
        <f t="array" ref="Q46">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A6L80</v>
      </c>
      <c r="R46" s="10" t="str" cm="1">
        <f t="array" ref="R46" xml:space="preserve"> _xlfn.LET(  _xlpm.p, KeyTable[[#This Row],[Pat]],    _xlpm.o, KeyTable[[#This Row],[POv]],
_xlpm.use, NOT(ISBLANK(_xlpm.p)),
_xlpm.ov, _xlfn.IFS( _xlpm.o = "N", "",       _xlpm.o = "", "L80",       TRUE, _xlpm.o),
IF(_xlpm.use, _xlpm.p &amp; _xlpm.ov, ""))</f>
        <v/>
      </c>
    </row>
    <row r="47" spans="1:18" x14ac:dyDescent="0.2">
      <c r="A47" s="64" t="s">
        <v>149</v>
      </c>
      <c r="B47" s="124" t="str">
        <f>KeyTable[[#This Row],[Class]]&amp;KeyTable[[#This Row],[Type]]</f>
        <v>IntKey</v>
      </c>
      <c r="C47" t="s">
        <v>145</v>
      </c>
      <c r="D47" t="s">
        <v>42</v>
      </c>
      <c r="E47" t="s">
        <v>118</v>
      </c>
      <c r="F47" t="s">
        <v>30</v>
      </c>
      <c r="G47" t="s">
        <v>146</v>
      </c>
      <c r="I47" s="5" t="str" cm="1">
        <f t="array" ref="I47" xml:space="preserve"> IF( OR(RIGHT(KeyTable[[#This Row],[StyleName]], 4) = "Date", RIGHT(KeyTable[[#This Row],[StyleName]], 3) = "Val"), FontTable[Mono], FontTable[Body])</f>
        <v>Bahnschrift</v>
      </c>
      <c r="J47" s="147" t="s">
        <v>38</v>
      </c>
      <c r="K47" s="135" t="s">
        <v>147</v>
      </c>
      <c r="L47" s="135"/>
      <c r="M47" s="134"/>
      <c r="N47" s="135"/>
      <c r="O47" s="136"/>
      <c r="P47" s="6" t="str" cm="1">
        <f t="array" ref="P47">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A6L40</v>
      </c>
      <c r="Q47" s="7" t="str" cm="1">
        <f t="array" ref="Q47">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T1</v>
      </c>
      <c r="R47" s="10" t="str" cm="1">
        <f t="array" ref="R47" xml:space="preserve"> _xlfn.LET(  _xlpm.p, KeyTable[[#This Row],[Pat]],    _xlpm.o, KeyTable[[#This Row],[POv]],
_xlpm.use, NOT(ISBLANK(_xlpm.p)),
_xlpm.ov, _xlfn.IFS( _xlpm.o = "N", "",       _xlpm.o = "", "L80",       TRUE, _xlpm.o),
IF(_xlpm.use, _xlpm.p &amp; _xlpm.ov, ""))</f>
        <v/>
      </c>
    </row>
    <row r="48" spans="1:18" x14ac:dyDescent="0.2">
      <c r="A48" s="78" t="s">
        <v>150</v>
      </c>
      <c r="B48" s="125" t="str">
        <f>KeyTable[[#This Row],[Class]]&amp;KeyTable[[#This Row],[Type]]</f>
        <v>IntVal</v>
      </c>
      <c r="C48" t="s">
        <v>145</v>
      </c>
      <c r="D48" t="s">
        <v>48</v>
      </c>
      <c r="E48" t="s">
        <v>118</v>
      </c>
      <c r="F48" t="s">
        <v>30</v>
      </c>
      <c r="G48" t="s">
        <v>146</v>
      </c>
      <c r="I48" s="5" t="str" cm="1">
        <f t="array" ref="I48" xml:space="preserve"> IF( OR(RIGHT(KeyTable[[#This Row],[StyleName]], 4) = "Date", RIGHT(KeyTable[[#This Row],[StyleName]], 3) = "Val"), FontTable[Mono], FontTable[Body])</f>
        <v>OCR A Extended</v>
      </c>
      <c r="J48" s="147" t="s">
        <v>38</v>
      </c>
      <c r="K48" s="135" t="s">
        <v>147</v>
      </c>
      <c r="L48" s="135"/>
      <c r="M48" s="134" t="s">
        <v>84</v>
      </c>
      <c r="N48" s="135"/>
      <c r="O48" s="136"/>
      <c r="P48" s="6" t="str" cm="1">
        <f t="array" ref="P48">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A6L60</v>
      </c>
      <c r="Q48" s="7" t="str" cm="1">
        <f t="array" ref="Q48">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T1</v>
      </c>
      <c r="R48" s="10" t="str" cm="1">
        <f t="array" ref="R48" xml:space="preserve"> _xlfn.LET(  _xlpm.p, KeyTable[[#This Row],[Pat]],    _xlpm.o, KeyTable[[#This Row],[POv]],
_xlpm.use, NOT(ISBLANK(_xlpm.p)),
_xlpm.ov, _xlfn.IFS( _xlpm.o = "N", "",       _xlpm.o = "", "L80",       TRUE, _xlpm.o),
IF(_xlpm.use, _xlpm.p &amp; _xlpm.ov, ""))</f>
        <v/>
      </c>
    </row>
    <row r="49" spans="1:18" x14ac:dyDescent="0.2">
      <c r="A49" s="65" t="s">
        <v>151</v>
      </c>
      <c r="B49" s="126" t="str">
        <f>KeyTable[[#This Row],[Class]]&amp;KeyTable[[#This Row],[Type]]</f>
        <v>IntCell</v>
      </c>
      <c r="C49" t="s">
        <v>145</v>
      </c>
      <c r="D49" t="s">
        <v>52</v>
      </c>
      <c r="E49" t="s">
        <v>118</v>
      </c>
      <c r="F49" t="s">
        <v>30</v>
      </c>
      <c r="G49" t="s">
        <v>146</v>
      </c>
      <c r="I49" s="5" t="str" cm="1">
        <f t="array" ref="I49" xml:space="preserve"> IF( OR(RIGHT(KeyTable[[#This Row],[StyleName]], 4) = "Date", RIGHT(KeyTable[[#This Row],[StyleName]], 3) = "Val"), FontTable[Mono], FontTable[Body])</f>
        <v>Bahnschrift</v>
      </c>
      <c r="J49" s="147" t="s">
        <v>38</v>
      </c>
      <c r="K49" s="135" t="s">
        <v>147</v>
      </c>
      <c r="L49" s="135"/>
      <c r="M49" s="134" t="s">
        <v>86</v>
      </c>
      <c r="N49" s="135"/>
      <c r="O49" s="136"/>
      <c r="P49" s="6" t="str" cm="1">
        <f t="array" ref="P49">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A6L80</v>
      </c>
      <c r="Q49" s="7" t="str" cm="1">
        <f t="array" ref="Q49">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T1</v>
      </c>
      <c r="R49" s="10" t="str" cm="1">
        <f t="array" ref="R49" xml:space="preserve"> _xlfn.LET(  _xlpm.p, KeyTable[[#This Row],[Pat]],    _xlpm.o, KeyTable[[#This Row],[POv]],
_xlpm.use, NOT(ISBLANK(_xlpm.p)),
_xlpm.ov, _xlfn.IFS( _xlpm.o = "N", "",       _xlpm.o = "", "L80",       TRUE, _xlpm.o),
IF(_xlpm.use, _xlpm.p &amp; _xlpm.ov, ""))</f>
        <v/>
      </c>
    </row>
    <row r="50" spans="1:18" x14ac:dyDescent="0.2">
      <c r="A50" s="66" t="s">
        <v>152</v>
      </c>
      <c r="B50" s="127" t="str">
        <f>KeyTable[[#This Row],[Class]]&amp;KeyTable[[#This Row],[Type]]</f>
        <v>ActNote</v>
      </c>
      <c r="C50" t="s">
        <v>65</v>
      </c>
      <c r="D50" t="s">
        <v>153</v>
      </c>
      <c r="E50" t="s">
        <v>154</v>
      </c>
      <c r="F50" t="s">
        <v>30</v>
      </c>
      <c r="G50" t="s">
        <v>146</v>
      </c>
      <c r="H50" t="s">
        <v>155</v>
      </c>
      <c r="I50" s="5" t="str" cm="1">
        <f t="array" ref="I50" xml:space="preserve"> IF( OR(RIGHT(KeyTable[[#This Row],[StyleName]], 4) = "Date", RIGHT(KeyTable[[#This Row],[StyleName]], 3) = "Val"), FontTable[Mono], FontTable[Body])</f>
        <v>Bahnschrift</v>
      </c>
      <c r="J50" s="134" t="s">
        <v>147</v>
      </c>
      <c r="K50" s="135" t="s">
        <v>147</v>
      </c>
      <c r="L50" s="135" t="s">
        <v>147</v>
      </c>
      <c r="M50" s="143" t="s">
        <v>84</v>
      </c>
      <c r="N50" s="144"/>
      <c r="O50" s="148"/>
      <c r="P50" s="6" t="str" cm="1">
        <f t="array" ref="P50">_xlfn.LET(
_xlpm.s, KeyTable[[#This Row],[StyleName]],     _xlpm.o, KeyTable[[#This Row],[BOv]],     _xlpm.b, KeyTable[[#This Row],[Base]],
_xlpm.ckey, RIGHT(_xlpm.s, 3) = "Key",
_xlpm.ched, RIGHT(_xlpm.s, 2) = "Hd",
_xlpm.chky, RIGHT(_xlpm.s, 5) = "HdKey",
_xlpm.cell, RIGHT(_xlpm.s, 4) = "Cell",
_xlpm.ovn, _xlpm.o = "N",
_xlpm.ov, AND(_xlpm.o &lt;&gt; "", NOT(_xlpm.ovn)),
_xlpm.b &amp; _xlfn.IFS( _xlpm.ov, _xlpm.o,    _xlpm.ovn, "",     _xlpm.chky, "D50",      _xlpm.ched, "D25",     _xlpm.ckey, "L40",      _xlpm.cell, "L60",      TRUE, "" ))</f>
        <v>A6L60</v>
      </c>
      <c r="Q50" s="7" t="str" cm="1">
        <f t="array" ref="Q50">_xlfn.LET(
_xlpm.s, KeyTable[[#This Row],[StyleName]],     _xlpm.f, KeyTable[[#This Row],[Fnt]],       _xlpm.o, KeyTable[[#This Row],[FOv]],
_xlpm.ovn, _xlpm.o = "N",
_xlpm.ov, AND(_xlpm.o &lt;&gt; "", NOT(_xlpm.ovn)),
_xlpm.ched, RIGHT(_xlpm.s, 2) = "Hd",
_xlpm.chky, OR(RIGHT(_xlpm.s, 5) = "HdKey", RIGHT(_xlpm.s, 5) = "Title"),
_xlpm.cact, LEFT(_xlpm.s, 3) = "Act",
_xlpm.f &amp; _xlfn.IFS( _xlpm.ov, _xlpm.o,      _xlpm.ovn, "",      _xlpm.cact, "D50",       OR(_xlpm.chky,_xlpm.ched), "L80",     TRUE, "" ))</f>
        <v>A6D50</v>
      </c>
      <c r="R50" s="10" t="str" cm="1">
        <f t="array" ref="R50" xml:space="preserve"> _xlfn.LET(  _xlpm.p, KeyTable[[#This Row],[Pat]],    _xlpm.o, KeyTable[[#This Row],[POv]],
_xlpm.use, NOT(ISBLANK(_xlpm.p)),
_xlpm.ov, _xlfn.IFS( _xlpm.o = "N", "",       _xlpm.o = "", "L80",       TRUE, _xlpm.o),
IF(_xlpm.use, _xlpm.p &amp; _xlpm.ov, ""))</f>
        <v>A6L80</v>
      </c>
    </row>
    <row r="51" spans="1:18" x14ac:dyDescent="0.2">
      <c r="I51" s="1"/>
      <c r="J51" s="1"/>
      <c r="K51" s="1"/>
      <c r="L51" s="1"/>
      <c r="M51" s="1"/>
    </row>
    <row r="52" spans="1:18" ht="19.5" x14ac:dyDescent="0.2">
      <c r="E52" s="277" t="s">
        <v>156</v>
      </c>
      <c r="F52" s="277"/>
      <c r="G52" s="277"/>
      <c r="H52" s="277"/>
      <c r="L52" s="1"/>
      <c r="M52" s="1"/>
      <c r="N52" s="1"/>
      <c r="O52" s="1"/>
      <c r="P52" s="1"/>
    </row>
    <row r="53" spans="1:18" x14ac:dyDescent="0.2">
      <c r="E53" s="67" t="s">
        <v>157</v>
      </c>
      <c r="F53" s="68" t="s">
        <v>158</v>
      </c>
      <c r="G53" s="69" t="s">
        <v>159</v>
      </c>
      <c r="H53" s="70" t="s">
        <v>160</v>
      </c>
      <c r="L53" s="1"/>
      <c r="M53" s="1"/>
      <c r="N53" s="1"/>
      <c r="O53" s="1"/>
      <c r="P53" s="1"/>
    </row>
    <row r="54" spans="1:18" x14ac:dyDescent="0.2">
      <c r="E54" s="71" t="s">
        <v>161</v>
      </c>
      <c r="F54" s="82" t="s">
        <v>162</v>
      </c>
      <c r="G54" s="79" t="s">
        <v>163</v>
      </c>
      <c r="H54" s="72" t="s">
        <v>164</v>
      </c>
      <c r="L54" s="1"/>
      <c r="M54" s="1"/>
      <c r="N54" s="1"/>
      <c r="O54" s="1"/>
      <c r="P54" s="1"/>
    </row>
    <row r="55" spans="1:18" x14ac:dyDescent="0.2">
      <c r="E55" s="71" t="s">
        <v>165</v>
      </c>
      <c r="F55" s="83" t="s">
        <v>166</v>
      </c>
      <c r="G55" s="80" t="s">
        <v>167</v>
      </c>
      <c r="H55" s="73" t="s">
        <v>168</v>
      </c>
      <c r="L55" s="1"/>
      <c r="M55" s="1"/>
      <c r="N55" s="1"/>
      <c r="O55" s="1"/>
      <c r="P55" s="1"/>
    </row>
    <row r="56" spans="1:18" x14ac:dyDescent="0.2">
      <c r="E56" s="74" t="s">
        <v>169</v>
      </c>
      <c r="F56" s="84" t="s">
        <v>169</v>
      </c>
      <c r="G56" s="81" t="s">
        <v>169</v>
      </c>
      <c r="H56" s="75" t="s">
        <v>170</v>
      </c>
      <c r="L56" s="1"/>
      <c r="M56" s="1"/>
      <c r="N56" s="1"/>
      <c r="O56" s="1"/>
      <c r="P56" s="1"/>
    </row>
    <row r="57" spans="1:18" x14ac:dyDescent="0.2">
      <c r="L57" s="1"/>
      <c r="M57" s="1"/>
      <c r="N57" s="1"/>
      <c r="O57" s="1"/>
      <c r="P57" s="1"/>
    </row>
    <row r="58" spans="1:18" ht="19.5" x14ac:dyDescent="0.2">
      <c r="E58" s="274" t="s">
        <v>171</v>
      </c>
      <c r="F58" s="275"/>
      <c r="G58" s="276"/>
      <c r="L58" s="1"/>
      <c r="M58" s="1"/>
      <c r="N58" s="1"/>
      <c r="O58" s="1"/>
      <c r="P58" s="1"/>
    </row>
    <row r="59" spans="1:18" x14ac:dyDescent="0.2">
      <c r="E59" t="s">
        <v>172</v>
      </c>
      <c r="F59" t="s">
        <v>173</v>
      </c>
      <c r="G59" s="9" t="s">
        <v>174</v>
      </c>
      <c r="L59" s="1"/>
      <c r="M59" s="1"/>
      <c r="N59" s="1"/>
      <c r="O59" s="1"/>
      <c r="P59" s="1"/>
    </row>
    <row r="60" spans="1:18" x14ac:dyDescent="0.2">
      <c r="E60" t="s">
        <v>175</v>
      </c>
      <c r="F60" t="s">
        <v>176</v>
      </c>
      <c r="G60" s="5" t="str">
        <f>RIGHT(LookupSampleTable[[#This Row],[LookupColumn2]],5)</f>
        <v>Value</v>
      </c>
      <c r="L60" s="1"/>
      <c r="M60" s="1"/>
      <c r="N60" s="1"/>
      <c r="O60" s="1"/>
      <c r="P60" s="1"/>
    </row>
    <row r="61" spans="1:18" x14ac:dyDescent="0.2">
      <c r="E61" t="s">
        <v>177</v>
      </c>
      <c r="G61" s="5" t="str">
        <f>RIGHT(LookupSampleTable[[#This Row],[LookupColumn2]],5)</f>
        <v/>
      </c>
      <c r="L61" s="1"/>
      <c r="M61" s="1"/>
      <c r="N61" s="1"/>
      <c r="O61" s="1"/>
      <c r="P61" s="1"/>
    </row>
    <row r="62" spans="1:18" x14ac:dyDescent="0.2">
      <c r="E62" t="s">
        <v>178</v>
      </c>
      <c r="G62" s="76" t="str">
        <f>COUNTIF(LookupSampleTable[CalcColumn],"Value") &amp; " Value"</f>
        <v>1 Value</v>
      </c>
      <c r="L62" s="1"/>
      <c r="M62" s="1"/>
      <c r="N62" s="1"/>
      <c r="O62" s="1"/>
      <c r="P62" s="1"/>
    </row>
    <row r="63" spans="1:18" x14ac:dyDescent="0.2">
      <c r="L63" s="1"/>
      <c r="M63" s="1"/>
      <c r="N63" s="1"/>
      <c r="O63" s="1"/>
      <c r="P63" s="1"/>
    </row>
    <row r="64" spans="1:18" ht="19.5" x14ac:dyDescent="0.2">
      <c r="E64" s="274" t="s">
        <v>179</v>
      </c>
      <c r="F64" s="275"/>
      <c r="G64" s="276"/>
      <c r="L64" s="1"/>
      <c r="M64" s="1"/>
      <c r="N64" s="1"/>
      <c r="O64" s="1"/>
      <c r="P64" s="1"/>
    </row>
    <row r="65" spans="5:16" x14ac:dyDescent="0.2">
      <c r="E65" t="s">
        <v>180</v>
      </c>
      <c r="F65" t="s">
        <v>181</v>
      </c>
      <c r="G65" s="9" t="s">
        <v>182</v>
      </c>
      <c r="L65" s="1"/>
      <c r="M65" s="1"/>
      <c r="N65" s="1"/>
      <c r="O65" s="1"/>
      <c r="P65" s="1"/>
    </row>
    <row r="66" spans="5:16" x14ac:dyDescent="0.2">
      <c r="E66" t="s">
        <v>183</v>
      </c>
      <c r="G66" s="77">
        <f>1 /  VALUE(LEFT($F$68,1))</f>
        <v>0.5</v>
      </c>
      <c r="L66" s="1"/>
      <c r="M66" s="1"/>
      <c r="N66" s="1"/>
      <c r="O66" s="1"/>
      <c r="P66" s="1"/>
    </row>
    <row r="67" spans="5:16" x14ac:dyDescent="0.2">
      <c r="E67" t="s">
        <v>184</v>
      </c>
      <c r="G67" s="77">
        <f>1 /  VALUE(LEFT($F$68,1))</f>
        <v>0.5</v>
      </c>
      <c r="L67" s="1"/>
      <c r="M67" s="1"/>
      <c r="N67" s="1"/>
      <c r="O67" s="1"/>
      <c r="P67" s="1"/>
    </row>
    <row r="68" spans="5:16" x14ac:dyDescent="0.2">
      <c r="E68" t="s">
        <v>178</v>
      </c>
      <c r="F68" t="str">
        <f>COUNTIF(IntSampleTable[Internal2],"")    &amp;     " Blank Cells"</f>
        <v>2 Blank Cells</v>
      </c>
      <c r="G68" s="9" t="str">
        <f>"Total: "&amp; SUBTOTAL(109,IntSampleTable[CalcColumn3])*100 &amp;"%"</f>
        <v>Total: 100%</v>
      </c>
    </row>
    <row r="70" spans="5:16" ht="19.5" x14ac:dyDescent="0.2">
      <c r="E70" s="274" t="s">
        <v>185</v>
      </c>
      <c r="F70" s="275"/>
      <c r="G70" s="276"/>
    </row>
    <row r="71" spans="5:16" x14ac:dyDescent="0.2">
      <c r="E71" t="s">
        <v>186</v>
      </c>
      <c r="F71" t="s">
        <v>187</v>
      </c>
      <c r="G71" s="9" t="s">
        <v>182</v>
      </c>
    </row>
    <row r="72" spans="5:16" x14ac:dyDescent="0.2">
      <c r="E72" t="s">
        <v>188</v>
      </c>
      <c r="F72" t="s">
        <v>189</v>
      </c>
      <c r="G72" s="5" t="b">
        <f>QuerySampleTable[[#This Row],[QueryColumn2]]  = "Query Value"</f>
        <v>1</v>
      </c>
    </row>
    <row r="73" spans="5:16" x14ac:dyDescent="0.2">
      <c r="E73" t="s">
        <v>190</v>
      </c>
      <c r="F73" t="s">
        <v>191</v>
      </c>
      <c r="G73" s="5" t="b">
        <f>QuerySampleTable[[#This Row],[QueryColumn2]]  = "Query Value"</f>
        <v>0</v>
      </c>
    </row>
    <row r="74" spans="5:16" x14ac:dyDescent="0.2">
      <c r="E74" t="s">
        <v>178</v>
      </c>
      <c r="F74" t="str">
        <f>COUNTIF(QuerySampleTable[QueryColumn2],"* Error")&amp;" Error in Col"</f>
        <v>1 Error in Col</v>
      </c>
      <c r="G74" s="9" t="str">
        <f>IF(_xlfn.XMATCH(FALSE, QuerySampleTable[CalcColumn3],0,1) &gt; 0,  "&gt;0  Falses in Column", "Column Good")</f>
        <v>&gt;0  Falses in Column</v>
      </c>
    </row>
    <row r="76" spans="5:16" ht="19.5" x14ac:dyDescent="0.2">
      <c r="E76" s="274" t="s">
        <v>192</v>
      </c>
      <c r="F76" s="275"/>
      <c r="G76" s="276"/>
    </row>
    <row r="77" spans="5:16" x14ac:dyDescent="0.2">
      <c r="E77" t="s">
        <v>21</v>
      </c>
      <c r="F77" t="s">
        <v>22</v>
      </c>
      <c r="G77" t="s">
        <v>23</v>
      </c>
    </row>
    <row r="78" spans="5:16" x14ac:dyDescent="0.2">
      <c r="E78">
        <v>2</v>
      </c>
      <c r="F78">
        <f>4/NewTable[[#This Row],[Column1]]</f>
        <v>2</v>
      </c>
    </row>
    <row r="79" spans="5:16" x14ac:dyDescent="0.2">
      <c r="E79">
        <v>3</v>
      </c>
      <c r="F79">
        <f>4/NewTable[[#This Row],[Column1]]</f>
        <v>1.3333333333333333</v>
      </c>
    </row>
    <row r="80" spans="5:16" x14ac:dyDescent="0.2">
      <c r="E80">
        <v>0</v>
      </c>
      <c r="F80" t="e">
        <f>4/NewTable[[#This Row],[Column1]]</f>
        <v>#DIV/0!</v>
      </c>
    </row>
  </sheetData>
  <mergeCells count="7">
    <mergeCell ref="E76:G76"/>
    <mergeCell ref="T1:W1"/>
    <mergeCell ref="E52:H52"/>
    <mergeCell ref="E58:G58"/>
    <mergeCell ref="E64:G64"/>
    <mergeCell ref="E70:G70"/>
    <mergeCell ref="A1:R1"/>
  </mergeCells>
  <conditionalFormatting sqref="U3:U9 U11:U21">
    <cfRule type="expression" dxfId="30" priority="5">
      <formula>U3="BadValue"</formula>
    </cfRule>
  </conditionalFormatting>
  <conditionalFormatting sqref="V3:V21">
    <cfRule type="expression" dxfId="29" priority="6">
      <formula>NOT($Y$3)</formula>
    </cfRule>
  </conditionalFormatting>
  <conditionalFormatting sqref="V2">
    <cfRule type="expression" dxfId="28" priority="7">
      <formula>NOT($Y$3)</formula>
    </cfRule>
  </conditionalFormatting>
  <conditionalFormatting sqref="F72:F73">
    <cfRule type="expression" dxfId="27" priority="2">
      <formula>F72="Query Error"</formula>
    </cfRule>
  </conditionalFormatting>
  <conditionalFormatting sqref="A1:XFD1048576">
    <cfRule type="expression" dxfId="26" priority="1">
      <formula>ISERROR(A1)</formula>
    </cfRule>
  </conditionalFormatting>
  <dataValidations count="1">
    <dataValidation type="list" allowBlank="1" showInputMessage="1" showErrorMessage="1" sqref="T3:T21 Y3" xr:uid="{D6B96661-B6E9-4670-9C1F-78753CE209B3}">
      <formula1>BoolName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2051" r:id="rId4" name="UseCol3Button">
          <controlPr defaultSize="0" print="0" autoLine="0" linkedCell="Y3" r:id="rId5">
            <anchor moveWithCells="1" sizeWithCells="1">
              <from>
                <xdr:col>24</xdr:col>
                <xdr:colOff>0</xdr:colOff>
                <xdr:row>4</xdr:row>
                <xdr:rowOff>0</xdr:rowOff>
              </from>
              <to>
                <xdr:col>25</xdr:col>
                <xdr:colOff>0</xdr:colOff>
                <xdr:row>7</xdr:row>
                <xdr:rowOff>0</xdr:rowOff>
              </to>
            </anchor>
          </controlPr>
        </control>
      </mc:Choice>
      <mc:Fallback>
        <control shapeId="2051" r:id="rId4" name="UseCol3Button"/>
      </mc:Fallback>
    </mc:AlternateContent>
  </controls>
  <tableParts count="7">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68130-5567-4C58-8970-BD4C03F76E8E}">
  <sheetPr codeName="ListSheet">
    <tabColor theme="6" tint="-0.249977111117893"/>
  </sheetPr>
  <dimension ref="A1:U15"/>
  <sheetViews>
    <sheetView workbookViewId="0">
      <selection sqref="A1:H1"/>
    </sheetView>
  </sheetViews>
  <sheetFormatPr defaultRowHeight="14.25" x14ac:dyDescent="0.2"/>
  <cols>
    <col min="1" max="1" width="6.33203125" bestFit="1" customWidth="1"/>
    <col min="2" max="2" width="8.109375" bestFit="1" customWidth="1"/>
    <col min="3" max="3" width="9" bestFit="1" customWidth="1"/>
    <col min="4" max="4" width="8.77734375" customWidth="1"/>
    <col min="5" max="5" width="9.44140625" bestFit="1" customWidth="1"/>
    <col min="6" max="6" width="14" bestFit="1" customWidth="1"/>
    <col min="7" max="7" width="9.21875" bestFit="1" customWidth="1"/>
    <col min="8" max="8" width="8.109375" bestFit="1" customWidth="1"/>
    <col min="9" max="9" width="8.77734375" customWidth="1"/>
    <col min="10" max="10" width="8" bestFit="1" customWidth="1"/>
    <col min="11" max="11" width="7.77734375" bestFit="1" customWidth="1"/>
    <col min="12" max="12" width="4.88671875" bestFit="1" customWidth="1"/>
    <col min="13" max="13" width="8.5546875" bestFit="1" customWidth="1"/>
    <col min="14" max="14" width="8.109375" bestFit="1" customWidth="1"/>
    <col min="15" max="15" width="8.5546875" bestFit="1" customWidth="1"/>
    <col min="16" max="17" width="8.77734375" customWidth="1"/>
    <col min="18" max="19" width="10.44140625" bestFit="1" customWidth="1"/>
    <col min="20" max="20" width="16.44140625" bestFit="1" customWidth="1"/>
    <col min="21" max="21" width="14.88671875" bestFit="1" customWidth="1"/>
  </cols>
  <sheetData>
    <row r="1" spans="1:21" ht="19.5" x14ac:dyDescent="0.2">
      <c r="A1" s="274" t="s">
        <v>193</v>
      </c>
      <c r="B1" s="275"/>
      <c r="C1" s="275"/>
      <c r="D1" s="275"/>
      <c r="E1" s="275"/>
      <c r="F1" s="275"/>
      <c r="G1" s="275"/>
      <c r="H1" s="276"/>
      <c r="J1" s="282" t="s">
        <v>194</v>
      </c>
      <c r="K1" s="283"/>
      <c r="L1" s="283"/>
      <c r="M1" s="283"/>
      <c r="N1" s="283"/>
      <c r="O1" s="284"/>
      <c r="P1" s="285"/>
      <c r="Q1" s="285"/>
      <c r="R1" s="279" t="s">
        <v>195</v>
      </c>
      <c r="S1" s="280"/>
      <c r="T1" s="280"/>
      <c r="U1" s="281"/>
    </row>
    <row r="2" spans="1:21" x14ac:dyDescent="0.2">
      <c r="A2" s="1" t="s">
        <v>196</v>
      </c>
      <c r="B2" s="1" t="s">
        <v>197</v>
      </c>
      <c r="C2" s="1"/>
      <c r="E2" s="287" t="s">
        <v>198</v>
      </c>
      <c r="F2" s="288"/>
      <c r="G2" s="289" t="s">
        <v>199</v>
      </c>
      <c r="H2" s="290"/>
      <c r="J2" t="s">
        <v>200</v>
      </c>
      <c r="K2" t="s">
        <v>201</v>
      </c>
      <c r="L2" t="s">
        <v>202</v>
      </c>
      <c r="M2" t="s">
        <v>203</v>
      </c>
      <c r="N2" t="s">
        <v>204</v>
      </c>
      <c r="O2" t="s">
        <v>205</v>
      </c>
      <c r="P2" s="285"/>
      <c r="Q2" s="286"/>
      <c r="R2" t="s">
        <v>206</v>
      </c>
      <c r="S2" t="s">
        <v>207</v>
      </c>
      <c r="T2" t="s">
        <v>208</v>
      </c>
      <c r="U2" t="s">
        <v>209</v>
      </c>
    </row>
    <row r="3" spans="1:21" x14ac:dyDescent="0.2">
      <c r="A3" s="1" t="b">
        <v>1</v>
      </c>
      <c r="B3" s="1" t="s">
        <v>210</v>
      </c>
      <c r="C3" s="1"/>
      <c r="E3" s="2" t="s">
        <v>211</v>
      </c>
      <c r="F3" s="2" t="s">
        <v>58</v>
      </c>
      <c r="G3" s="2" t="s">
        <v>211</v>
      </c>
      <c r="H3" s="2" t="s">
        <v>58</v>
      </c>
      <c r="J3" s="1">
        <v>16</v>
      </c>
      <c r="K3" s="1">
        <v>11</v>
      </c>
      <c r="L3" s="1">
        <v>11</v>
      </c>
      <c r="M3" s="1" t="b">
        <v>1</v>
      </c>
      <c r="N3" s="1" t="b">
        <v>0</v>
      </c>
      <c r="O3" s="1" t="b">
        <v>1</v>
      </c>
      <c r="P3" s="285"/>
      <c r="Q3" s="286"/>
      <c r="R3" t="s">
        <v>212</v>
      </c>
      <c r="S3" s="89" t="s">
        <v>212</v>
      </c>
      <c r="T3" s="88" t="s">
        <v>213</v>
      </c>
      <c r="U3" s="87" t="s">
        <v>214</v>
      </c>
    </row>
    <row r="4" spans="1:21" x14ac:dyDescent="0.2">
      <c r="A4" s="1" t="b">
        <v>0</v>
      </c>
      <c r="B4" s="1" t="s">
        <v>215</v>
      </c>
      <c r="C4" s="1"/>
      <c r="E4" s="85" t="b" cm="1">
        <f t="array" aca="1" ref="E4" ca="1">OFFSET( BoolName, 0, 0, 1, 1)</f>
        <v>1</v>
      </c>
      <c r="F4" s="85" t="b" cm="1">
        <f t="array" aca="1" ref="F4" ca="1">OFFSET( BoolName, 1, 0, 1, 1)</f>
        <v>0</v>
      </c>
      <c r="G4" s="85" t="str">
        <f ca="1">OFFSET( YNTable[], 0, 0, 1, 1)</f>
        <v>Yes</v>
      </c>
      <c r="H4" s="85" t="str">
        <f ca="1">OFFSET( YNTable[], 1, 0, 1, 1)</f>
        <v>No</v>
      </c>
      <c r="N4" s="86"/>
    </row>
    <row r="6" spans="1:21" x14ac:dyDescent="0.2">
      <c r="A6" s="1"/>
    </row>
    <row r="7" spans="1:21" ht="19.5" x14ac:dyDescent="0.2">
      <c r="A7" s="278" t="s">
        <v>216</v>
      </c>
      <c r="B7" s="278"/>
      <c r="C7" s="278"/>
      <c r="E7" s="278" t="s">
        <v>217</v>
      </c>
      <c r="F7" s="278"/>
      <c r="G7" s="278"/>
      <c r="H7" s="278"/>
    </row>
    <row r="8" spans="1:21" x14ac:dyDescent="0.2">
      <c r="A8" t="s">
        <v>117</v>
      </c>
      <c r="B8" t="s">
        <v>35</v>
      </c>
      <c r="C8" t="s">
        <v>218</v>
      </c>
      <c r="E8" t="s">
        <v>6</v>
      </c>
      <c r="F8" t="s">
        <v>4</v>
      </c>
      <c r="G8" t="s">
        <v>219</v>
      </c>
      <c r="H8" t="s">
        <v>220</v>
      </c>
    </row>
    <row r="9" spans="1:21" x14ac:dyDescent="0.2">
      <c r="A9" t="s">
        <v>35</v>
      </c>
      <c r="B9" t="e">
        <f>VALUE("a")</f>
        <v>#VALUE!</v>
      </c>
      <c r="C9" t="s">
        <v>221</v>
      </c>
      <c r="E9" t="s">
        <v>222</v>
      </c>
      <c r="F9" t="s">
        <v>223</v>
      </c>
      <c r="G9" t="s">
        <v>224</v>
      </c>
      <c r="H9" t="s">
        <v>225</v>
      </c>
    </row>
    <row r="10" spans="1:21" x14ac:dyDescent="0.2">
      <c r="A10" t="s">
        <v>226</v>
      </c>
      <c r="B10" t="e" cm="1">
        <f t="array" ref="B10">ErrNA</f>
        <v>#NAME?</v>
      </c>
      <c r="C10" t="s">
        <v>227</v>
      </c>
      <c r="E10" t="s">
        <v>228</v>
      </c>
      <c r="F10" t="s">
        <v>229</v>
      </c>
      <c r="G10" t="s">
        <v>230</v>
      </c>
      <c r="H10" t="s">
        <v>231</v>
      </c>
    </row>
    <row r="11" spans="1:21" x14ac:dyDescent="0.2">
      <c r="A11" t="s">
        <v>232</v>
      </c>
      <c r="B11" t="e">
        <f>SQRT(-1)</f>
        <v>#NUM!</v>
      </c>
      <c r="C11" t="s">
        <v>233</v>
      </c>
      <c r="E11" t="s">
        <v>234</v>
      </c>
      <c r="F11" t="s">
        <v>235</v>
      </c>
      <c r="G11" t="s">
        <v>236</v>
      </c>
      <c r="H11" t="s">
        <v>237</v>
      </c>
    </row>
    <row r="12" spans="1:21" x14ac:dyDescent="0.2">
      <c r="A12" t="s">
        <v>218</v>
      </c>
      <c r="B12" t="e" cm="1">
        <f t="array" ref="B12">noname</f>
        <v>#NAME?</v>
      </c>
      <c r="C12" t="s">
        <v>238</v>
      </c>
      <c r="E12" t="s">
        <v>239</v>
      </c>
      <c r="F12" t="s">
        <v>240</v>
      </c>
      <c r="G12" t="s">
        <v>241</v>
      </c>
      <c r="H12" t="s">
        <v>242</v>
      </c>
    </row>
    <row r="13" spans="1:21" x14ac:dyDescent="0.2">
      <c r="A13" t="s">
        <v>243</v>
      </c>
      <c r="B13" t="e" cm="1" vm="2">
        <f t="array" aca="1" ref="B13" ca="1">J8:M11</f>
        <v>#VALUE!</v>
      </c>
      <c r="C13" t="s">
        <v>244</v>
      </c>
      <c r="E13" t="s">
        <v>245</v>
      </c>
      <c r="F13" t="s">
        <v>246</v>
      </c>
      <c r="G13" t="s">
        <v>247</v>
      </c>
      <c r="H13" t="s">
        <v>248</v>
      </c>
    </row>
    <row r="14" spans="1:21" x14ac:dyDescent="0.2">
      <c r="A14" t="s">
        <v>249</v>
      </c>
      <c r="B14" t="e">
        <f>4/0</f>
        <v>#DIV/0!</v>
      </c>
      <c r="C14" t="s">
        <v>250</v>
      </c>
      <c r="E14" t="s">
        <v>68</v>
      </c>
      <c r="F14" t="s">
        <v>251</v>
      </c>
      <c r="G14" t="s">
        <v>252</v>
      </c>
      <c r="H14" t="s">
        <v>253</v>
      </c>
    </row>
    <row r="15" spans="1:21" x14ac:dyDescent="0.2">
      <c r="A15" s="1" t="s">
        <v>254</v>
      </c>
      <c r="B15" s="1" t="s">
        <v>255</v>
      </c>
      <c r="C15" s="149" t="s">
        <v>256</v>
      </c>
      <c r="E15" t="s">
        <v>117</v>
      </c>
      <c r="F15" t="s">
        <v>216</v>
      </c>
      <c r="G15" t="s">
        <v>257</v>
      </c>
      <c r="H15" t="s">
        <v>258</v>
      </c>
    </row>
  </sheetData>
  <mergeCells count="8">
    <mergeCell ref="E7:H7"/>
    <mergeCell ref="A7:C7"/>
    <mergeCell ref="R1:U1"/>
    <mergeCell ref="A1:H1"/>
    <mergeCell ref="J1:O1"/>
    <mergeCell ref="P1:Q3"/>
    <mergeCell ref="E2:F2"/>
    <mergeCell ref="G2:H2"/>
  </mergeCells>
  <dataValidations count="2">
    <dataValidation type="list" allowBlank="1" sqref="M3:O3" xr:uid="{3C74D6F8-4506-4B57-82EE-FFA1EEBFA496}">
      <formula1>BoolName</formula1>
    </dataValidation>
    <dataValidation type="list" allowBlank="1" sqref="G9:H15" xr:uid="{635700D7-A826-46D0-9E0A-D7A602E14792}">
      <formula1>StyleNames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Styles">
                <anchor moveWithCells="1" sizeWithCells="1">
                  <from>
                    <xdr:col>15</xdr:col>
                    <xdr:colOff>228600</xdr:colOff>
                    <xdr:row>0</xdr:row>
                    <xdr:rowOff>104775</xdr:rowOff>
                  </from>
                  <to>
                    <xdr:col>16</xdr:col>
                    <xdr:colOff>571500</xdr:colOff>
                    <xdr:row>2</xdr:row>
                    <xdr:rowOff>47625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D7DD2-85BB-4C58-9B8C-7E83F32E30B3}">
  <sheetPr codeName="EquipmentSheet">
    <tabColor theme="6" tint="-0.249977111117893"/>
  </sheetPr>
  <dimension ref="A1:AM1507"/>
  <sheetViews>
    <sheetView zoomScaleNormal="100" workbookViewId="0">
      <pane ySplit="3" topLeftCell="A431" activePane="bottomLeft" state="frozen"/>
      <selection pane="bottomLeft" activeCell="D773" sqref="D773"/>
    </sheetView>
  </sheetViews>
  <sheetFormatPr defaultRowHeight="14.25" x14ac:dyDescent="0.2"/>
  <cols>
    <col min="1" max="1" width="7.44140625" bestFit="1" customWidth="1"/>
    <col min="2" max="2" width="12.88671875" bestFit="1" customWidth="1"/>
    <col min="3" max="3" width="10" bestFit="1" customWidth="1"/>
    <col min="4" max="4" width="26.88671875" bestFit="1" customWidth="1"/>
    <col min="5" max="5" width="14.33203125" bestFit="1" customWidth="1"/>
    <col min="6" max="6" width="23.21875" customWidth="1"/>
    <col min="7" max="7" width="14" style="1" bestFit="1" customWidth="1"/>
    <col min="8" max="8" width="17.6640625" bestFit="1" customWidth="1"/>
    <col min="9" max="9" width="34.77734375" customWidth="1"/>
    <col min="10" max="10" width="28.5546875" bestFit="1" customWidth="1"/>
    <col min="11" max="11" width="12.77734375" bestFit="1" customWidth="1"/>
    <col min="12" max="12" width="10.33203125" bestFit="1" customWidth="1"/>
    <col min="13" max="13" width="16.77734375" bestFit="1" customWidth="1"/>
    <col min="14" max="14" width="8.21875" bestFit="1" customWidth="1"/>
    <col min="15" max="15" width="15.44140625" bestFit="1" customWidth="1"/>
    <col min="16" max="16" width="6.44140625" bestFit="1" customWidth="1"/>
    <col min="17" max="17" width="24.77734375" bestFit="1" customWidth="1"/>
    <col min="18" max="18" width="12.44140625" bestFit="1" customWidth="1"/>
    <col min="19" max="19" width="21.33203125" bestFit="1" customWidth="1"/>
    <col min="20" max="20" width="2.21875" customWidth="1"/>
    <col min="21" max="21" width="21.33203125" bestFit="1" customWidth="1"/>
    <col min="22" max="22" width="34.44140625" bestFit="1" customWidth="1"/>
    <col min="23" max="23" width="2.21875" customWidth="1"/>
    <col min="24" max="24" width="5" bestFit="1" customWidth="1"/>
    <col min="25" max="25" width="25.6640625" bestFit="1" customWidth="1"/>
    <col min="26" max="26" width="6" bestFit="1" customWidth="1"/>
    <col min="27" max="27" width="8" customWidth="1"/>
    <col min="28" max="28" width="17.6640625" bestFit="1" customWidth="1"/>
    <col min="29" max="29" width="28.44140625" bestFit="1" customWidth="1"/>
    <col min="30" max="30" width="2.21875" customWidth="1"/>
    <col min="31" max="31" width="12.88671875" bestFit="1" customWidth="1"/>
    <col min="32" max="32" width="2.21875" customWidth="1"/>
    <col min="33" max="33" width="15.33203125" bestFit="1" customWidth="1"/>
    <col min="34" max="34" width="2.21875" customWidth="1"/>
    <col min="35" max="35" width="15.33203125" bestFit="1" customWidth="1"/>
    <col min="36" max="36" width="2.21875" customWidth="1"/>
    <col min="37" max="37" width="27.33203125" customWidth="1"/>
    <col min="38" max="38" width="13.21875" bestFit="1" customWidth="1"/>
    <col min="39" max="39" width="7.5546875" bestFit="1" customWidth="1"/>
  </cols>
  <sheetData>
    <row r="1" spans="1:39" ht="19.5" x14ac:dyDescent="0.2">
      <c r="A1" s="279" t="s">
        <v>259</v>
      </c>
      <c r="B1" s="280"/>
      <c r="C1" s="280"/>
      <c r="D1" s="280"/>
      <c r="E1" s="280"/>
      <c r="F1" s="280"/>
      <c r="G1" s="280"/>
      <c r="H1" s="280"/>
      <c r="I1" s="280"/>
      <c r="J1" s="280"/>
      <c r="K1" s="280"/>
      <c r="L1" s="280"/>
      <c r="M1" s="280"/>
      <c r="N1" s="280"/>
      <c r="O1" s="280"/>
      <c r="P1" s="280"/>
      <c r="Q1" s="281"/>
      <c r="R1" s="262"/>
      <c r="S1" s="262"/>
      <c r="U1" s="293" t="s">
        <v>42</v>
      </c>
      <c r="V1" s="293"/>
      <c r="W1" s="185"/>
      <c r="X1" s="278" t="s">
        <v>260</v>
      </c>
      <c r="Y1" s="278"/>
      <c r="Z1" s="278"/>
      <c r="AB1" s="293" t="s">
        <v>261</v>
      </c>
      <c r="AC1" s="293"/>
      <c r="AE1" s="162" t="s">
        <v>262</v>
      </c>
      <c r="AG1" s="162" t="s">
        <v>263</v>
      </c>
      <c r="AI1" s="162" t="s">
        <v>264</v>
      </c>
      <c r="AK1" s="291" t="s">
        <v>265</v>
      </c>
      <c r="AL1" s="292"/>
      <c r="AM1" s="292"/>
    </row>
    <row r="2" spans="1:39" x14ac:dyDescent="0.2">
      <c r="A2" s="177" t="s">
        <v>266</v>
      </c>
      <c r="B2" s="176">
        <f>COUNTA(ITEquipmentTable[Type])/ITTCount</f>
        <v>0.97262059973924375</v>
      </c>
      <c r="C2" s="175">
        <f>COUNTA(ITEquipmentTable[Brand])/ITTCount</f>
        <v>0.90873533246414606</v>
      </c>
      <c r="D2" s="175">
        <f>COUNTA(ITEquipmentTable[Model])/ITTCount</f>
        <v>0.75488917861799221</v>
      </c>
      <c r="E2" s="175">
        <f>COUNTA(ITEquipmentTable[Serial Type])/ITTCount</f>
        <v>0.9256844850065189</v>
      </c>
      <c r="F2" s="175" cm="1">
        <f t="array" ref="F2">_xlfn.LET(
_xlpm.col, ITEquipmentTable[Serial],
_xlpm.filled, COUNTA(_xlpm.col),
_xlpm.total, COUNTF(_xlpm.col),
_xlpm.filled/_xlpm.total)</f>
        <v>0.70795306388526724</v>
      </c>
      <c r="G2" s="175" cm="1">
        <f t="array" ref="G2">_xlfn.LET(
_xlpm.col, ITEquipmentTable[Storage Location],
_xlpm.filled, COUNTA(_xlpm.col),
_xlpm.total, COUNTF(_xlpm.col),
_xlpm.filled/_xlpm.total)</f>
        <v>0.70534550195567147</v>
      </c>
      <c r="H2" s="175">
        <f>_xlfn.LET(
_xlpm.col, ITEquipmentTable[Assigned Location],
_xlpm.filled, COUNTIFS(ITEquipmentTable[Storage Location], "In Use", ITEquipmentTable[Assigned Location], "&lt;&gt;"),
_xlpm.total, COUNTIF(ITEquipmentTable[Storage Location], "In Use"),
_xlpm.filled/_xlpm.total)</f>
        <v>0.9718875502008032</v>
      </c>
      <c r="I2" s="175"/>
      <c r="J2" s="175"/>
      <c r="K2" s="175" cm="1">
        <f t="array" ref="K2">_xlfn.LET(
_xlpm.col, ITEquipmentTable[Name],
_xlpm.filled, COUNTA(_xlpm.col),
_xlpm.total, COUNTF(_xlpm.col),
_xlpm.filled/_xlpm.total)</f>
        <v>0.88135593220338981</v>
      </c>
      <c r="L2" s="215"/>
      <c r="M2" s="182"/>
      <c r="N2" s="183"/>
      <c r="O2" s="176" cm="1">
        <f t="array" ref="O2">_xlfn.LET(
_xlpm.col, ITEquipmentTable[Condition],
_xlpm.filled, COUNTA(_xlpm.col),
_xlpm.total, COUNTF(_xlpm.col),
_xlpm.filled/_xlpm.total)</f>
        <v>0.10039113428943937</v>
      </c>
      <c r="P2" s="176" cm="1">
        <f t="array" ref="P2">_xlfn.LET(
_xlpm.col, ITEquipmentTable[NeedsRepair],
_xlpm.filled, COUNTA(_xlpm.col),
_xlpm.total, COUNTF(_xlpm.col),
_xlpm.filled/_xlpm.total)</f>
        <v>0.65580182529335074</v>
      </c>
      <c r="Q2" s="176" cm="1">
        <f t="array" ref="Q2">_xlfn.LET(
_xlpm.col, ITEquipmentTable[Notes],
_xlpm.filled, COUNTA(_xlpm.col),
_xlpm.total, COUNTF(_xlpm.col),
_xlpm.filled/_xlpm.total)</f>
        <v>0.47588005215123858</v>
      </c>
      <c r="R2" s="263"/>
      <c r="S2" s="263"/>
      <c r="U2" s="169" t="str">
        <f>COUNTA(Table19[Style]) &amp; " Keys"</f>
        <v>10 Keys</v>
      </c>
      <c r="V2" s="169"/>
      <c r="W2" s="185"/>
      <c r="X2" s="230"/>
      <c r="Y2" s="232" t="str">
        <f>COUNTA(EmployeeTable[name]) &amp; " Employees"</f>
        <v>410 Employees</v>
      </c>
      <c r="Z2" s="231"/>
      <c r="AB2" s="169"/>
      <c r="AC2" s="169"/>
      <c r="AE2" s="169" t="str">
        <f>COUNTA(DeviceTypeTable[Type]) &amp; " Types"</f>
        <v>19 Types</v>
      </c>
      <c r="AG2" s="169"/>
      <c r="AI2" s="169" t="str">
        <f>COUNTA(SerialTypeTable[Type]) &amp; " Types"</f>
        <v>5 Types</v>
      </c>
    </row>
    <row r="3" spans="1:39" x14ac:dyDescent="0.2">
      <c r="A3" s="177" t="s">
        <v>267</v>
      </c>
      <c r="B3" s="150">
        <f>COUNTA(ITEquipmentTable[Key])</f>
        <v>767</v>
      </c>
      <c r="C3" s="177" t="s">
        <v>268</v>
      </c>
      <c r="D3" s="181">
        <f>MAX(ITEquipmentTable[Key]) + 1</f>
        <v>937</v>
      </c>
      <c r="E3" s="177"/>
      <c r="F3" s="169" t="str" cm="1">
        <f t="array" ref="F3" xml:space="preserve"> "Empty Cells: " &amp; COUNTBLANK(EquipmentTableRequiredCells)</f>
        <v>Empty Cells: 1480</v>
      </c>
      <c r="G3" s="204" t="str" cm="1">
        <f t="array" ref="G3">TEXT(COUNTA(EquipmentTableRequiredCells)/((COUNTA(EquipmentTableRequiredCells)+COUNTBLANK(EquipmentTableRequiredCells))), "0.0%") &amp; " Completion"</f>
        <v>75.6% Completion</v>
      </c>
      <c r="H3" s="298" t="s">
        <v>269</v>
      </c>
      <c r="I3" s="299"/>
      <c r="J3" s="299"/>
      <c r="K3" s="299"/>
      <c r="L3" s="299"/>
      <c r="M3" s="300"/>
      <c r="N3" s="153">
        <f>COUNTIF(ITEquipmentTable[Valid], TRUE) / COUNTA(ITEquipmentTable[Valid])</f>
        <v>0.47327249022164275</v>
      </c>
      <c r="O3" s="178"/>
      <c r="P3" s="179"/>
      <c r="Q3" s="180"/>
      <c r="R3" s="264"/>
      <c r="S3" s="264"/>
      <c r="U3" s="294"/>
      <c r="V3" s="295"/>
      <c r="W3" s="185"/>
      <c r="X3" s="301"/>
      <c r="Y3" s="301"/>
      <c r="Z3" s="301"/>
      <c r="AB3" s="296"/>
      <c r="AC3" s="297"/>
      <c r="AE3" s="163" t="s">
        <v>270</v>
      </c>
      <c r="AG3" s="167" t="s">
        <v>271</v>
      </c>
      <c r="AI3" s="167" t="s">
        <v>264</v>
      </c>
    </row>
    <row r="4" spans="1:39" ht="234.75" customHeight="1" x14ac:dyDescent="0.2">
      <c r="A4" s="211"/>
      <c r="B4" s="212"/>
      <c r="C4" s="212"/>
      <c r="D4" s="212"/>
      <c r="E4" s="212"/>
      <c r="F4" s="212"/>
      <c r="G4" s="212"/>
      <c r="H4" s="212"/>
      <c r="I4" s="212"/>
      <c r="J4" s="212"/>
      <c r="K4" s="212"/>
      <c r="L4" s="212"/>
      <c r="M4" s="212"/>
      <c r="N4" s="212"/>
      <c r="O4" s="212"/>
      <c r="P4" s="212"/>
      <c r="Q4" s="213"/>
      <c r="R4" s="262"/>
      <c r="S4" s="262"/>
      <c r="U4" s="228"/>
      <c r="V4" s="229"/>
      <c r="W4" s="185"/>
      <c r="X4" s="214"/>
      <c r="Y4" s="227"/>
      <c r="Z4" s="227"/>
      <c r="AB4" s="156"/>
      <c r="AC4" s="156"/>
      <c r="AE4" s="162"/>
      <c r="AG4" s="162"/>
      <c r="AI4" s="162"/>
    </row>
    <row r="5" spans="1:39" x14ac:dyDescent="0.2">
      <c r="A5" t="s">
        <v>42</v>
      </c>
      <c r="B5" t="s">
        <v>6</v>
      </c>
      <c r="C5" t="s">
        <v>272</v>
      </c>
      <c r="D5" t="s">
        <v>273</v>
      </c>
      <c r="E5" t="s">
        <v>274</v>
      </c>
      <c r="F5" t="s">
        <v>275</v>
      </c>
      <c r="G5" s="76" t="s">
        <v>3325</v>
      </c>
      <c r="H5" s="154" t="s">
        <v>276</v>
      </c>
      <c r="I5" t="s">
        <v>277</v>
      </c>
      <c r="J5" t="s">
        <v>278</v>
      </c>
      <c r="K5" t="s">
        <v>279</v>
      </c>
      <c r="L5" s="76" t="s">
        <v>2932</v>
      </c>
      <c r="M5" t="s">
        <v>218</v>
      </c>
      <c r="N5" s="76" t="s">
        <v>280</v>
      </c>
      <c r="O5" s="76" t="s">
        <v>281</v>
      </c>
      <c r="P5" s="76" t="s">
        <v>269</v>
      </c>
      <c r="Q5" t="s">
        <v>282</v>
      </c>
      <c r="R5" t="s">
        <v>283</v>
      </c>
      <c r="S5" t="s">
        <v>284</v>
      </c>
      <c r="U5" t="s">
        <v>254</v>
      </c>
      <c r="V5" t="s">
        <v>285</v>
      </c>
      <c r="X5" t="s">
        <v>286</v>
      </c>
      <c r="Y5" t="s">
        <v>287</v>
      </c>
      <c r="Z5" t="s">
        <v>288</v>
      </c>
      <c r="AB5" t="s">
        <v>218</v>
      </c>
      <c r="AC5" t="s">
        <v>289</v>
      </c>
      <c r="AE5" t="s">
        <v>6</v>
      </c>
      <c r="AG5" t="s">
        <v>290</v>
      </c>
      <c r="AI5" t="s">
        <v>6</v>
      </c>
      <c r="AK5" t="s">
        <v>291</v>
      </c>
      <c r="AL5" t="s">
        <v>292</v>
      </c>
      <c r="AM5" s="76" t="s">
        <v>293</v>
      </c>
    </row>
    <row r="6" spans="1:39" s="1" customFormat="1" hidden="1" x14ac:dyDescent="0.2">
      <c r="A6" s="155">
        <v>2</v>
      </c>
      <c r="B6" s="1" t="s">
        <v>294</v>
      </c>
      <c r="C6" s="1" t="s">
        <v>403</v>
      </c>
      <c r="D6" s="1" t="s">
        <v>1155</v>
      </c>
      <c r="E6" s="1" t="s">
        <v>306</v>
      </c>
      <c r="F6" s="195" t="s">
        <v>1156</v>
      </c>
      <c r="G6" s="159" t="str">
        <f>_xlfn.XLOOKUP(ITEquipmentTable[[#This Row],[Name]], IntuneData[Device name], IntuneData[Serial number], "")</f>
        <v/>
      </c>
      <c r="H6" s="168"/>
      <c r="I6" s="168"/>
      <c r="J6" s="168"/>
      <c r="K6" s="154" t="s">
        <v>508</v>
      </c>
      <c r="L6" s="159" t="str">
        <f>_xlfn.LET(
_xlpm.look, _xlfn.XLOOKUP(ITEquipmentTable[[#This Row],[Name]], VNCTable[ClientName], VNCTable[IP], ""),
_xlpm.chkk, IF(ITEquipmentTable[[#This Row],[IPv4 Address]] = "N/A", "N/A", _xlpm.look),
IF(ITEquipmentTable[[#This Row],[Name]] = "", "", _xlpm.chkk))</f>
        <v/>
      </c>
      <c r="M6" s="168" t="s">
        <v>1157</v>
      </c>
      <c r="N6" s="161" t="str">
        <f>_xlfn.LET(_xlpm.emp, IF(_xlfn.XLOOKUP(ITEquipmentTable[[#This Row],[Assigned Employee]], EmployeeTable[name], EmployeeTable[Active], TRUE), "Employee", "Recover"),
IF(ITEquipmentTable[[#This Row],[Storage Location]] = "Assigned to Employee", _xlpm.emp, "N/A"))</f>
        <v>N/A</v>
      </c>
      <c r="O6" s="161" t="str" cm="1">
        <f t="array" ref="O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6" s="1" t="s">
        <v>405</v>
      </c>
      <c r="T6" s="194"/>
      <c r="U6" s="191" t="s">
        <v>299</v>
      </c>
      <c r="V6" s="1" t="s">
        <v>300</v>
      </c>
      <c r="X6" s="1">
        <v>994</v>
      </c>
      <c r="Y6" s="223" t="s">
        <v>301</v>
      </c>
      <c r="Z6" s="1" t="b">
        <v>1</v>
      </c>
      <c r="AA6"/>
      <c r="AB6" s="188" t="s">
        <v>302</v>
      </c>
      <c r="AC6" s="1" t="s">
        <v>303</v>
      </c>
      <c r="AE6" s="1" t="s">
        <v>304</v>
      </c>
      <c r="AG6" s="1" t="s">
        <v>305</v>
      </c>
      <c r="AI6" s="1" t="s">
        <v>306</v>
      </c>
      <c r="AK6" s="1" t="s">
        <v>307</v>
      </c>
      <c r="AM6" s="159" t="b" cm="1">
        <f t="array" ref="AM6">COntains(Table17[[#This Row],[Versions]], "Server")</f>
        <v>1</v>
      </c>
    </row>
    <row r="7" spans="1:39" s="1" customFormat="1" hidden="1" x14ac:dyDescent="0.2">
      <c r="A7" s="155">
        <v>896</v>
      </c>
      <c r="B7" s="1" t="s">
        <v>294</v>
      </c>
      <c r="C7" s="1" t="s">
        <v>403</v>
      </c>
      <c r="D7" s="1" t="s">
        <v>1159</v>
      </c>
      <c r="E7" s="1" t="s">
        <v>306</v>
      </c>
      <c r="F7" s="195" t="s">
        <v>1160</v>
      </c>
      <c r="G7" s="164" t="str">
        <f>_xlfn.XLOOKUP(ITEquipmentTable[[#This Row],[Name]], IntuneData[Device name], IntuneData[Serial number], "")</f>
        <v/>
      </c>
      <c r="H7" s="1" t="s">
        <v>348</v>
      </c>
      <c r="K7" s="154" t="s">
        <v>226</v>
      </c>
      <c r="L7" s="164" t="str">
        <f>_xlfn.LET(
_xlpm.look, _xlfn.XLOOKUP(ITEquipmentTable[[#This Row],[Name]], VNCTable[ClientName], VNCTable[IP], ""),
_xlpm.chkk, IF(ITEquipmentTable[[#This Row],[IPv4 Address]] = "N/A", "N/A", _xlpm.look),
IF(ITEquipmentTable[[#This Row],[Name]] = "", "", _xlpm.chkk))</f>
        <v>N/A</v>
      </c>
      <c r="M7" s="1" t="s">
        <v>1161</v>
      </c>
      <c r="N7" s="161" t="str">
        <f>_xlfn.LET(_xlpm.emp, IF(_xlfn.XLOOKUP(ITEquipmentTable[[#This Row],[Assigned Employee]], EmployeeTable[name], EmployeeTable[Active], TRUE), "Employee", "Recover"),
IF(ITEquipmentTable[[#This Row],[Storage Location]] = "Assigned to Employee", _xlpm.emp, "N/A"))</f>
        <v>N/A</v>
      </c>
      <c r="O7" s="161" t="str" cm="1">
        <f t="array" ref="O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T7" s="194"/>
      <c r="U7" s="202" t="s">
        <v>313</v>
      </c>
      <c r="V7" s="1" t="s">
        <v>300</v>
      </c>
      <c r="X7" s="1">
        <v>995</v>
      </c>
      <c r="Y7" s="223" t="s">
        <v>314</v>
      </c>
      <c r="Z7" s="1" t="b">
        <v>1</v>
      </c>
      <c r="AA7"/>
      <c r="AB7" s="164" t="s">
        <v>315</v>
      </c>
      <c r="AC7" s="1" t="s">
        <v>316</v>
      </c>
      <c r="AE7" s="1" t="s">
        <v>294</v>
      </c>
      <c r="AG7" s="1" t="s">
        <v>317</v>
      </c>
      <c r="AI7" s="1" t="s">
        <v>310</v>
      </c>
      <c r="AM7" s="159" t="b" cm="1">
        <f t="array" ref="AM7">COntains(Table17[[#This Row],[Versions]], "Server")</f>
        <v>0</v>
      </c>
    </row>
    <row r="8" spans="1:39" s="1" customFormat="1" hidden="1" x14ac:dyDescent="0.2">
      <c r="A8" s="155">
        <v>895</v>
      </c>
      <c r="B8" s="1" t="s">
        <v>294</v>
      </c>
      <c r="C8" s="1" t="s">
        <v>403</v>
      </c>
      <c r="D8" s="1" t="s">
        <v>1163</v>
      </c>
      <c r="E8" s="1" t="s">
        <v>306</v>
      </c>
      <c r="F8" s="195" t="s">
        <v>1164</v>
      </c>
      <c r="G8" s="164" t="str">
        <f>_xlfn.XLOOKUP(ITEquipmentTable[[#This Row],[Name]], IntuneData[Device name], IntuneData[Serial number], "")</f>
        <v/>
      </c>
      <c r="H8" s="1" t="s">
        <v>348</v>
      </c>
      <c r="K8" s="154" t="s">
        <v>226</v>
      </c>
      <c r="L8" s="164" t="str">
        <f>_xlfn.LET(
_xlpm.look, _xlfn.XLOOKUP(ITEquipmentTable[[#This Row],[Name]], VNCTable[ClientName], VNCTable[IP], ""),
_xlpm.chkk, IF(ITEquipmentTable[[#This Row],[IPv4 Address]] = "N/A", "N/A", _xlpm.look),
IF(ITEquipmentTable[[#This Row],[Name]] = "", "", _xlpm.chkk))</f>
        <v>N/A</v>
      </c>
      <c r="M8" s="1" t="s">
        <v>1165</v>
      </c>
      <c r="N8" s="161" t="str">
        <f>_xlfn.LET(_xlpm.emp, IF(_xlfn.XLOOKUP(ITEquipmentTable[[#This Row],[Assigned Employee]], EmployeeTable[name], EmployeeTable[Active], TRUE), "Employee", "Recover"),
IF(ITEquipmentTable[[#This Row],[Storage Location]] = "Assigned to Employee", _xlpm.emp, "N/A"))</f>
        <v>N/A</v>
      </c>
      <c r="O8" s="161" t="str" cm="1">
        <f t="array" ref="O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T8" s="194"/>
      <c r="U8" s="191" t="s">
        <v>319</v>
      </c>
      <c r="V8" s="1" t="s">
        <v>300</v>
      </c>
      <c r="X8" s="1">
        <v>996</v>
      </c>
      <c r="Y8" s="223" t="s">
        <v>320</v>
      </c>
      <c r="Z8" s="1" t="b">
        <v>1</v>
      </c>
      <c r="AA8"/>
      <c r="AB8" s="1" t="s">
        <v>321</v>
      </c>
      <c r="AC8" s="1" t="s">
        <v>322</v>
      </c>
      <c r="AE8" s="1" t="s">
        <v>323</v>
      </c>
      <c r="AG8" s="1" t="s">
        <v>324</v>
      </c>
      <c r="AI8" s="1" t="s">
        <v>325</v>
      </c>
      <c r="AM8" s="159" t="b" cm="1">
        <f t="array" ref="AM8">COntains(Table17[[#This Row],[Versions]], "Server")</f>
        <v>0</v>
      </c>
    </row>
    <row r="9" spans="1:39" s="1" customFormat="1" hidden="1" x14ac:dyDescent="0.2">
      <c r="A9" s="155">
        <v>5</v>
      </c>
      <c r="B9" s="1" t="s">
        <v>294</v>
      </c>
      <c r="C9" s="1" t="s">
        <v>403</v>
      </c>
      <c r="D9" s="1" t="s">
        <v>1170</v>
      </c>
      <c r="E9" s="1" t="s">
        <v>306</v>
      </c>
      <c r="F9" s="195" t="s">
        <v>1171</v>
      </c>
      <c r="G9" s="159" t="str">
        <f>_xlfn.XLOOKUP(ITEquipmentTable[[#This Row],[Name]], IntuneData[Device name], IntuneData[Serial number], "")</f>
        <v/>
      </c>
      <c r="H9" s="168"/>
      <c r="I9" s="168"/>
      <c r="J9" s="168"/>
      <c r="K9" s="154" t="s">
        <v>508</v>
      </c>
      <c r="L9" s="159" t="str">
        <f>_xlfn.LET(
_xlpm.look, _xlfn.XLOOKUP(ITEquipmentTable[[#This Row],[Name]], VNCTable[ClientName], VNCTable[IP], ""),
_xlpm.chkk, IF(ITEquipmentTable[[#This Row],[IPv4 Address]] = "N/A", "N/A", _xlpm.look),
IF(ITEquipmentTable[[#This Row],[Name]] = "", "", _xlpm.chkk))</f>
        <v/>
      </c>
      <c r="M9" s="168" t="s">
        <v>1172</v>
      </c>
      <c r="N9" s="161" t="str">
        <f>_xlfn.LET(_xlpm.emp, IF(_xlfn.XLOOKUP(ITEquipmentTable[[#This Row],[Assigned Employee]], EmployeeTable[name], EmployeeTable[Active], TRUE), "Employee", "Recover"),
IF(ITEquipmentTable[[#This Row],[Storage Location]] = "Assigned to Employee", _xlpm.emp, "N/A"))</f>
        <v>N/A</v>
      </c>
      <c r="O9" s="161" t="str" cm="1">
        <f t="array" ref="O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9" s="168"/>
      <c r="R9" s="168"/>
      <c r="S9" s="1" t="s">
        <v>405</v>
      </c>
      <c r="T9" s="194"/>
      <c r="U9" s="187" t="s">
        <v>117</v>
      </c>
      <c r="V9" s="1" t="s">
        <v>326</v>
      </c>
      <c r="X9" s="1">
        <v>997</v>
      </c>
      <c r="Y9" s="223" t="s">
        <v>327</v>
      </c>
      <c r="Z9" s="1" t="b">
        <v>1</v>
      </c>
      <c r="AA9"/>
      <c r="AB9" s="1" t="s">
        <v>328</v>
      </c>
      <c r="AC9" s="1" t="s">
        <v>329</v>
      </c>
      <c r="AE9" s="1" t="s">
        <v>330</v>
      </c>
      <c r="AG9" s="1" t="s">
        <v>312</v>
      </c>
      <c r="AI9" s="1" t="s">
        <v>331</v>
      </c>
      <c r="AM9" s="159" t="b" cm="1">
        <f t="array" ref="AM9">COntains(Table17[[#This Row],[Versions]], "Server")</f>
        <v>0</v>
      </c>
    </row>
    <row r="10" spans="1:39" s="1" customFormat="1" hidden="1" x14ac:dyDescent="0.2">
      <c r="A10" s="155">
        <v>6</v>
      </c>
      <c r="B10" s="1" t="s">
        <v>294</v>
      </c>
      <c r="C10" s="1" t="s">
        <v>403</v>
      </c>
      <c r="D10" s="1" t="s">
        <v>1175</v>
      </c>
      <c r="E10" s="1" t="s">
        <v>306</v>
      </c>
      <c r="F10" s="195" t="s">
        <v>1176</v>
      </c>
      <c r="G10" s="159" t="str">
        <f>_xlfn.XLOOKUP(ITEquipmentTable[[#This Row],[Name]], IntuneData[Device name], IntuneData[Serial number], "")</f>
        <v/>
      </c>
      <c r="H10" s="168"/>
      <c r="I10" s="168"/>
      <c r="J10" s="168"/>
      <c r="K10" s="154" t="s">
        <v>508</v>
      </c>
      <c r="L10" s="159" t="str">
        <f>_xlfn.LET(
_xlpm.look, _xlfn.XLOOKUP(ITEquipmentTable[[#This Row],[Name]], VNCTable[ClientName], VNCTable[IP], ""),
_xlpm.chkk, IF(ITEquipmentTable[[#This Row],[IPv4 Address]] = "N/A", "N/A", _xlpm.look),
IF(ITEquipmentTable[[#This Row],[Name]] = "", "", _xlpm.chkk))</f>
        <v/>
      </c>
      <c r="M10" s="168" t="s">
        <v>1177</v>
      </c>
      <c r="N10" s="161" t="str">
        <f>_xlfn.LET(_xlpm.emp, IF(_xlfn.XLOOKUP(ITEquipmentTable[[#This Row],[Assigned Employee]], EmployeeTable[name], EmployeeTable[Active], TRUE), "Employee", "Recover"),
IF(ITEquipmentTable[[#This Row],[Storage Location]] = "Assigned to Employee", _xlpm.emp, "N/A"))</f>
        <v>N/A</v>
      </c>
      <c r="O10" s="161" t="str" cm="1">
        <f t="array" ref="O1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0" s="168"/>
      <c r="R10" s="168"/>
      <c r="S10" s="1" t="s">
        <v>405</v>
      </c>
      <c r="T10" s="194"/>
      <c r="U10" s="210" t="s">
        <v>335</v>
      </c>
      <c r="V10" s="1" t="s">
        <v>336</v>
      </c>
      <c r="X10" s="1">
        <v>998</v>
      </c>
      <c r="Y10" s="223" t="s">
        <v>337</v>
      </c>
      <c r="Z10" s="1" t="b">
        <v>1</v>
      </c>
      <c r="AA10"/>
      <c r="AB10" s="1" t="s">
        <v>338</v>
      </c>
      <c r="AC10" s="1" t="s">
        <v>339</v>
      </c>
      <c r="AE10" s="1" t="s">
        <v>340</v>
      </c>
      <c r="AG10" s="1" t="s">
        <v>335</v>
      </c>
      <c r="AI10" s="1" t="s">
        <v>341</v>
      </c>
      <c r="AM10" s="159" t="b" cm="1">
        <f t="array" ref="AM10">COntains(Table17[[#This Row],[Versions]], "Server")</f>
        <v>0</v>
      </c>
    </row>
    <row r="11" spans="1:39" s="1" customFormat="1" hidden="1" x14ac:dyDescent="0.2">
      <c r="A11" s="155">
        <v>7</v>
      </c>
      <c r="B11" s="1" t="s">
        <v>294</v>
      </c>
      <c r="C11" s="1" t="s">
        <v>403</v>
      </c>
      <c r="D11" s="1" t="s">
        <v>1179</v>
      </c>
      <c r="E11" s="1" t="s">
        <v>306</v>
      </c>
      <c r="F11" s="195" t="s">
        <v>1180</v>
      </c>
      <c r="G11" s="159" t="str">
        <f>_xlfn.XLOOKUP(ITEquipmentTable[[#This Row],[Name]], IntuneData[Device name], IntuneData[Serial number], "")</f>
        <v>5CG612200K</v>
      </c>
      <c r="H11" s="168"/>
      <c r="I11" s="168"/>
      <c r="J11" s="168"/>
      <c r="K11" s="154" t="s">
        <v>508</v>
      </c>
      <c r="L11" s="159" t="str">
        <f>_xlfn.LET(
_xlpm.look, _xlfn.XLOOKUP(ITEquipmentTable[[#This Row],[Name]], VNCTable[ClientName], VNCTable[IP], ""),
_xlpm.chkk, IF(ITEquipmentTable[[#This Row],[IPv4 Address]] = "N/A", "N/A", _xlpm.look),
IF(ITEquipmentTable[[#This Row],[Name]] = "", "", _xlpm.chkk))</f>
        <v/>
      </c>
      <c r="M11" s="168" t="s">
        <v>1181</v>
      </c>
      <c r="N11" s="161" t="str">
        <f>_xlfn.LET(_xlpm.emp, IF(_xlfn.XLOOKUP(ITEquipmentTable[[#This Row],[Assigned Employee]], EmployeeTable[name], EmployeeTable[Active], TRUE), "Employee", "Recover"),
IF(ITEquipmentTable[[#This Row],[Storage Location]] = "Assigned to Employee", _xlpm.emp, "N/A"))</f>
        <v>N/A</v>
      </c>
      <c r="O11" s="161" t="str" cm="1">
        <f t="array" ref="O1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1" s="168"/>
      <c r="R11" s="168"/>
      <c r="S11" s="1" t="s">
        <v>405</v>
      </c>
      <c r="T11" s="194"/>
      <c r="U11" s="196" t="s">
        <v>345</v>
      </c>
      <c r="V11" s="1" t="s">
        <v>346</v>
      </c>
      <c r="X11" s="1">
        <v>999</v>
      </c>
      <c r="Y11" s="223" t="s">
        <v>347</v>
      </c>
      <c r="Z11" s="1" t="b">
        <v>1</v>
      </c>
      <c r="AA11"/>
      <c r="AB11" s="1" t="s">
        <v>348</v>
      </c>
      <c r="AC11" s="1" t="s">
        <v>349</v>
      </c>
      <c r="AE11" s="1" t="s">
        <v>350</v>
      </c>
      <c r="AG11" s="1" t="s">
        <v>351</v>
      </c>
    </row>
    <row r="12" spans="1:39" s="1" customFormat="1" hidden="1" x14ac:dyDescent="0.2">
      <c r="A12" s="155">
        <v>8</v>
      </c>
      <c r="B12" s="1" t="s">
        <v>294</v>
      </c>
      <c r="C12" s="1" t="s">
        <v>403</v>
      </c>
      <c r="D12" s="1" t="s">
        <v>656</v>
      </c>
      <c r="E12" s="1" t="s">
        <v>306</v>
      </c>
      <c r="F12" s="195" t="s">
        <v>1183</v>
      </c>
      <c r="G12" s="159" t="str">
        <f>_xlfn.XLOOKUP(ITEquipmentTable[[#This Row],[Name]], IntuneData[Device name], IntuneData[Serial number], "")</f>
        <v/>
      </c>
      <c r="H12" s="168"/>
      <c r="I12" s="168"/>
      <c r="J12" s="168"/>
      <c r="K12" s="154" t="s">
        <v>508</v>
      </c>
      <c r="L12" s="159" t="str">
        <f>_xlfn.LET(
_xlpm.look, _xlfn.XLOOKUP(ITEquipmentTable[[#This Row],[Name]], VNCTable[ClientName], VNCTable[IP], ""),
_xlpm.chkk, IF(ITEquipmentTable[[#This Row],[IPv4 Address]] = "N/A", "N/A", _xlpm.look),
IF(ITEquipmentTable[[#This Row],[Name]] = "", "", _xlpm.chkk))</f>
        <v/>
      </c>
      <c r="M12" s="168" t="s">
        <v>1184</v>
      </c>
      <c r="N12" s="161" t="str">
        <f>_xlfn.LET(_xlpm.emp, IF(_xlfn.XLOOKUP(ITEquipmentTable[[#This Row],[Assigned Employee]], EmployeeTable[name], EmployeeTable[Active], TRUE), "Employee", "Recover"),
IF(ITEquipmentTable[[#This Row],[Storage Location]] = "Assigned to Employee", _xlpm.emp, "N/A"))</f>
        <v>N/A</v>
      </c>
      <c r="O12" s="161" t="str" cm="1">
        <f t="array" ref="O1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2" s="168"/>
      <c r="R12" s="168"/>
      <c r="S12" s="1" t="s">
        <v>405</v>
      </c>
      <c r="T12" s="194"/>
      <c r="U12" s="197" t="s">
        <v>142</v>
      </c>
      <c r="V12" s="1" t="s">
        <v>353</v>
      </c>
      <c r="X12" s="1">
        <v>1001</v>
      </c>
      <c r="Y12" s="223" t="s">
        <v>354</v>
      </c>
      <c r="Z12" s="1" t="b">
        <v>1</v>
      </c>
      <c r="AA12"/>
      <c r="AB12" s="1" t="s">
        <v>318</v>
      </c>
      <c r="AC12" s="1" t="s">
        <v>355</v>
      </c>
      <c r="AE12" s="1" t="s">
        <v>356</v>
      </c>
      <c r="AG12" s="1" t="s">
        <v>357</v>
      </c>
    </row>
    <row r="13" spans="1:39" s="1" customFormat="1" hidden="1" x14ac:dyDescent="0.2">
      <c r="A13" s="155">
        <v>533</v>
      </c>
      <c r="B13" s="1" t="s">
        <v>294</v>
      </c>
      <c r="C13" s="1" t="s">
        <v>403</v>
      </c>
      <c r="E13" s="1" t="s">
        <v>306</v>
      </c>
      <c r="F13" s="195" t="s">
        <v>3217</v>
      </c>
      <c r="G13" s="164" t="str">
        <f>_xlfn.XLOOKUP(ITEquipmentTable[[#This Row],[Name]], IntuneData[Device name], IntuneData[Serial number], "")</f>
        <v>5CG1153Z9Y</v>
      </c>
      <c r="H13" s="1" t="s">
        <v>384</v>
      </c>
      <c r="K13" s="154" t="s">
        <v>508</v>
      </c>
      <c r="L13" s="164" t="str">
        <f>_xlfn.LET(
_xlpm.look, _xlfn.XLOOKUP(ITEquipmentTable[[#This Row],[Name]], VNCTable[ClientName], VNCTable[IP], ""),
_xlpm.chkk, IF(ITEquipmentTable[[#This Row],[IPv4 Address]] = "N/A", "N/A", _xlpm.look),
IF(ITEquipmentTable[[#This Row],[Name]] = "", "", _xlpm.chkk))</f>
        <v/>
      </c>
      <c r="M13" s="1" t="s">
        <v>1186</v>
      </c>
      <c r="N13" s="159" t="str">
        <f>_xlfn.LET(_xlpm.emp, IF(_xlfn.XLOOKUP(ITEquipmentTable[[#This Row],[Assigned Employee]], EmployeeTable[name], EmployeeTable[Active], TRUE), "Employee", "Recover"),
IF(ITEquipmentTable[[#This Row],[Storage Location]] = "Assigned to Employee", _xlpm.emp, "N/A"))</f>
        <v>Employee</v>
      </c>
      <c r="O13" s="159" t="str" cm="1">
        <f t="array" ref="O1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1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3" s="1" t="s">
        <v>3326</v>
      </c>
      <c r="T13" s="194"/>
      <c r="U13" s="198" t="s">
        <v>358</v>
      </c>
      <c r="V13" s="1" t="s">
        <v>359</v>
      </c>
      <c r="X13" s="1">
        <v>1004</v>
      </c>
      <c r="Y13" s="223" t="s">
        <v>360</v>
      </c>
      <c r="Z13" s="1" t="b">
        <v>1</v>
      </c>
      <c r="AA13"/>
      <c r="AB13" s="1" t="s">
        <v>295</v>
      </c>
      <c r="AC13" s="1" t="s">
        <v>361</v>
      </c>
      <c r="AE13" s="1" t="s">
        <v>362</v>
      </c>
      <c r="AG13" s="1" t="s">
        <v>363</v>
      </c>
    </row>
    <row r="14" spans="1:39" s="1" customFormat="1" hidden="1" x14ac:dyDescent="0.2">
      <c r="A14" s="155">
        <v>100</v>
      </c>
      <c r="B14" s="1" t="s">
        <v>304</v>
      </c>
      <c r="C14" s="1" t="s">
        <v>308</v>
      </c>
      <c r="D14" s="1" t="s">
        <v>416</v>
      </c>
      <c r="E14" s="1" t="s">
        <v>310</v>
      </c>
      <c r="F14" s="195" t="s">
        <v>810</v>
      </c>
      <c r="G14" s="159" t="str">
        <f>_xlfn.XLOOKUP(ITEquipmentTable[[#This Row],[Name]], IntuneData[Device name], IntuneData[Serial number], "")</f>
        <v/>
      </c>
      <c r="K14" s="154"/>
      <c r="L14" s="354" t="str">
        <f>_xlfn.LET(
_xlpm.look, _xlfn.XLOOKUP(ITEquipmentTable[[#This Row],[Name]], VNCTable[ClientName], VNCTable[IP], ""),
_xlpm.chkk, IF(ITEquipmentTable[[#This Row],[IPv4 Address]] = "N/A", "N/A", _xlpm.look),
IF(ITEquipmentTable[[#This Row],[Name]] = "", "", _xlpm.chkk))</f>
        <v/>
      </c>
      <c r="N14" s="159" t="str">
        <f>_xlfn.LET(_xlpm.emp, IF(_xlfn.XLOOKUP(ITEquipmentTable[[#This Row],[Assigned Employee]], EmployeeTable[name], EmployeeTable[Active], TRUE), "Employee", "Recover"),
IF(ITEquipmentTable[[#This Row],[Storage Location]] = "Assigned to Employee", _xlpm.emp, "N/A"))</f>
        <v>N/A</v>
      </c>
      <c r="O14" s="159" t="str" cm="1">
        <f t="array" ref="O1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1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14" s="189"/>
      <c r="T14" s="194"/>
      <c r="U14" s="199" t="s">
        <v>367</v>
      </c>
      <c r="V14" s="1" t="s">
        <v>368</v>
      </c>
      <c r="X14" s="1">
        <v>1022</v>
      </c>
      <c r="Y14" s="223" t="s">
        <v>369</v>
      </c>
      <c r="Z14" s="1" t="b">
        <v>1</v>
      </c>
      <c r="AA14"/>
      <c r="AB14" s="233" t="s">
        <v>335</v>
      </c>
      <c r="AC14" s="1" t="s">
        <v>370</v>
      </c>
      <c r="AE14" s="1" t="s">
        <v>371</v>
      </c>
      <c r="AG14" s="1" t="s">
        <v>372</v>
      </c>
    </row>
    <row r="15" spans="1:39" s="1" customFormat="1" hidden="1" x14ac:dyDescent="0.2">
      <c r="A15" s="155">
        <v>898</v>
      </c>
      <c r="B15" s="1" t="s">
        <v>294</v>
      </c>
      <c r="C15" s="1" t="s">
        <v>403</v>
      </c>
      <c r="D15" s="1" t="s">
        <v>1193</v>
      </c>
      <c r="E15" s="1" t="s">
        <v>306</v>
      </c>
      <c r="F15" s="195" t="s">
        <v>1194</v>
      </c>
      <c r="G15" s="164" t="str">
        <f>_xlfn.XLOOKUP(ITEquipmentTable[[#This Row],[Name]], IntuneData[Device name], IntuneData[Serial number], "")</f>
        <v/>
      </c>
      <c r="H15" s="1" t="s">
        <v>348</v>
      </c>
      <c r="K15" s="154" t="s">
        <v>226</v>
      </c>
      <c r="L15" s="164" t="str">
        <f>_xlfn.LET(
_xlpm.look, _xlfn.XLOOKUP(ITEquipmentTable[[#This Row],[Name]], VNCTable[ClientName], VNCTable[IP], ""),
_xlpm.chkk, IF(ITEquipmentTable[[#This Row],[IPv4 Address]] = "N/A", "N/A", _xlpm.look),
IF(ITEquipmentTable[[#This Row],[Name]] = "", "", _xlpm.chkk))</f>
        <v>N/A</v>
      </c>
      <c r="M15" s="1" t="s">
        <v>1195</v>
      </c>
      <c r="N15" s="161" t="str">
        <f>_xlfn.LET(_xlpm.emp, IF(_xlfn.XLOOKUP(ITEquipmentTable[[#This Row],[Assigned Employee]], EmployeeTable[name], EmployeeTable[Active], TRUE), "Employee", "Recover"),
IF(ITEquipmentTable[[#This Row],[Storage Location]] = "Assigned to Employee", _xlpm.emp, "N/A"))</f>
        <v>N/A</v>
      </c>
      <c r="O15" s="161" t="str" cm="1">
        <f t="array" ref="O1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T15" s="194"/>
      <c r="U15" s="200" t="s">
        <v>298</v>
      </c>
      <c r="V15" s="1" t="s">
        <v>376</v>
      </c>
      <c r="X15" s="1">
        <v>1023</v>
      </c>
      <c r="Y15" s="223" t="s">
        <v>377</v>
      </c>
      <c r="Z15" s="1" t="b">
        <v>1</v>
      </c>
      <c r="AA15"/>
      <c r="AB15" s="1" t="s">
        <v>305</v>
      </c>
      <c r="AC15" s="1" t="s">
        <v>378</v>
      </c>
      <c r="AE15" s="1" t="s">
        <v>379</v>
      </c>
    </row>
    <row r="16" spans="1:39" s="1" customFormat="1" hidden="1" x14ac:dyDescent="0.2">
      <c r="A16" s="155">
        <v>9</v>
      </c>
      <c r="B16" s="1" t="s">
        <v>294</v>
      </c>
      <c r="C16" s="1" t="s">
        <v>403</v>
      </c>
      <c r="D16" s="1" t="s">
        <v>1197</v>
      </c>
      <c r="E16" s="1" t="s">
        <v>306</v>
      </c>
      <c r="F16" s="195" t="s">
        <v>1198</v>
      </c>
      <c r="G16" s="159" t="str">
        <f>_xlfn.XLOOKUP(ITEquipmentTable[[#This Row],[Name]], IntuneData[Device name], IntuneData[Serial number], "")</f>
        <v/>
      </c>
      <c r="H16" s="168"/>
      <c r="I16" s="168"/>
      <c r="J16" s="168"/>
      <c r="K16" s="154" t="s">
        <v>508</v>
      </c>
      <c r="L16" s="159" t="str">
        <f>_xlfn.LET(
_xlpm.look, _xlfn.XLOOKUP(ITEquipmentTable[[#This Row],[Name]], VNCTable[ClientName], VNCTable[IP], ""),
_xlpm.chkk, IF(ITEquipmentTable[[#This Row],[IPv4 Address]] = "N/A", "N/A", _xlpm.look),
IF(ITEquipmentTable[[#This Row],[Name]] = "", "", _xlpm.chkk))</f>
        <v/>
      </c>
      <c r="M16" s="168" t="s">
        <v>1199</v>
      </c>
      <c r="N16" s="161" t="str">
        <f>_xlfn.LET(_xlpm.emp, IF(_xlfn.XLOOKUP(ITEquipmentTable[[#This Row],[Assigned Employee]], EmployeeTable[name], EmployeeTable[Active], TRUE), "Employee", "Recover"),
IF(ITEquipmentTable[[#This Row],[Storage Location]] = "Assigned to Employee", _xlpm.emp, "N/A"))</f>
        <v>N/A</v>
      </c>
      <c r="O16" s="161" t="str" cm="1">
        <f t="array" ref="O1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6" s="168"/>
      <c r="R16" s="168"/>
      <c r="S16" s="1" t="s">
        <v>405</v>
      </c>
      <c r="T16" s="194"/>
      <c r="X16" s="1">
        <v>1037</v>
      </c>
      <c r="Y16" s="223" t="s">
        <v>383</v>
      </c>
      <c r="Z16" s="1" t="b">
        <v>1</v>
      </c>
      <c r="AA16"/>
      <c r="AB16" s="1" t="s">
        <v>384</v>
      </c>
      <c r="AC16" s="1" t="s">
        <v>385</v>
      </c>
      <c r="AE16" s="1" t="s">
        <v>386</v>
      </c>
    </row>
    <row r="17" spans="1:31" s="1" customFormat="1" hidden="1" x14ac:dyDescent="0.2">
      <c r="A17" s="155">
        <v>10</v>
      </c>
      <c r="B17" s="1" t="s">
        <v>294</v>
      </c>
      <c r="C17" s="1" t="s">
        <v>403</v>
      </c>
      <c r="D17" s="1" t="s">
        <v>1193</v>
      </c>
      <c r="E17" s="1" t="s">
        <v>306</v>
      </c>
      <c r="F17" s="195" t="s">
        <v>1201</v>
      </c>
      <c r="G17" s="159" t="str">
        <f>_xlfn.XLOOKUP(ITEquipmentTable[[#This Row],[Name]], IntuneData[Device name], IntuneData[Serial number], "")</f>
        <v/>
      </c>
      <c r="H17" s="168"/>
      <c r="I17" s="168"/>
      <c r="J17" s="168"/>
      <c r="K17" s="154" t="s">
        <v>508</v>
      </c>
      <c r="L17" s="159" t="str">
        <f>_xlfn.LET(
_xlpm.look, _xlfn.XLOOKUP(ITEquipmentTable[[#This Row],[Name]], VNCTable[ClientName], VNCTable[IP], ""),
_xlpm.chkk, IF(ITEquipmentTable[[#This Row],[IPv4 Address]] = "N/A", "N/A", _xlpm.look),
IF(ITEquipmentTable[[#This Row],[Name]] = "", "", _xlpm.chkk))</f>
        <v/>
      </c>
      <c r="M17" s="168" t="s">
        <v>1202</v>
      </c>
      <c r="N17" s="161" t="str">
        <f>_xlfn.LET(_xlpm.emp, IF(_xlfn.XLOOKUP(ITEquipmentTable[[#This Row],[Assigned Employee]], EmployeeTable[name], EmployeeTable[Active], TRUE), "Employee", "Recover"),
IF(ITEquipmentTable[[#This Row],[Storage Location]] = "Assigned to Employee", _xlpm.emp, "N/A"))</f>
        <v>N/A</v>
      </c>
      <c r="O17" s="161" t="str" cm="1">
        <f t="array" ref="O1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7" s="168"/>
      <c r="R17" s="168"/>
      <c r="S17" s="1" t="s">
        <v>405</v>
      </c>
      <c r="T17" s="194"/>
      <c r="U17"/>
      <c r="V17"/>
      <c r="X17" s="1">
        <v>1111</v>
      </c>
      <c r="Y17" s="223" t="s">
        <v>391</v>
      </c>
      <c r="Z17" s="1" t="b">
        <v>1</v>
      </c>
      <c r="AA17"/>
      <c r="AB17" s="187" t="s">
        <v>352</v>
      </c>
      <c r="AC17" s="1" t="s">
        <v>401</v>
      </c>
      <c r="AE17" s="1" t="s">
        <v>342</v>
      </c>
    </row>
    <row r="18" spans="1:31" s="1" customFormat="1" hidden="1" x14ac:dyDescent="0.2">
      <c r="A18" s="155">
        <v>11</v>
      </c>
      <c r="B18" s="1" t="s">
        <v>294</v>
      </c>
      <c r="C18" s="1" t="s">
        <v>403</v>
      </c>
      <c r="D18" s="1" t="s">
        <v>1197</v>
      </c>
      <c r="E18" s="1" t="s">
        <v>306</v>
      </c>
      <c r="F18" s="195" t="s">
        <v>1204</v>
      </c>
      <c r="G18" s="159" t="str">
        <f>_xlfn.XLOOKUP(ITEquipmentTable[[#This Row],[Name]], IntuneData[Device name], IntuneData[Serial number], "")</f>
        <v/>
      </c>
      <c r="H18" s="168"/>
      <c r="I18" s="168"/>
      <c r="J18" s="168"/>
      <c r="K18" s="154" t="s">
        <v>508</v>
      </c>
      <c r="L18" s="159" t="str">
        <f>_xlfn.LET(
_xlpm.look, _xlfn.XLOOKUP(ITEquipmentTable[[#This Row],[Name]], VNCTable[ClientName], VNCTable[IP], ""),
_xlpm.chkk, IF(ITEquipmentTable[[#This Row],[IPv4 Address]] = "N/A", "N/A", _xlpm.look),
IF(ITEquipmentTable[[#This Row],[Name]] = "", "", _xlpm.chkk))</f>
        <v/>
      </c>
      <c r="M18" s="168" t="s">
        <v>1205</v>
      </c>
      <c r="N18" s="161" t="str">
        <f>_xlfn.LET(_xlpm.emp, IF(_xlfn.XLOOKUP(ITEquipmentTable[[#This Row],[Assigned Employee]], EmployeeTable[name], EmployeeTable[Active], TRUE), "Employee", "Recover"),
IF(ITEquipmentTable[[#This Row],[Storage Location]] = "Assigned to Employee", _xlpm.emp, "N/A"))</f>
        <v>N/A</v>
      </c>
      <c r="O18" s="161" t="str" cm="1">
        <f t="array" ref="O1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8" s="168"/>
      <c r="R18" s="168"/>
      <c r="S18" s="1" t="s">
        <v>405</v>
      </c>
      <c r="T18" s="194"/>
      <c r="U18"/>
      <c r="V18"/>
      <c r="X18" s="1">
        <v>1116</v>
      </c>
      <c r="Y18" s="223" t="s">
        <v>395</v>
      </c>
      <c r="Z18" s="1" t="b">
        <v>1</v>
      </c>
      <c r="AA18"/>
      <c r="AE18" s="1" t="s">
        <v>396</v>
      </c>
    </row>
    <row r="19" spans="1:31" s="1" customFormat="1" hidden="1" x14ac:dyDescent="0.2">
      <c r="A19" s="155">
        <v>12</v>
      </c>
      <c r="B19" s="1" t="s">
        <v>294</v>
      </c>
      <c r="C19" s="1" t="s">
        <v>403</v>
      </c>
      <c r="D19" s="1" t="s">
        <v>1193</v>
      </c>
      <c r="E19" s="1" t="s">
        <v>306</v>
      </c>
      <c r="F19" s="195" t="s">
        <v>1207</v>
      </c>
      <c r="G19" s="159" t="str">
        <f>_xlfn.XLOOKUP(ITEquipmentTable[[#This Row],[Name]], IntuneData[Device name], IntuneData[Serial number], "")</f>
        <v/>
      </c>
      <c r="H19" s="168"/>
      <c r="I19" s="168"/>
      <c r="J19" s="168"/>
      <c r="K19" s="154" t="s">
        <v>508</v>
      </c>
      <c r="L19" s="159" t="str">
        <f>_xlfn.LET(
_xlpm.look, _xlfn.XLOOKUP(ITEquipmentTable[[#This Row],[Name]], VNCTable[ClientName], VNCTable[IP], ""),
_xlpm.chkk, IF(ITEquipmentTable[[#This Row],[IPv4 Address]] = "N/A", "N/A", _xlpm.look),
IF(ITEquipmentTable[[#This Row],[Name]] = "", "", _xlpm.chkk))</f>
        <v/>
      </c>
      <c r="M19" s="168" t="s">
        <v>1208</v>
      </c>
      <c r="N19" s="161" t="str">
        <f>_xlfn.LET(_xlpm.emp, IF(_xlfn.XLOOKUP(ITEquipmentTable[[#This Row],[Assigned Employee]], EmployeeTable[name], EmployeeTable[Active], TRUE), "Employee", "Recover"),
IF(ITEquipmentTable[[#This Row],[Storage Location]] = "Assigned to Employee", _xlpm.emp, "N/A"))</f>
        <v>N/A</v>
      </c>
      <c r="O19" s="161" t="str" cm="1">
        <f t="array" ref="O1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9" s="168"/>
      <c r="R19" s="168"/>
      <c r="S19" s="1" t="s">
        <v>405</v>
      </c>
      <c r="T19" s="194"/>
      <c r="U19"/>
      <c r="V19"/>
      <c r="X19" s="1">
        <v>1227</v>
      </c>
      <c r="Y19" s="223" t="s">
        <v>400</v>
      </c>
      <c r="Z19" s="1" t="b">
        <v>1</v>
      </c>
      <c r="AA19"/>
      <c r="AE19" s="1" t="s">
        <v>402</v>
      </c>
    </row>
    <row r="20" spans="1:31" s="1" customFormat="1" hidden="1" x14ac:dyDescent="0.2">
      <c r="A20" s="155">
        <v>14</v>
      </c>
      <c r="B20" s="1" t="s">
        <v>294</v>
      </c>
      <c r="C20" s="1" t="s">
        <v>403</v>
      </c>
      <c r="D20" s="1" t="s">
        <v>1197</v>
      </c>
      <c r="E20" s="1" t="s">
        <v>306</v>
      </c>
      <c r="F20" s="195" t="s">
        <v>1212</v>
      </c>
      <c r="G20" s="159" t="str">
        <f>_xlfn.XLOOKUP(ITEquipmentTable[[#This Row],[Name]], IntuneData[Device name], IntuneData[Serial number], "")</f>
        <v/>
      </c>
      <c r="H20" s="1" t="s">
        <v>384</v>
      </c>
      <c r="I20" s="193"/>
      <c r="J20" s="193" t="s">
        <v>648</v>
      </c>
      <c r="K20" s="154" t="s">
        <v>508</v>
      </c>
      <c r="L20" s="159" t="str">
        <f>_xlfn.LET(
_xlpm.look, _xlfn.XLOOKUP(ITEquipmentTable[[#This Row],[Name]], VNCTable[ClientName], VNCTable[IP], ""),
_xlpm.chkk, IF(ITEquipmentTable[[#This Row],[IPv4 Address]] = "N/A", "N/A", _xlpm.look),
IF(ITEquipmentTable[[#This Row],[Name]] = "", "", _xlpm.chkk))</f>
        <v/>
      </c>
      <c r="M20" s="193" t="s">
        <v>1213</v>
      </c>
      <c r="N20" s="161" t="str">
        <f>_xlfn.LET(_xlpm.emp, IF(_xlfn.XLOOKUP(ITEquipmentTable[[#This Row],[Assigned Employee]], EmployeeTable[name], EmployeeTable[Active], TRUE), "Employee", "Recover"),
IF(ITEquipmentTable[[#This Row],[Storage Location]] = "Assigned to Employee", _xlpm.emp, "N/A"))</f>
        <v>Employee</v>
      </c>
      <c r="O20" s="161" t="str" cm="1">
        <f t="array" ref="O2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20" s="168"/>
      <c r="R20" s="189" t="s">
        <v>312</v>
      </c>
      <c r="T20" s="194"/>
      <c r="U20"/>
      <c r="V20"/>
      <c r="X20" s="1">
        <v>1413</v>
      </c>
      <c r="Y20" s="223" t="s">
        <v>406</v>
      </c>
      <c r="Z20" s="1" t="b">
        <v>1</v>
      </c>
      <c r="AA20"/>
      <c r="AE20" s="1" t="s">
        <v>407</v>
      </c>
    </row>
    <row r="21" spans="1:31" s="1" customFormat="1" hidden="1" x14ac:dyDescent="0.2">
      <c r="A21" s="155">
        <v>534</v>
      </c>
      <c r="B21" s="1" t="s">
        <v>294</v>
      </c>
      <c r="C21" s="1" t="s">
        <v>403</v>
      </c>
      <c r="E21" s="1" t="s">
        <v>306</v>
      </c>
      <c r="F21" s="195"/>
      <c r="G21" s="164" t="str">
        <f>_xlfn.XLOOKUP(ITEquipmentTable[[#This Row],[Name]], IntuneData[Device name], IntuneData[Serial number], "")</f>
        <v/>
      </c>
      <c r="K21" s="154" t="s">
        <v>508</v>
      </c>
      <c r="L21" s="164" t="str">
        <f>_xlfn.LET(
_xlpm.look, _xlfn.XLOOKUP(ITEquipmentTable[[#This Row],[Name]], VNCTable[ClientName], VNCTable[IP], ""),
_xlpm.chkk, IF(ITEquipmentTable[[#This Row],[IPv4 Address]] = "N/A", "N/A", _xlpm.look),
IF(ITEquipmentTable[[#This Row],[Name]] = "", "", _xlpm.chkk))</f>
        <v/>
      </c>
      <c r="M21" s="1" t="s">
        <v>1215</v>
      </c>
      <c r="N21" s="159" t="str">
        <f>_xlfn.LET(_xlpm.emp, IF(_xlfn.XLOOKUP(ITEquipmentTable[[#This Row],[Assigned Employee]], EmployeeTable[name], EmployeeTable[Active], TRUE), "Employee", "Recover"),
IF(ITEquipmentTable[[#This Row],[Storage Location]] = "Assigned to Employee", _xlpm.emp, "N/A"))</f>
        <v>N/A</v>
      </c>
      <c r="O21" s="159" t="str" cm="1">
        <f t="array" ref="O2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LTSB</v>
      </c>
      <c r="P2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1" s="1" t="s">
        <v>298</v>
      </c>
      <c r="T21" s="194"/>
      <c r="U21"/>
      <c r="V21"/>
      <c r="X21" s="1">
        <v>1414</v>
      </c>
      <c r="Y21" s="223" t="s">
        <v>411</v>
      </c>
      <c r="Z21" s="1" t="b">
        <v>1</v>
      </c>
      <c r="AA21"/>
      <c r="AE21" s="1" t="s">
        <v>412</v>
      </c>
    </row>
    <row r="22" spans="1:31" s="1" customFormat="1" hidden="1" x14ac:dyDescent="0.2">
      <c r="A22" s="155">
        <v>15</v>
      </c>
      <c r="B22" s="1" t="s">
        <v>294</v>
      </c>
      <c r="C22" s="1" t="s">
        <v>403</v>
      </c>
      <c r="D22" s="1" t="s">
        <v>656</v>
      </c>
      <c r="E22" s="1" t="s">
        <v>306</v>
      </c>
      <c r="F22" s="195" t="s">
        <v>1217</v>
      </c>
      <c r="G22" s="159" t="str">
        <f>_xlfn.XLOOKUP(ITEquipmentTable[[#This Row],[Name]], IntuneData[Device name], IntuneData[Serial number], "")</f>
        <v/>
      </c>
      <c r="H22" s="168"/>
      <c r="I22" s="168"/>
      <c r="J22" s="168"/>
      <c r="K22" s="154" t="s">
        <v>508</v>
      </c>
      <c r="L22" s="159" t="str">
        <f>_xlfn.LET(
_xlpm.look, _xlfn.XLOOKUP(ITEquipmentTable[[#This Row],[Name]], VNCTable[ClientName], VNCTable[IP], ""),
_xlpm.chkk, IF(ITEquipmentTable[[#This Row],[IPv4 Address]] = "N/A", "N/A", _xlpm.look),
IF(ITEquipmentTable[[#This Row],[Name]] = "", "", _xlpm.chkk))</f>
        <v/>
      </c>
      <c r="M22" s="168" t="s">
        <v>1218</v>
      </c>
      <c r="N22" s="161" t="str">
        <f>_xlfn.LET(_xlpm.emp, IF(_xlfn.XLOOKUP(ITEquipmentTable[[#This Row],[Assigned Employee]], EmployeeTable[name], EmployeeTable[Active], TRUE), "Employee", "Recover"),
IF(ITEquipmentTable[[#This Row],[Storage Location]] = "Assigned to Employee", _xlpm.emp, "N/A"))</f>
        <v>N/A</v>
      </c>
      <c r="O22" s="161" t="str" cm="1">
        <f t="array" ref="O2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2" s="168"/>
      <c r="R22" s="168"/>
      <c r="S22" s="1" t="s">
        <v>405</v>
      </c>
      <c r="T22" s="194"/>
      <c r="U22"/>
      <c r="V22"/>
      <c r="X22" s="1">
        <v>1436</v>
      </c>
      <c r="Y22" s="223" t="s">
        <v>414</v>
      </c>
      <c r="Z22" s="1" t="b">
        <v>1</v>
      </c>
      <c r="AA22"/>
      <c r="AE22" s="1" t="s">
        <v>415</v>
      </c>
    </row>
    <row r="23" spans="1:31" s="1" customFormat="1" hidden="1" x14ac:dyDescent="0.2">
      <c r="A23" s="155">
        <v>16</v>
      </c>
      <c r="B23" s="1" t="s">
        <v>294</v>
      </c>
      <c r="C23" s="1" t="s">
        <v>403</v>
      </c>
      <c r="D23" s="1" t="s">
        <v>1155</v>
      </c>
      <c r="E23" s="1" t="s">
        <v>306</v>
      </c>
      <c r="F23" s="195" t="s">
        <v>1220</v>
      </c>
      <c r="G23" s="159" t="str">
        <f>_xlfn.XLOOKUP(ITEquipmentTable[[#This Row],[Name]], IntuneData[Device name], IntuneData[Serial number], "")</f>
        <v/>
      </c>
      <c r="H23" s="168"/>
      <c r="I23" s="168"/>
      <c r="J23" s="168"/>
      <c r="K23" s="154" t="s">
        <v>508</v>
      </c>
      <c r="L23" s="159" t="str">
        <f>_xlfn.LET(
_xlpm.look, _xlfn.XLOOKUP(ITEquipmentTable[[#This Row],[Name]], VNCTable[ClientName], VNCTable[IP], ""),
_xlpm.chkk, IF(ITEquipmentTable[[#This Row],[IPv4 Address]] = "N/A", "N/A", _xlpm.look),
IF(ITEquipmentTable[[#This Row],[Name]] = "", "", _xlpm.chkk))</f>
        <v/>
      </c>
      <c r="M23" s="168" t="s">
        <v>1221</v>
      </c>
      <c r="N23" s="161" t="str">
        <f>_xlfn.LET(_xlpm.emp, IF(_xlfn.XLOOKUP(ITEquipmentTable[[#This Row],[Assigned Employee]], EmployeeTable[name], EmployeeTable[Active], TRUE), "Employee", "Recover"),
IF(ITEquipmentTable[[#This Row],[Storage Location]] = "Assigned to Employee", _xlpm.emp, "N/A"))</f>
        <v>N/A</v>
      </c>
      <c r="O23" s="161" t="str" cm="1">
        <f t="array" ref="O2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LTSB</v>
      </c>
      <c r="P2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3" s="168"/>
      <c r="R23" s="168"/>
      <c r="S23" s="1" t="s">
        <v>405</v>
      </c>
      <c r="T23" s="194"/>
      <c r="U23"/>
      <c r="V23"/>
      <c r="X23" s="1">
        <v>1518</v>
      </c>
      <c r="Y23" s="223" t="s">
        <v>421</v>
      </c>
      <c r="Z23" s="1" t="b">
        <v>1</v>
      </c>
      <c r="AA23"/>
      <c r="AE23" s="1" t="s">
        <v>422</v>
      </c>
    </row>
    <row r="24" spans="1:31" s="1" customFormat="1" hidden="1" x14ac:dyDescent="0.2">
      <c r="A24" s="155">
        <v>18</v>
      </c>
      <c r="B24" s="1" t="s">
        <v>294</v>
      </c>
      <c r="C24" s="1" t="s">
        <v>403</v>
      </c>
      <c r="D24" s="1" t="s">
        <v>656</v>
      </c>
      <c r="E24" s="1" t="s">
        <v>306</v>
      </c>
      <c r="F24" s="195" t="s">
        <v>1226</v>
      </c>
      <c r="G24" s="159" t="str">
        <f>_xlfn.XLOOKUP(ITEquipmentTable[[#This Row],[Name]], IntuneData[Device name], IntuneData[Serial number], "")</f>
        <v/>
      </c>
      <c r="H24" s="168" t="s">
        <v>348</v>
      </c>
      <c r="I24" s="168"/>
      <c r="J24" s="168"/>
      <c r="K24" s="154" t="s">
        <v>226</v>
      </c>
      <c r="L24" s="159" t="str">
        <f>_xlfn.LET(
_xlpm.look, _xlfn.XLOOKUP(ITEquipmentTable[[#This Row],[Name]], VNCTable[ClientName], VNCTable[IP], ""),
_xlpm.chkk, IF(ITEquipmentTable[[#This Row],[IPv4 Address]] = "N/A", "N/A", _xlpm.look),
IF(ITEquipmentTable[[#This Row],[Name]] = "", "", _xlpm.chkk))</f>
        <v>N/A</v>
      </c>
      <c r="M24" s="168" t="s">
        <v>1227</v>
      </c>
      <c r="N24" s="161" t="str">
        <f>_xlfn.LET(_xlpm.emp, IF(_xlfn.XLOOKUP(ITEquipmentTable[[#This Row],[Assigned Employee]], EmployeeTable[name], EmployeeTable[Active], TRUE), "Employee", "Recover"),
IF(ITEquipmentTable[[#This Row],[Storage Location]] = "Assigned to Employee", _xlpm.emp, "N/A"))</f>
        <v>N/A</v>
      </c>
      <c r="O24" s="161" t="str" cm="1">
        <f t="array" ref="O2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2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24" s="168"/>
      <c r="R24" s="168" t="s">
        <v>312</v>
      </c>
      <c r="T24" s="194"/>
      <c r="U24"/>
      <c r="V24"/>
      <c r="X24" s="1">
        <v>1519</v>
      </c>
      <c r="Y24" s="223" t="s">
        <v>425</v>
      </c>
      <c r="Z24" s="1" t="b">
        <v>1</v>
      </c>
      <c r="AA24"/>
      <c r="AE24" s="1" t="s">
        <v>426</v>
      </c>
    </row>
    <row r="25" spans="1:31" s="1" customFormat="1" hidden="1" x14ac:dyDescent="0.2">
      <c r="A25" s="155">
        <v>19</v>
      </c>
      <c r="B25" s="1" t="s">
        <v>323</v>
      </c>
      <c r="C25" s="1" t="s">
        <v>562</v>
      </c>
      <c r="D25" s="1" t="s">
        <v>563</v>
      </c>
      <c r="E25" s="1" t="s">
        <v>306</v>
      </c>
      <c r="F25" s="195" t="s">
        <v>1229</v>
      </c>
      <c r="G25" s="159" t="str">
        <f>_xlfn.XLOOKUP(ITEquipmentTable[[#This Row],[Name]], IntuneData[Device name], IntuneData[Serial number], "")</f>
        <v/>
      </c>
      <c r="H25" s="168"/>
      <c r="I25" s="168"/>
      <c r="J25" s="168"/>
      <c r="K25" s="223"/>
      <c r="L25" s="159" t="str">
        <f>_xlfn.LET(
_xlpm.look, _xlfn.XLOOKUP(ITEquipmentTable[[#This Row],[Name]], VNCTable[ClientName], VNCTable[IP], ""),
_xlpm.chkk, IF(ITEquipmentTable[[#This Row],[IPv4 Address]] = "N/A", "N/A", _xlpm.look),
IF(ITEquipmentTable[[#This Row],[Name]] = "", "", _xlpm.chkk))</f>
        <v/>
      </c>
      <c r="M25" s="168" t="s">
        <v>1230</v>
      </c>
      <c r="N25" s="161" t="str">
        <f>_xlfn.LET(_xlpm.emp, IF(_xlfn.XLOOKUP(ITEquipmentTable[[#This Row],[Assigned Employee]], EmployeeTable[name], EmployeeTable[Active], TRUE), "Employee", "Recover"),
IF(ITEquipmentTable[[#This Row],[Storage Location]] = "Assigned to Employee", _xlpm.emp, "N/A"))</f>
        <v>N/A</v>
      </c>
      <c r="O25" s="161" t="str" cm="1">
        <f t="array" ref="O2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5" s="168"/>
      <c r="R25" s="168"/>
      <c r="S25" s="1" t="s">
        <v>405</v>
      </c>
      <c r="T25" s="194"/>
      <c r="U25"/>
      <c r="V25"/>
      <c r="X25" s="1">
        <v>1523</v>
      </c>
      <c r="Y25" s="223" t="s">
        <v>432</v>
      </c>
      <c r="Z25" s="1" t="b">
        <v>1</v>
      </c>
      <c r="AA25"/>
    </row>
    <row r="26" spans="1:31" s="1" customFormat="1" hidden="1" x14ac:dyDescent="0.2">
      <c r="A26" s="155">
        <v>20</v>
      </c>
      <c r="B26" s="1" t="s">
        <v>323</v>
      </c>
      <c r="C26" s="1" t="s">
        <v>562</v>
      </c>
      <c r="D26" s="1" t="s">
        <v>563</v>
      </c>
      <c r="E26" s="1" t="s">
        <v>306</v>
      </c>
      <c r="F26" s="195" t="s">
        <v>754</v>
      </c>
      <c r="G26" s="159" t="str">
        <f>_xlfn.XLOOKUP(ITEquipmentTable[[#This Row],[Name]], IntuneData[Device name], IntuneData[Serial number], "")</f>
        <v/>
      </c>
      <c r="H26" s="1" t="s">
        <v>295</v>
      </c>
      <c r="I26" s="1" t="s">
        <v>755</v>
      </c>
      <c r="K26" s="154"/>
      <c r="L26" s="159" t="str">
        <f>_xlfn.LET(
_xlpm.look, _xlfn.XLOOKUP(ITEquipmentTable[[#This Row],[Name]], VNCTable[ClientName], VNCTable[IP], ""),
_xlpm.chkk, IF(ITEquipmentTable[[#This Row],[IPv4 Address]] = "N/A", "N/A", _xlpm.look),
IF(ITEquipmentTable[[#This Row],[Name]] = "", "", _xlpm.chkk))</f>
        <v/>
      </c>
      <c r="M26" s="1" t="s">
        <v>756</v>
      </c>
      <c r="N26" s="159" t="str">
        <f>_xlfn.LET(_xlpm.emp, IF(_xlfn.XLOOKUP(ITEquipmentTable[[#This Row],[Assigned Employee]], EmployeeTable[name], EmployeeTable[Active], TRUE), "Employee", "Recover"),
IF(ITEquipmentTable[[#This Row],[Storage Location]] = "Assigned to Employee", _xlpm.emp, "N/A"))</f>
        <v>N/A</v>
      </c>
      <c r="O26" s="159" t="str" cm="1">
        <f t="array" ref="O2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26" s="189" t="s">
        <v>312</v>
      </c>
      <c r="T26" s="194"/>
      <c r="U26"/>
      <c r="V26"/>
      <c r="X26" s="1">
        <v>1530</v>
      </c>
      <c r="Y26" s="223" t="s">
        <v>434</v>
      </c>
      <c r="Z26" s="1" t="b">
        <v>1</v>
      </c>
      <c r="AA26"/>
    </row>
    <row r="27" spans="1:31" s="1" customFormat="1" hidden="1" x14ac:dyDescent="0.2">
      <c r="A27" s="155">
        <v>120</v>
      </c>
      <c r="B27" s="1" t="s">
        <v>304</v>
      </c>
      <c r="C27" s="1" t="s">
        <v>308</v>
      </c>
      <c r="D27" s="1" t="s">
        <v>427</v>
      </c>
      <c r="E27" s="1" t="s">
        <v>310</v>
      </c>
      <c r="F27" s="195" t="s">
        <v>886</v>
      </c>
      <c r="G27" s="159" t="str">
        <f>_xlfn.XLOOKUP(ITEquipmentTable[[#This Row],[Name]], IntuneData[Device name], IntuneData[Serial number], "")</f>
        <v/>
      </c>
      <c r="H27" s="1" t="s">
        <v>295</v>
      </c>
      <c r="I27" s="1" t="s">
        <v>418</v>
      </c>
      <c r="K27" s="154" t="s">
        <v>887</v>
      </c>
      <c r="L27" s="159" t="str">
        <f>_xlfn.LET(
_xlpm.look, _xlfn.XLOOKUP(ITEquipmentTable[[#This Row],[Name]], VNCTable[ClientName], VNCTable[IP], ""),
_xlpm.chkk, IF(ITEquipmentTable[[#This Row],[IPv4 Address]] = "N/A", "N/A", _xlpm.look),
IF(ITEquipmentTable[[#This Row],[Name]] = "", "", _xlpm.chkk))</f>
        <v>10.68.134.168</v>
      </c>
      <c r="M27" s="1" t="s">
        <v>888</v>
      </c>
      <c r="N27" s="159" t="str">
        <f>_xlfn.LET(_xlpm.emp, IF(_xlfn.XLOOKUP(ITEquipmentTable[[#This Row],[Assigned Employee]], EmployeeTable[name], EmployeeTable[Active], TRUE), "Employee", "Recover"),
IF(ITEquipmentTable[[#This Row],[Storage Location]] = "Assigned to Employee", _xlpm.emp, "N/A"))</f>
        <v>N/A</v>
      </c>
      <c r="O27" s="159" t="str" cm="1">
        <f t="array" ref="O2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27" s="189" t="s">
        <v>312</v>
      </c>
      <c r="T27" s="194"/>
      <c r="U27"/>
      <c r="V27"/>
      <c r="X27" s="1">
        <v>1558</v>
      </c>
      <c r="Y27" s="223" t="s">
        <v>438</v>
      </c>
      <c r="Z27" s="1" t="b">
        <v>1</v>
      </c>
      <c r="AA27"/>
    </row>
    <row r="28" spans="1:31" s="1" customFormat="1" hidden="1" x14ac:dyDescent="0.2">
      <c r="A28" s="217">
        <v>261</v>
      </c>
      <c r="B28" s="189" t="s">
        <v>304</v>
      </c>
      <c r="C28" s="189" t="s">
        <v>308</v>
      </c>
      <c r="E28" s="189" t="s">
        <v>310</v>
      </c>
      <c r="F28" s="195" t="s">
        <v>3322</v>
      </c>
      <c r="G28" s="159" t="str">
        <f>_xlfn.XLOOKUP(ITEquipmentTable[[#This Row],[Name]], IntuneData[Device name], IntuneData[Serial number], "")</f>
        <v/>
      </c>
      <c r="H28" s="189"/>
      <c r="I28" s="189"/>
      <c r="J28" s="189"/>
      <c r="K28" s="219"/>
      <c r="L28" s="159" t="str">
        <f>_xlfn.LET(
_xlpm.look, _xlfn.XLOOKUP(ITEquipmentTable[[#This Row],[Name]], VNCTable[ClientName], VNCTable[IP], ""),
_xlpm.chkk, IF(ITEquipmentTable[[#This Row],[IPv4 Address]] = "N/A", "N/A", _xlpm.look),
IF(ITEquipmentTable[[#This Row],[Name]] = "", "", _xlpm.chkk))</f>
        <v/>
      </c>
      <c r="M28" s="189"/>
      <c r="N28" s="159" t="str">
        <f>_xlfn.LET(_xlpm.emp, IF(_xlfn.XLOOKUP(ITEquipmentTable[[#This Row],[Assigned Employee]], EmployeeTable[name], EmployeeTable[Active], TRUE), "Employee", "Recover"),
IF(ITEquipmentTable[[#This Row],[Storage Location]] = "Assigned to Employee", _xlpm.emp, "N/A"))</f>
        <v>N/A</v>
      </c>
      <c r="O28" s="159" t="str" cm="1">
        <f t="array" ref="O2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2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8" s="189"/>
      <c r="R28" s="189" t="s">
        <v>312</v>
      </c>
      <c r="S28" s="189" t="s">
        <v>3326</v>
      </c>
      <c r="T28" s="194"/>
      <c r="U28"/>
      <c r="V28"/>
      <c r="X28" s="1">
        <v>1585</v>
      </c>
      <c r="Y28" s="223" t="s">
        <v>442</v>
      </c>
      <c r="Z28" s="1" t="b">
        <v>1</v>
      </c>
      <c r="AA28"/>
    </row>
    <row r="29" spans="1:31" s="1" customFormat="1" hidden="1" x14ac:dyDescent="0.2">
      <c r="A29" s="155">
        <v>602</v>
      </c>
      <c r="B29" s="1" t="s">
        <v>294</v>
      </c>
      <c r="C29" s="1" t="s">
        <v>403</v>
      </c>
      <c r="D29" s="1" t="s">
        <v>1593</v>
      </c>
      <c r="E29" s="1" t="s">
        <v>306</v>
      </c>
      <c r="F29" s="195" t="s">
        <v>1627</v>
      </c>
      <c r="G29" s="164" t="str">
        <f>_xlfn.XLOOKUP(ITEquipmentTable[[#This Row],[Name]], IntuneData[Device name], IntuneData[Serial number], "")</f>
        <v>5CD143FBS0</v>
      </c>
      <c r="H29" s="1" t="s">
        <v>384</v>
      </c>
      <c r="J29" s="1" t="s">
        <v>625</v>
      </c>
      <c r="K29" s="154" t="s">
        <v>508</v>
      </c>
      <c r="L29" s="164" t="str">
        <f>_xlfn.LET(
_xlpm.look, _xlfn.XLOOKUP(ITEquipmentTable[[#This Row],[Name]], VNCTable[ClientName], VNCTable[IP], ""),
_xlpm.chkk, IF(ITEquipmentTable[[#This Row],[IPv4 Address]] = "N/A", "N/A", _xlpm.look),
IF(ITEquipmentTable[[#This Row],[Name]] = "", "", _xlpm.chkk))</f>
        <v/>
      </c>
      <c r="M29" s="1" t="s">
        <v>1240</v>
      </c>
      <c r="N29" s="159" t="str">
        <f>_xlfn.LET(_xlpm.emp, IF(_xlfn.XLOOKUP(ITEquipmentTable[[#This Row],[Assigned Employee]], EmployeeTable[name], EmployeeTable[Active], TRUE), "Employee", "Recover"),
IF(ITEquipmentTable[[#This Row],[Storage Location]] = "Assigned to Employee", _xlpm.emp, "N/A"))</f>
        <v>Employee</v>
      </c>
      <c r="O29" s="161" t="str" cm="1">
        <f t="array" ref="O2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S29" s="1" t="s">
        <v>3326</v>
      </c>
      <c r="T29" s="194"/>
      <c r="U29"/>
      <c r="V29"/>
      <c r="X29" s="1">
        <v>1601</v>
      </c>
      <c r="Y29" s="223" t="s">
        <v>447</v>
      </c>
      <c r="Z29" s="1" t="b">
        <v>1</v>
      </c>
      <c r="AA29"/>
    </row>
    <row r="30" spans="1:31" s="1" customFormat="1" hidden="1" x14ac:dyDescent="0.2">
      <c r="A30" s="155">
        <v>23</v>
      </c>
      <c r="B30" s="189" t="s">
        <v>304</v>
      </c>
      <c r="F30" s="195"/>
      <c r="G30" s="159" t="str">
        <f>_xlfn.XLOOKUP(ITEquipmentTable[[#This Row],[Name]], IntuneData[Device name], IntuneData[Serial number], "")</f>
        <v/>
      </c>
      <c r="H30" s="189" t="s">
        <v>295</v>
      </c>
      <c r="I30" s="189" t="s">
        <v>332</v>
      </c>
      <c r="J30" s="189"/>
      <c r="K30" s="219" t="s">
        <v>333</v>
      </c>
      <c r="L30" s="159" t="str">
        <f>_xlfn.LET(
_xlpm.look, _xlfn.XLOOKUP(ITEquipmentTable[[#This Row],[Name]], VNCTable[ClientName], VNCTable[IP], ""),
_xlpm.chkk, IF(ITEquipmentTable[[#This Row],[IPv4 Address]] = "N/A", "N/A", _xlpm.look),
IF(ITEquipmentTable[[#This Row],[Name]] = "", "", _xlpm.chkk))</f>
        <v>10.68.134.219</v>
      </c>
      <c r="M30" s="189" t="s">
        <v>334</v>
      </c>
      <c r="N30" s="159" t="str">
        <f>_xlfn.LET(_xlpm.emp, IF(_xlfn.XLOOKUP(ITEquipmentTable[[#This Row],[Assigned Employee]], EmployeeTable[name], EmployeeTable[Active], TRUE), "Employee", "Recover"),
IF(ITEquipmentTable[[#This Row],[Storage Location]] = "Assigned to Employee", _xlpm.emp, "N/A"))</f>
        <v>N/A</v>
      </c>
      <c r="O30" s="159" t="str" cm="1">
        <f t="array" ref="O3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0" s="189"/>
      <c r="R30" s="189" t="s">
        <v>312</v>
      </c>
      <c r="S30" s="189" t="s">
        <v>299</v>
      </c>
      <c r="T30" s="194"/>
      <c r="U30"/>
      <c r="V30"/>
      <c r="X30" s="1">
        <v>1633</v>
      </c>
      <c r="Y30" s="223" t="s">
        <v>449</v>
      </c>
      <c r="Z30" s="1" t="b">
        <v>1</v>
      </c>
      <c r="AA30"/>
    </row>
    <row r="31" spans="1:31" s="1" customFormat="1" hidden="1" x14ac:dyDescent="0.2">
      <c r="A31" s="155">
        <v>26</v>
      </c>
      <c r="B31" s="189" t="s">
        <v>304</v>
      </c>
      <c r="F31" s="195"/>
      <c r="G31" s="159" t="str">
        <f>_xlfn.XLOOKUP(ITEquipmentTable[[#This Row],[Name]], IntuneData[Device name], IntuneData[Serial number], "")</f>
        <v/>
      </c>
      <c r="H31" s="189" t="s">
        <v>295</v>
      </c>
      <c r="I31" s="189" t="s">
        <v>364</v>
      </c>
      <c r="J31" s="189"/>
      <c r="K31" s="154" t="s">
        <v>365</v>
      </c>
      <c r="L31" s="159" t="str">
        <f>_xlfn.LET(
_xlpm.look, _xlfn.XLOOKUP(ITEquipmentTable[[#This Row],[Name]], VNCTable[ClientName], VNCTable[IP], ""),
_xlpm.chkk, IF(ITEquipmentTable[[#This Row],[IPv4 Address]] = "N/A", "N/A", _xlpm.look),
IF(ITEquipmentTable[[#This Row],[Name]] = "", "", _xlpm.chkk))</f>
        <v>10.68.134.49</v>
      </c>
      <c r="M31" s="189" t="s">
        <v>366</v>
      </c>
      <c r="N31" s="159" t="str">
        <f>_xlfn.LET(_xlpm.emp, IF(_xlfn.XLOOKUP(ITEquipmentTable[[#This Row],[Assigned Employee]], EmployeeTable[name], EmployeeTable[Active], TRUE), "Employee", "Recover"),
IF(ITEquipmentTable[[#This Row],[Storage Location]] = "Assigned to Employee", _xlpm.emp, "N/A"))</f>
        <v>N/A</v>
      </c>
      <c r="O31" s="159" t="str" cm="1">
        <f t="array" ref="O3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1" s="189"/>
      <c r="R31" s="189" t="s">
        <v>312</v>
      </c>
      <c r="S31" s="189" t="s">
        <v>299</v>
      </c>
      <c r="T31" s="194"/>
      <c r="U31"/>
      <c r="V31"/>
      <c r="X31" s="1">
        <v>1641</v>
      </c>
      <c r="Y31" s="223" t="s">
        <v>452</v>
      </c>
      <c r="Z31" s="1" t="b">
        <v>1</v>
      </c>
      <c r="AA31"/>
    </row>
    <row r="32" spans="1:31" s="1" customFormat="1" hidden="1" x14ac:dyDescent="0.2">
      <c r="A32" s="155">
        <v>603</v>
      </c>
      <c r="F32" s="195"/>
      <c r="G32" s="164" t="str">
        <f>_xlfn.XLOOKUP(ITEquipmentTable[[#This Row],[Name]], IntuneData[Device name], IntuneData[Serial number], "")</f>
        <v/>
      </c>
      <c r="K32" s="154"/>
      <c r="L32" s="164" t="str">
        <f>_xlfn.LET(
_xlpm.look, _xlfn.XLOOKUP(ITEquipmentTable[[#This Row],[Name]], VNCTable[ClientName], VNCTable[IP], ""),
_xlpm.chkk, IF(ITEquipmentTable[[#This Row],[IPv4 Address]] = "N/A", "N/A", _xlpm.look),
IF(ITEquipmentTable[[#This Row],[Name]] = "", "", _xlpm.chkk))</f>
        <v/>
      </c>
      <c r="M32" s="1" t="s">
        <v>1242</v>
      </c>
      <c r="N32" s="159" t="str">
        <f>_xlfn.LET(_xlpm.emp, IF(_xlfn.XLOOKUP(ITEquipmentTable[[#This Row],[Assigned Employee]], EmployeeTable[name], EmployeeTable[Active], TRUE), "Employee", "Recover"),
IF(ITEquipmentTable[[#This Row],[Storage Location]] = "Assigned to Employee", _xlpm.emp, "N/A"))</f>
        <v>N/A</v>
      </c>
      <c r="O32" s="161" t="str" cm="1">
        <f t="array" ref="O3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3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32" s="1" t="s">
        <v>298</v>
      </c>
      <c r="T32" s="194"/>
      <c r="U32"/>
      <c r="V32"/>
      <c r="X32" s="1">
        <v>1648</v>
      </c>
      <c r="Y32" s="223" t="s">
        <v>455</v>
      </c>
      <c r="Z32" s="1" t="b">
        <v>1</v>
      </c>
      <c r="AA32"/>
    </row>
    <row r="33" spans="1:27" s="1" customFormat="1" hidden="1" x14ac:dyDescent="0.2">
      <c r="A33" s="155">
        <v>27</v>
      </c>
      <c r="B33" s="189" t="s">
        <v>304</v>
      </c>
      <c r="F33" s="195"/>
      <c r="G33" s="159" t="str">
        <f>_xlfn.XLOOKUP(ITEquipmentTable[[#This Row],[Name]], IntuneData[Device name], IntuneData[Serial number], "")</f>
        <v/>
      </c>
      <c r="H33" s="189" t="s">
        <v>295</v>
      </c>
      <c r="I33" s="189" t="s">
        <v>373</v>
      </c>
      <c r="J33" s="189"/>
      <c r="K33" s="154" t="s">
        <v>374</v>
      </c>
      <c r="L33" s="159" t="str">
        <f>_xlfn.LET(
_xlpm.look, _xlfn.XLOOKUP(ITEquipmentTable[[#This Row],[Name]], VNCTable[ClientName], VNCTable[IP], ""),
_xlpm.chkk, IF(ITEquipmentTable[[#This Row],[IPv4 Address]] = "N/A", "N/A", _xlpm.look),
IF(ITEquipmentTable[[#This Row],[Name]] = "", "", _xlpm.chkk))</f>
        <v/>
      </c>
      <c r="M33" s="189" t="s">
        <v>375</v>
      </c>
      <c r="N33" s="159" t="str">
        <f>_xlfn.LET(_xlpm.emp, IF(_xlfn.XLOOKUP(ITEquipmentTable[[#This Row],[Assigned Employee]], EmployeeTable[name], EmployeeTable[Active], TRUE), "Employee", "Recover"),
IF(ITEquipmentTable[[#This Row],[Storage Location]] = "Assigned to Employee", _xlpm.emp, "N/A"))</f>
        <v>N/A</v>
      </c>
      <c r="O33" s="159" t="str" cm="1">
        <f t="array" ref="O3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3" s="189"/>
      <c r="R33" s="189" t="s">
        <v>312</v>
      </c>
      <c r="S33" s="189" t="s">
        <v>299</v>
      </c>
      <c r="T33" s="194"/>
      <c r="U33"/>
      <c r="V33"/>
      <c r="X33" s="1">
        <v>1650</v>
      </c>
      <c r="Y33" s="223" t="s">
        <v>458</v>
      </c>
      <c r="Z33" s="1" t="b">
        <v>1</v>
      </c>
      <c r="AA33"/>
    </row>
    <row r="34" spans="1:27" s="1" customFormat="1" hidden="1" x14ac:dyDescent="0.2">
      <c r="A34" s="155">
        <v>28</v>
      </c>
      <c r="B34" s="189" t="s">
        <v>304</v>
      </c>
      <c r="F34" s="195"/>
      <c r="G34" s="159" t="str">
        <f>_xlfn.XLOOKUP(ITEquipmentTable[[#This Row],[Name]], IntuneData[Device name], IntuneData[Serial number], "")</f>
        <v/>
      </c>
      <c r="H34" s="189" t="s">
        <v>295</v>
      </c>
      <c r="I34" s="189" t="s">
        <v>380</v>
      </c>
      <c r="J34" s="189"/>
      <c r="K34" s="154" t="s">
        <v>381</v>
      </c>
      <c r="L34" s="159" t="str">
        <f>_xlfn.LET(
_xlpm.look, _xlfn.XLOOKUP(ITEquipmentTable[[#This Row],[Name]], VNCTable[ClientName], VNCTable[IP], ""),
_xlpm.chkk, IF(ITEquipmentTable[[#This Row],[IPv4 Address]] = "N/A", "N/A", _xlpm.look),
IF(ITEquipmentTable[[#This Row],[Name]] = "", "", _xlpm.chkk))</f>
        <v>10.68.134.91</v>
      </c>
      <c r="M34" s="189" t="s">
        <v>382</v>
      </c>
      <c r="N34" s="159" t="str">
        <f>_xlfn.LET(_xlpm.emp, IF(_xlfn.XLOOKUP(ITEquipmentTable[[#This Row],[Assigned Employee]], EmployeeTable[name], EmployeeTable[Active], TRUE), "Employee", "Recover"),
IF(ITEquipmentTable[[#This Row],[Storage Location]] = "Assigned to Employee", _xlpm.emp, "N/A"))</f>
        <v>N/A</v>
      </c>
      <c r="O34" s="159" t="str" cm="1">
        <f t="array" ref="O3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4" s="189"/>
      <c r="R34" s="189" t="s">
        <v>312</v>
      </c>
      <c r="S34" s="189" t="s">
        <v>299</v>
      </c>
      <c r="T34" s="194"/>
      <c r="U34"/>
      <c r="V34"/>
      <c r="X34" s="1">
        <v>1659</v>
      </c>
      <c r="Y34" s="223" t="s">
        <v>461</v>
      </c>
      <c r="Z34" s="1" t="b">
        <v>1</v>
      </c>
      <c r="AA34"/>
    </row>
    <row r="35" spans="1:27" s="1" customFormat="1" hidden="1" x14ac:dyDescent="0.2">
      <c r="A35" s="155">
        <v>604</v>
      </c>
      <c r="F35" s="195"/>
      <c r="G35" s="164" t="str">
        <f>_xlfn.XLOOKUP(ITEquipmentTable[[#This Row],[Name]], IntuneData[Device name], IntuneData[Serial number], "")</f>
        <v/>
      </c>
      <c r="K35" s="154" t="s">
        <v>2869</v>
      </c>
      <c r="L35" s="164" t="str">
        <f>_xlfn.LET(
_xlpm.look, _xlfn.XLOOKUP(ITEquipmentTable[[#This Row],[Name]], VNCTable[ClientName], VNCTable[IP], ""),
_xlpm.chkk, IF(ITEquipmentTable[[#This Row],[IPv4 Address]] = "N/A", "N/A", _xlpm.look),
IF(ITEquipmentTable[[#This Row],[Name]] = "", "", _xlpm.chkk))</f>
        <v>10.68.134.8</v>
      </c>
      <c r="M35" s="1" t="s">
        <v>1244</v>
      </c>
      <c r="N35" s="159" t="str">
        <f>_xlfn.LET(_xlpm.emp, IF(_xlfn.XLOOKUP(ITEquipmentTable[[#This Row],[Assigned Employee]], EmployeeTable[name], EmployeeTable[Active], TRUE), "Employee", "Recover"),
IF(ITEquipmentTable[[#This Row],[Storage Location]] = "Assigned to Employee", _xlpm.emp, "N/A"))</f>
        <v>N/A</v>
      </c>
      <c r="O35" s="161" t="str" cm="1">
        <f t="array" ref="O3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3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35" s="1" t="s">
        <v>298</v>
      </c>
      <c r="T35" s="194"/>
      <c r="U35"/>
      <c r="V35"/>
      <c r="X35" s="1">
        <v>1686</v>
      </c>
      <c r="Y35" s="223" t="s">
        <v>465</v>
      </c>
      <c r="Z35" s="1" t="b">
        <v>1</v>
      </c>
      <c r="AA35"/>
    </row>
    <row r="36" spans="1:27" s="1" customFormat="1" hidden="1" x14ac:dyDescent="0.2">
      <c r="A36" s="155">
        <v>29</v>
      </c>
      <c r="B36" s="189" t="s">
        <v>304</v>
      </c>
      <c r="F36" s="195"/>
      <c r="G36" s="159" t="str">
        <f>_xlfn.XLOOKUP(ITEquipmentTable[[#This Row],[Name]], IntuneData[Device name], IntuneData[Serial number], "")</f>
        <v/>
      </c>
      <c r="H36" s="189" t="s">
        <v>295</v>
      </c>
      <c r="I36" s="189" t="s">
        <v>392</v>
      </c>
      <c r="J36" s="189"/>
      <c r="K36" s="154" t="s">
        <v>393</v>
      </c>
      <c r="L36" s="159" t="str">
        <f>_xlfn.LET(
_xlpm.look, _xlfn.XLOOKUP(ITEquipmentTable[[#This Row],[Name]], VNCTable[ClientName], VNCTable[IP], ""),
_xlpm.chkk, IF(ITEquipmentTable[[#This Row],[IPv4 Address]] = "N/A", "N/A", _xlpm.look),
IF(ITEquipmentTable[[#This Row],[Name]] = "", "", _xlpm.chkk))</f>
        <v>10.68.134.93</v>
      </c>
      <c r="M36" s="189" t="s">
        <v>394</v>
      </c>
      <c r="N36" s="159" t="str">
        <f>_xlfn.LET(_xlpm.emp, IF(_xlfn.XLOOKUP(ITEquipmentTable[[#This Row],[Assigned Employee]], EmployeeTable[name], EmployeeTable[Active], TRUE), "Employee", "Recover"),
IF(ITEquipmentTable[[#This Row],[Storage Location]] = "Assigned to Employee", _xlpm.emp, "N/A"))</f>
        <v>N/A</v>
      </c>
      <c r="O36" s="159" t="str" cm="1">
        <f t="array" ref="O3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6" s="189"/>
      <c r="R36" s="189" t="s">
        <v>312</v>
      </c>
      <c r="S36" s="189" t="s">
        <v>299</v>
      </c>
      <c r="T36" s="194"/>
      <c r="U36"/>
      <c r="V36"/>
      <c r="X36" s="1">
        <v>1692</v>
      </c>
      <c r="Y36" s="223" t="s">
        <v>469</v>
      </c>
      <c r="Z36" s="1" t="b">
        <v>1</v>
      </c>
      <c r="AA36"/>
    </row>
    <row r="37" spans="1:27" s="1" customFormat="1" hidden="1" x14ac:dyDescent="0.2">
      <c r="A37" s="155">
        <v>30</v>
      </c>
      <c r="B37" s="189" t="s">
        <v>304</v>
      </c>
      <c r="F37" s="195"/>
      <c r="G37" s="159" t="str">
        <f>_xlfn.XLOOKUP(ITEquipmentTable[[#This Row],[Name]], IntuneData[Device name], IntuneData[Serial number], "")</f>
        <v/>
      </c>
      <c r="H37" s="189" t="s">
        <v>295</v>
      </c>
      <c r="I37" s="189" t="s">
        <v>397</v>
      </c>
      <c r="J37" s="189"/>
      <c r="K37" s="154" t="s">
        <v>398</v>
      </c>
      <c r="L37" s="159" t="str">
        <f>_xlfn.LET(
_xlpm.look, _xlfn.XLOOKUP(ITEquipmentTable[[#This Row],[Name]], VNCTable[ClientName], VNCTable[IP], ""),
_xlpm.chkk, IF(ITEquipmentTable[[#This Row],[IPv4 Address]] = "N/A", "N/A", _xlpm.look),
IF(ITEquipmentTable[[#This Row],[Name]] = "", "", _xlpm.chkk))</f>
        <v>10.68.134.95</v>
      </c>
      <c r="M37" s="189" t="s">
        <v>399</v>
      </c>
      <c r="N37" s="159" t="str">
        <f>_xlfn.LET(_xlpm.emp, IF(_xlfn.XLOOKUP(ITEquipmentTable[[#This Row],[Assigned Employee]], EmployeeTable[name], EmployeeTable[Active], TRUE), "Employee", "Recover"),
IF(ITEquipmentTable[[#This Row],[Storage Location]] = "Assigned to Employee", _xlpm.emp, "N/A"))</f>
        <v>N/A</v>
      </c>
      <c r="O37" s="159" t="str" cm="1">
        <f t="array" ref="O3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7" s="189"/>
      <c r="R37" s="189" t="s">
        <v>312</v>
      </c>
      <c r="S37" s="189" t="s">
        <v>299</v>
      </c>
      <c r="T37" s="194"/>
      <c r="U37"/>
      <c r="V37"/>
      <c r="X37" s="1">
        <v>1704</v>
      </c>
      <c r="Y37" s="223" t="s">
        <v>473</v>
      </c>
      <c r="Z37" s="1" t="b">
        <v>1</v>
      </c>
      <c r="AA37"/>
    </row>
    <row r="38" spans="1:27" s="1" customFormat="1" hidden="1" x14ac:dyDescent="0.2">
      <c r="A38" s="155">
        <v>478</v>
      </c>
      <c r="B38" s="1" t="s">
        <v>304</v>
      </c>
      <c r="F38" s="195"/>
      <c r="G38" s="159" t="str">
        <f>_xlfn.XLOOKUP(ITEquipmentTable[[#This Row],[Name]], IntuneData[Device name], IntuneData[Serial number], "")</f>
        <v/>
      </c>
      <c r="H38" s="1" t="s">
        <v>295</v>
      </c>
      <c r="I38" s="1" t="s">
        <v>1755</v>
      </c>
      <c r="K38" s="154" t="s">
        <v>508</v>
      </c>
      <c r="L38" s="159" t="str">
        <f>_xlfn.LET(
_xlpm.look, _xlfn.XLOOKUP(ITEquipmentTable[[#This Row],[Name]], VNCTable[ClientName], VNCTable[IP], ""),
_xlpm.chkk, IF(ITEquipmentTable[[#This Row],[IPv4 Address]] = "N/A", "N/A", _xlpm.look),
IF(ITEquipmentTable[[#This Row],[Name]] = "", "", _xlpm.chkk))</f>
        <v>DHCP</v>
      </c>
      <c r="M38" s="1" t="s">
        <v>1756</v>
      </c>
      <c r="N38" s="159" t="str">
        <f>_xlfn.LET(_xlpm.emp, IF(_xlfn.XLOOKUP(ITEquipmentTable[[#This Row],[Assigned Employee]], EmployeeTable[name], EmployeeTable[Active], TRUE), "Employee", "Recover"),
IF(ITEquipmentTable[[#This Row],[Storage Location]] = "Assigned to Employee", _xlpm.emp, "N/A"))</f>
        <v>N/A</v>
      </c>
      <c r="O38" s="159" t="str" cm="1">
        <f t="array" ref="O3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38" s="193" t="s">
        <v>312</v>
      </c>
      <c r="S38" s="1" t="s">
        <v>299</v>
      </c>
      <c r="T38" s="194"/>
      <c r="U38"/>
      <c r="V38"/>
      <c r="X38" s="1">
        <v>1722</v>
      </c>
      <c r="Y38" s="223" t="s">
        <v>477</v>
      </c>
      <c r="Z38" s="1" t="b">
        <v>1</v>
      </c>
      <c r="AA38"/>
    </row>
    <row r="39" spans="1:27" s="1" customFormat="1" hidden="1" x14ac:dyDescent="0.2">
      <c r="A39" s="155">
        <v>31</v>
      </c>
      <c r="B39" s="1" t="s">
        <v>294</v>
      </c>
      <c r="C39" s="1" t="s">
        <v>403</v>
      </c>
      <c r="D39" s="1" t="s">
        <v>1170</v>
      </c>
      <c r="E39" s="1" t="s">
        <v>306</v>
      </c>
      <c r="F39" s="195" t="s">
        <v>1246</v>
      </c>
      <c r="G39" s="159" t="str">
        <f>_xlfn.XLOOKUP(ITEquipmentTable[[#This Row],[Name]], IntuneData[Device name], IntuneData[Serial number], "")</f>
        <v/>
      </c>
      <c r="H39" s="168"/>
      <c r="I39" s="168"/>
      <c r="J39" s="168"/>
      <c r="K39" s="154" t="s">
        <v>508</v>
      </c>
      <c r="L39" s="159" t="str">
        <f>_xlfn.LET(
_xlpm.look, _xlfn.XLOOKUP(ITEquipmentTable[[#This Row],[Name]], VNCTable[ClientName], VNCTable[IP], ""),
_xlpm.chkk, IF(ITEquipmentTable[[#This Row],[IPv4 Address]] = "N/A", "N/A", _xlpm.look),
IF(ITEquipmentTable[[#This Row],[Name]] = "", "", _xlpm.chkk))</f>
        <v/>
      </c>
      <c r="M39" s="168" t="s">
        <v>1247</v>
      </c>
      <c r="N39" s="161" t="str">
        <f>_xlfn.LET(_xlpm.emp, IF(_xlfn.XLOOKUP(ITEquipmentTable[[#This Row],[Assigned Employee]], EmployeeTable[name], EmployeeTable[Active], TRUE), "Employee", "Recover"),
IF(ITEquipmentTable[[#This Row],[Storage Location]] = "Assigned to Employee", _xlpm.emp, "N/A"))</f>
        <v>N/A</v>
      </c>
      <c r="O39" s="161" t="str" cm="1">
        <f t="array" ref="O3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9" s="168"/>
      <c r="R39" s="168"/>
      <c r="S39" s="1" t="s">
        <v>405</v>
      </c>
      <c r="T39" s="194"/>
      <c r="U39"/>
      <c r="V39"/>
      <c r="X39" s="1">
        <v>1766</v>
      </c>
      <c r="Y39" s="223" t="s">
        <v>483</v>
      </c>
      <c r="Z39" s="1" t="b">
        <v>1</v>
      </c>
      <c r="AA39"/>
    </row>
    <row r="40" spans="1:27" s="1" customFormat="1" hidden="1" x14ac:dyDescent="0.2">
      <c r="A40" s="155">
        <v>32</v>
      </c>
      <c r="B40" s="1" t="s">
        <v>294</v>
      </c>
      <c r="C40" s="1" t="s">
        <v>403</v>
      </c>
      <c r="D40" s="1" t="s">
        <v>1249</v>
      </c>
      <c r="E40" s="1" t="s">
        <v>306</v>
      </c>
      <c r="F40" s="195" t="s">
        <v>1250</v>
      </c>
      <c r="G40" s="159" t="str">
        <f>_xlfn.XLOOKUP(ITEquipmentTable[[#This Row],[Name]], IntuneData[Device name], IntuneData[Serial number], "")</f>
        <v/>
      </c>
      <c r="H40" s="168"/>
      <c r="I40" s="168"/>
      <c r="J40" s="168"/>
      <c r="K40" s="154" t="s">
        <v>508</v>
      </c>
      <c r="L40" s="159" t="str">
        <f>_xlfn.LET(
_xlpm.look, _xlfn.XLOOKUP(ITEquipmentTable[[#This Row],[Name]], VNCTable[ClientName], VNCTable[IP], ""),
_xlpm.chkk, IF(ITEquipmentTable[[#This Row],[IPv4 Address]] = "N/A", "N/A", _xlpm.look),
IF(ITEquipmentTable[[#This Row],[Name]] = "", "", _xlpm.chkk))</f>
        <v/>
      </c>
      <c r="M40" s="168" t="s">
        <v>1251</v>
      </c>
      <c r="N40" s="161" t="str">
        <f>_xlfn.LET(_xlpm.emp, IF(_xlfn.XLOOKUP(ITEquipmentTable[[#This Row],[Assigned Employee]], EmployeeTable[name], EmployeeTable[Active], TRUE), "Employee", "Recover"),
IF(ITEquipmentTable[[#This Row],[Storage Location]] = "Assigned to Employee", _xlpm.emp, "N/A"))</f>
        <v>N/A</v>
      </c>
      <c r="O40" s="161" t="str" cm="1">
        <f t="array" ref="O4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0" s="168"/>
      <c r="R40" s="168"/>
      <c r="S40" s="1" t="s">
        <v>405</v>
      </c>
      <c r="T40" s="194"/>
      <c r="U40"/>
      <c r="V40"/>
      <c r="X40" s="1">
        <v>1791</v>
      </c>
      <c r="Y40" s="223" t="s">
        <v>486</v>
      </c>
      <c r="Z40" s="1" t="b">
        <v>1</v>
      </c>
      <c r="AA40"/>
    </row>
    <row r="41" spans="1:27" s="1" customFormat="1" hidden="1" x14ac:dyDescent="0.2">
      <c r="A41" s="155">
        <v>34</v>
      </c>
      <c r="B41" s="1" t="s">
        <v>294</v>
      </c>
      <c r="C41" s="1" t="s">
        <v>403</v>
      </c>
      <c r="D41" s="1" t="s">
        <v>1179</v>
      </c>
      <c r="E41" s="1" t="s">
        <v>306</v>
      </c>
      <c r="F41" s="195" t="s">
        <v>1257</v>
      </c>
      <c r="G41" s="159" t="str">
        <f>_xlfn.XLOOKUP(ITEquipmentTable[[#This Row],[Name]], IntuneData[Device name], IntuneData[Serial number], "")</f>
        <v/>
      </c>
      <c r="H41" s="168"/>
      <c r="I41" s="168"/>
      <c r="J41" s="168"/>
      <c r="K41" s="154" t="s">
        <v>508</v>
      </c>
      <c r="L41" s="159" t="str">
        <f>_xlfn.LET(
_xlpm.look, _xlfn.XLOOKUP(ITEquipmentTable[[#This Row],[Name]], VNCTable[ClientName], VNCTable[IP], ""),
_xlpm.chkk, IF(ITEquipmentTable[[#This Row],[IPv4 Address]] = "N/A", "N/A", _xlpm.look),
IF(ITEquipmentTable[[#This Row],[Name]] = "", "", _xlpm.chkk))</f>
        <v/>
      </c>
      <c r="M41" s="168" t="s">
        <v>1258</v>
      </c>
      <c r="N41" s="161" t="str">
        <f>_xlfn.LET(_xlpm.emp, IF(_xlfn.XLOOKUP(ITEquipmentTable[[#This Row],[Assigned Employee]], EmployeeTable[name], EmployeeTable[Active], TRUE), "Employee", "Recover"),
IF(ITEquipmentTable[[#This Row],[Storage Location]] = "Assigned to Employee", _xlpm.emp, "N/A"))</f>
        <v>N/A</v>
      </c>
      <c r="O41" s="161" t="str" cm="1">
        <f t="array" ref="O4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1" s="168"/>
      <c r="R41" s="168"/>
      <c r="S41" s="1" t="s">
        <v>405</v>
      </c>
      <c r="T41" s="194"/>
      <c r="U41"/>
      <c r="V41"/>
      <c r="X41" s="1">
        <v>1803</v>
      </c>
      <c r="Y41" s="223" t="s">
        <v>491</v>
      </c>
      <c r="Z41" s="1" t="b">
        <v>1</v>
      </c>
      <c r="AA41"/>
    </row>
    <row r="42" spans="1:27" s="1" customFormat="1" hidden="1" x14ac:dyDescent="0.2">
      <c r="A42" s="155">
        <v>518</v>
      </c>
      <c r="B42" s="1" t="s">
        <v>362</v>
      </c>
      <c r="C42" s="1" t="s">
        <v>308</v>
      </c>
      <c r="D42" s="1" t="s">
        <v>2037</v>
      </c>
      <c r="E42" s="1" t="s">
        <v>310</v>
      </c>
      <c r="F42" s="195" t="s">
        <v>2048</v>
      </c>
      <c r="G42" s="159" t="str">
        <f>_xlfn.XLOOKUP(ITEquipmentTable[[#This Row],[Name]], IntuneData[Device name], IntuneData[Serial number], "")</f>
        <v/>
      </c>
      <c r="K42" s="154" t="s">
        <v>226</v>
      </c>
      <c r="L42" s="164" t="str">
        <f>_xlfn.LET(
_xlpm.look, _xlfn.XLOOKUP(ITEquipmentTable[[#This Row],[Name]], VNCTable[ClientName], VNCTable[IP], ""),
_xlpm.chkk, IF(ITEquipmentTable[[#This Row],[IPv4 Address]] = "N/A", "N/A", _xlpm.look),
IF(ITEquipmentTable[[#This Row],[Name]] = "", "", _xlpm.chkk))</f>
        <v>N/A</v>
      </c>
      <c r="M42" s="1" t="s">
        <v>226</v>
      </c>
      <c r="N42" s="159" t="str">
        <f>_xlfn.LET(_xlpm.emp, IF(_xlfn.XLOOKUP(ITEquipmentTable[[#This Row],[Assigned Employee]], EmployeeTable[name], EmployeeTable[Active], TRUE), "Employee", "Recover"),
IF(ITEquipmentTable[[#This Row],[Storage Location]] = "Assigned to Employee", _xlpm.emp, "N/A"))</f>
        <v>N/A</v>
      </c>
      <c r="O42" s="159" t="str" cm="1">
        <f t="array" ref="O4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2" s="1" t="s">
        <v>2036</v>
      </c>
      <c r="R42" s="1" t="s">
        <v>324</v>
      </c>
      <c r="T42" s="194"/>
      <c r="U42"/>
      <c r="V42"/>
      <c r="X42" s="1">
        <v>1813</v>
      </c>
      <c r="Y42" s="223" t="s">
        <v>496</v>
      </c>
      <c r="Z42" s="1" t="b">
        <v>1</v>
      </c>
      <c r="AA42"/>
    </row>
    <row r="43" spans="1:27" s="1" customFormat="1" hidden="1" x14ac:dyDescent="0.2">
      <c r="A43" s="155">
        <v>536</v>
      </c>
      <c r="B43" s="1" t="s">
        <v>294</v>
      </c>
      <c r="C43" s="1" t="s">
        <v>403</v>
      </c>
      <c r="E43" s="1" t="s">
        <v>306</v>
      </c>
      <c r="F43" s="195"/>
      <c r="G43" s="164" t="str">
        <f>_xlfn.XLOOKUP(ITEquipmentTable[[#This Row],[Name]], IntuneData[Device name], IntuneData[Serial number], "")</f>
        <v/>
      </c>
      <c r="K43" s="154" t="s">
        <v>508</v>
      </c>
      <c r="L43" s="164" t="str">
        <f>_xlfn.LET(
_xlpm.look, _xlfn.XLOOKUP(ITEquipmentTable[[#This Row],[Name]], VNCTable[ClientName], VNCTable[IP], ""),
_xlpm.chkk, IF(ITEquipmentTable[[#This Row],[IPv4 Address]] = "N/A", "N/A", _xlpm.look),
IF(ITEquipmentTable[[#This Row],[Name]] = "", "", _xlpm.chkk))</f>
        <v/>
      </c>
      <c r="M43" s="1" t="s">
        <v>1260</v>
      </c>
      <c r="N43" s="159" t="str">
        <f>_xlfn.LET(_xlpm.emp, IF(_xlfn.XLOOKUP(ITEquipmentTable[[#This Row],[Assigned Employee]], EmployeeTable[name], EmployeeTable[Active], TRUE), "Employee", "Recover"),
IF(ITEquipmentTable[[#This Row],[Storage Location]] = "Assigned to Employee", _xlpm.emp, "N/A"))</f>
        <v>N/A</v>
      </c>
      <c r="O43" s="159" t="str" cm="1">
        <f t="array" ref="O4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43" s="1" t="s">
        <v>298</v>
      </c>
      <c r="T43" s="194"/>
      <c r="U43"/>
      <c r="V43"/>
      <c r="X43" s="1">
        <v>1838</v>
      </c>
      <c r="Y43" s="223" t="s">
        <v>501</v>
      </c>
      <c r="Z43" s="1" t="b">
        <v>1</v>
      </c>
      <c r="AA43"/>
    </row>
    <row r="44" spans="1:27" s="1" customFormat="1" hidden="1" x14ac:dyDescent="0.2">
      <c r="A44" s="155">
        <v>902</v>
      </c>
      <c r="B44" s="1" t="s">
        <v>294</v>
      </c>
      <c r="C44" s="1" t="s">
        <v>403</v>
      </c>
      <c r="E44" s="1" t="s">
        <v>306</v>
      </c>
      <c r="F44" s="195"/>
      <c r="G44" s="164" t="str">
        <f>_xlfn.XLOOKUP(ITEquipmentTable[[#This Row],[Name]], IntuneData[Device name], IntuneData[Serial number], "")</f>
        <v/>
      </c>
      <c r="H44" s="1" t="s">
        <v>384</v>
      </c>
      <c r="J44" s="1" t="s">
        <v>1262</v>
      </c>
      <c r="K44" s="154" t="s">
        <v>508</v>
      </c>
      <c r="L44" s="164" t="str">
        <f>_xlfn.LET(
_xlpm.look, _xlfn.XLOOKUP(ITEquipmentTable[[#This Row],[Name]], VNCTable[ClientName], VNCTable[IP], ""),
_xlpm.chkk, IF(ITEquipmentTable[[#This Row],[IPv4 Address]] = "N/A", "N/A", _xlpm.look),
IF(ITEquipmentTable[[#This Row],[Name]] = "", "", _xlpm.chkk))</f>
        <v/>
      </c>
      <c r="M44" s="1" t="s">
        <v>1263</v>
      </c>
      <c r="N44" s="161" t="str">
        <f>_xlfn.LET(_xlpm.emp, IF(_xlfn.XLOOKUP(ITEquipmentTable[[#This Row],[Assigned Employee]], EmployeeTable[name], EmployeeTable[Active], TRUE), "Employee", "Recover"),
IF(ITEquipmentTable[[#This Row],[Storage Location]] = "Assigned to Employee", _xlpm.emp, "N/A"))</f>
        <v>Employee</v>
      </c>
      <c r="O44" s="161" t="str" cm="1">
        <f t="array" ref="O4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22H2</v>
      </c>
      <c r="P4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44" s="1" t="s">
        <v>312</v>
      </c>
      <c r="T44" s="194"/>
      <c r="U44"/>
      <c r="V44"/>
      <c r="X44" s="1">
        <v>1866</v>
      </c>
      <c r="Y44" s="223" t="s">
        <v>506</v>
      </c>
      <c r="Z44" s="1" t="b">
        <v>1</v>
      </c>
      <c r="AA44"/>
    </row>
    <row r="45" spans="1:27" s="1" customFormat="1" hidden="1" x14ac:dyDescent="0.2">
      <c r="A45" s="155">
        <v>35</v>
      </c>
      <c r="B45" s="1" t="s">
        <v>294</v>
      </c>
      <c r="C45" s="1" t="s">
        <v>403</v>
      </c>
      <c r="D45" s="1" t="s">
        <v>1179</v>
      </c>
      <c r="E45" s="1" t="s">
        <v>306</v>
      </c>
      <c r="F45" s="195" t="s">
        <v>1265</v>
      </c>
      <c r="G45" s="159" t="str">
        <f>_xlfn.XLOOKUP(ITEquipmentTable[[#This Row],[Name]], IntuneData[Device name], IntuneData[Serial number], "")</f>
        <v/>
      </c>
      <c r="H45" s="168"/>
      <c r="I45" s="168"/>
      <c r="J45" s="168"/>
      <c r="K45" s="154" t="s">
        <v>508</v>
      </c>
      <c r="L45" s="159" t="str">
        <f>_xlfn.LET(
_xlpm.look, _xlfn.XLOOKUP(ITEquipmentTable[[#This Row],[Name]], VNCTable[ClientName], VNCTable[IP], ""),
_xlpm.chkk, IF(ITEquipmentTable[[#This Row],[IPv4 Address]] = "N/A", "N/A", _xlpm.look),
IF(ITEquipmentTable[[#This Row],[Name]] = "", "", _xlpm.chkk))</f>
        <v/>
      </c>
      <c r="M45" s="168" t="s">
        <v>1266</v>
      </c>
      <c r="N45" s="161" t="str">
        <f>_xlfn.LET(_xlpm.emp, IF(_xlfn.XLOOKUP(ITEquipmentTable[[#This Row],[Assigned Employee]], EmployeeTable[name], EmployeeTable[Active], TRUE), "Employee", "Recover"),
IF(ITEquipmentTable[[#This Row],[Storage Location]] = "Assigned to Employee", _xlpm.emp, "N/A"))</f>
        <v>N/A</v>
      </c>
      <c r="O45" s="161" t="str" cm="1">
        <f t="array" ref="O4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5" s="168"/>
      <c r="R45" s="168"/>
      <c r="S45" s="1" t="s">
        <v>405</v>
      </c>
      <c r="T45" s="194"/>
      <c r="U45"/>
      <c r="V45"/>
      <c r="X45" s="1">
        <v>1898</v>
      </c>
      <c r="Y45" s="223" t="s">
        <v>510</v>
      </c>
      <c r="Z45" s="1" t="b">
        <v>1</v>
      </c>
      <c r="AA45"/>
    </row>
    <row r="46" spans="1:27" s="1" customFormat="1" hidden="1" x14ac:dyDescent="0.2">
      <c r="A46" s="155">
        <v>36</v>
      </c>
      <c r="B46" s="1" t="s">
        <v>294</v>
      </c>
      <c r="C46" s="1" t="s">
        <v>403</v>
      </c>
      <c r="D46" s="1" t="s">
        <v>1179</v>
      </c>
      <c r="E46" s="1" t="s">
        <v>306</v>
      </c>
      <c r="F46" s="195" t="s">
        <v>1268</v>
      </c>
      <c r="G46" s="159" t="str">
        <f>_xlfn.XLOOKUP(ITEquipmentTable[[#This Row],[Name]], IntuneData[Device name], IntuneData[Serial number], "")</f>
        <v/>
      </c>
      <c r="H46" s="168"/>
      <c r="I46" s="168"/>
      <c r="J46" s="168"/>
      <c r="K46" s="154" t="s">
        <v>508</v>
      </c>
      <c r="L46" s="159" t="str">
        <f>_xlfn.LET(
_xlpm.look, _xlfn.XLOOKUP(ITEquipmentTable[[#This Row],[Name]], VNCTable[ClientName], VNCTable[IP], ""),
_xlpm.chkk, IF(ITEquipmentTable[[#This Row],[IPv4 Address]] = "N/A", "N/A", _xlpm.look),
IF(ITEquipmentTable[[#This Row],[Name]] = "", "", _xlpm.chkk))</f>
        <v/>
      </c>
      <c r="M46" s="168" t="s">
        <v>1269</v>
      </c>
      <c r="N46" s="161" t="str">
        <f>_xlfn.LET(_xlpm.emp, IF(_xlfn.XLOOKUP(ITEquipmentTable[[#This Row],[Assigned Employee]], EmployeeTable[name], EmployeeTable[Active], TRUE), "Employee", "Recover"),
IF(ITEquipmentTable[[#This Row],[Storage Location]] = "Assigned to Employee", _xlpm.emp, "N/A"))</f>
        <v>N/A</v>
      </c>
      <c r="O46" s="161" t="str" cm="1">
        <f t="array" ref="O4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6" s="168"/>
      <c r="R46" s="168"/>
      <c r="S46" s="1" t="s">
        <v>405</v>
      </c>
      <c r="T46" s="194"/>
      <c r="U46"/>
      <c r="V46"/>
      <c r="X46" s="1">
        <v>1940</v>
      </c>
      <c r="Y46" s="223" t="s">
        <v>513</v>
      </c>
      <c r="Z46" s="1" t="b">
        <v>1</v>
      </c>
      <c r="AA46"/>
    </row>
    <row r="47" spans="1:27" s="1" customFormat="1" hidden="1" x14ac:dyDescent="0.2">
      <c r="A47" s="155">
        <v>37</v>
      </c>
      <c r="B47" s="1" t="s">
        <v>294</v>
      </c>
      <c r="C47" s="1" t="s">
        <v>403</v>
      </c>
      <c r="D47" s="1" t="s">
        <v>656</v>
      </c>
      <c r="E47" s="1" t="s">
        <v>306</v>
      </c>
      <c r="F47" s="195" t="s">
        <v>1271</v>
      </c>
      <c r="G47" s="159" t="str">
        <f>_xlfn.XLOOKUP(ITEquipmentTable[[#This Row],[Name]], IntuneData[Device name], IntuneData[Serial number], "")</f>
        <v/>
      </c>
      <c r="H47" s="168"/>
      <c r="I47" s="168"/>
      <c r="J47" s="168"/>
      <c r="K47" s="154" t="s">
        <v>508</v>
      </c>
      <c r="L47" s="159" t="str">
        <f>_xlfn.LET(
_xlpm.look, _xlfn.XLOOKUP(ITEquipmentTable[[#This Row],[Name]], VNCTable[ClientName], VNCTable[IP], ""),
_xlpm.chkk, IF(ITEquipmentTable[[#This Row],[IPv4 Address]] = "N/A", "N/A", _xlpm.look),
IF(ITEquipmentTable[[#This Row],[Name]] = "", "", _xlpm.chkk))</f>
        <v/>
      </c>
      <c r="M47" s="168" t="s">
        <v>1272</v>
      </c>
      <c r="N47" s="161" t="str">
        <f>_xlfn.LET(_xlpm.emp, IF(_xlfn.XLOOKUP(ITEquipmentTable[[#This Row],[Assigned Employee]], EmployeeTable[name], EmployeeTable[Active], TRUE), "Employee", "Recover"),
IF(ITEquipmentTable[[#This Row],[Storage Location]] = "Assigned to Employee", _xlpm.emp, "N/A"))</f>
        <v>N/A</v>
      </c>
      <c r="O47" s="161" t="str" cm="1">
        <f t="array" ref="O4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7" s="168"/>
      <c r="R47" s="168"/>
      <c r="S47" s="1" t="s">
        <v>405</v>
      </c>
      <c r="T47" s="194"/>
      <c r="U47"/>
      <c r="V47"/>
      <c r="X47" s="1">
        <v>1973</v>
      </c>
      <c r="Y47" s="223" t="s">
        <v>518</v>
      </c>
      <c r="Z47" s="1" t="b">
        <v>1</v>
      </c>
      <c r="AA47"/>
    </row>
    <row r="48" spans="1:27" s="1" customFormat="1" hidden="1" x14ac:dyDescent="0.2">
      <c r="A48" s="155">
        <v>605</v>
      </c>
      <c r="F48" s="195" t="s">
        <v>3223</v>
      </c>
      <c r="G48" s="164" t="str">
        <f>_xlfn.XLOOKUP(ITEquipmentTable[[#This Row],[Name]], IntuneData[Device name], IntuneData[Serial number], "")</f>
        <v>5CD328B53M</v>
      </c>
      <c r="K48" s="154"/>
      <c r="L48" s="164" t="str">
        <f>_xlfn.LET(
_xlpm.look, _xlfn.XLOOKUP(ITEquipmentTable[[#This Row],[Name]], VNCTable[ClientName], VNCTable[IP], ""),
_xlpm.chkk, IF(ITEquipmentTable[[#This Row],[IPv4 Address]] = "N/A", "N/A", _xlpm.look),
IF(ITEquipmentTable[[#This Row],[Name]] = "", "", _xlpm.chkk))</f>
        <v/>
      </c>
      <c r="M48" s="1" t="s">
        <v>1274</v>
      </c>
      <c r="N48" s="159" t="str">
        <f>_xlfn.LET(_xlpm.emp, IF(_xlfn.XLOOKUP(ITEquipmentTable[[#This Row],[Assigned Employee]], EmployeeTable[name], EmployeeTable[Active], TRUE), "Employee", "Recover"),
IF(ITEquipmentTable[[#This Row],[Storage Location]] = "Assigned to Employee", _xlpm.emp, "N/A"))</f>
        <v>N/A</v>
      </c>
      <c r="O48" s="161" t="str" cm="1">
        <f t="array" ref="O4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48" s="1" t="s">
        <v>298</v>
      </c>
      <c r="T48" s="194"/>
      <c r="U48"/>
      <c r="V48"/>
      <c r="X48" s="1">
        <v>2001</v>
      </c>
      <c r="Y48" s="223" t="s">
        <v>524</v>
      </c>
      <c r="Z48" s="1" t="b">
        <v>1</v>
      </c>
      <c r="AA48"/>
    </row>
    <row r="49" spans="1:27" s="1" customFormat="1" hidden="1" x14ac:dyDescent="0.2">
      <c r="A49" s="155">
        <v>39</v>
      </c>
      <c r="B49" s="1" t="s">
        <v>294</v>
      </c>
      <c r="C49" s="1" t="s">
        <v>403</v>
      </c>
      <c r="D49" s="1" t="s">
        <v>1179</v>
      </c>
      <c r="E49" s="1" t="s">
        <v>306</v>
      </c>
      <c r="F49" s="195" t="s">
        <v>1276</v>
      </c>
      <c r="G49" s="159" t="str">
        <f>_xlfn.XLOOKUP(ITEquipmentTable[[#This Row],[Name]], IntuneData[Device name], IntuneData[Serial number], "")</f>
        <v/>
      </c>
      <c r="H49" s="168"/>
      <c r="I49" s="168"/>
      <c r="J49" s="168"/>
      <c r="K49" s="154" t="s">
        <v>508</v>
      </c>
      <c r="L49" s="159" t="str">
        <f>_xlfn.LET(
_xlpm.look, _xlfn.XLOOKUP(ITEquipmentTable[[#This Row],[Name]], VNCTable[ClientName], VNCTable[IP], ""),
_xlpm.chkk, IF(ITEquipmentTable[[#This Row],[IPv4 Address]] = "N/A", "N/A", _xlpm.look),
IF(ITEquipmentTable[[#This Row],[Name]] = "", "", _xlpm.chkk))</f>
        <v/>
      </c>
      <c r="M49" s="168" t="s">
        <v>1277</v>
      </c>
      <c r="N49" s="161" t="str">
        <f>_xlfn.LET(_xlpm.emp, IF(_xlfn.XLOOKUP(ITEquipmentTable[[#This Row],[Assigned Employee]], EmployeeTable[name], EmployeeTable[Active], TRUE), "Employee", "Recover"),
IF(ITEquipmentTable[[#This Row],[Storage Location]] = "Assigned to Employee", _xlpm.emp, "N/A"))</f>
        <v>N/A</v>
      </c>
      <c r="O49" s="161" t="str" cm="1">
        <f t="array" ref="O4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9" s="168"/>
      <c r="R49" s="168"/>
      <c r="S49" s="1" t="s">
        <v>405</v>
      </c>
      <c r="T49" s="194"/>
      <c r="U49"/>
      <c r="V49"/>
      <c r="X49" s="1">
        <v>2003</v>
      </c>
      <c r="Y49" s="223" t="s">
        <v>527</v>
      </c>
      <c r="Z49" s="1" t="b">
        <v>1</v>
      </c>
      <c r="AA49"/>
    </row>
    <row r="50" spans="1:27" s="1" customFormat="1" hidden="1" x14ac:dyDescent="0.2">
      <c r="A50" s="155">
        <v>606</v>
      </c>
      <c r="B50" s="1" t="s">
        <v>304</v>
      </c>
      <c r="F50" s="195"/>
      <c r="G50" s="159" t="str">
        <f>_xlfn.XLOOKUP(ITEquipmentTable[[#This Row],[Name]], IntuneData[Device name], IntuneData[Serial number], "")</f>
        <v/>
      </c>
      <c r="K50" s="154"/>
      <c r="L50" s="159" t="str">
        <f>_xlfn.LET(
_xlpm.look, _xlfn.XLOOKUP(ITEquipmentTable[[#This Row],[Name]], VNCTable[ClientName], VNCTable[IP], ""),
_xlpm.chkk, IF(ITEquipmentTable[[#This Row],[IPv4 Address]] = "N/A", "N/A", _xlpm.look),
IF(ITEquipmentTable[[#This Row],[Name]] = "", "", _xlpm.chkk))</f>
        <v/>
      </c>
      <c r="M50" s="1" t="s">
        <v>1860</v>
      </c>
      <c r="N50" s="159" t="str">
        <f>_xlfn.LET(_xlpm.emp, IF(_xlfn.XLOOKUP(ITEquipmentTable[[#This Row],[Assigned Employee]], EmployeeTable[name], EmployeeTable[Active], TRUE), "Employee", "Recover"),
IF(ITEquipmentTable[[#This Row],[Storage Location]] = "Assigned to Employee", _xlpm.emp, "N/A"))</f>
        <v>N/A</v>
      </c>
      <c r="O50" s="161" t="str" cm="1">
        <f t="array" ref="O5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5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50" s="1" t="s">
        <v>298</v>
      </c>
      <c r="T50" s="194"/>
      <c r="U50"/>
      <c r="V50"/>
      <c r="X50" s="1">
        <v>2004</v>
      </c>
      <c r="Y50" s="223" t="s">
        <v>530</v>
      </c>
      <c r="Z50" s="1" t="b">
        <v>1</v>
      </c>
      <c r="AA50"/>
    </row>
    <row r="51" spans="1:27" s="1" customFormat="1" hidden="1" x14ac:dyDescent="0.2">
      <c r="A51" s="155">
        <v>607</v>
      </c>
      <c r="B51" s="1" t="s">
        <v>304</v>
      </c>
      <c r="F51" s="195"/>
      <c r="G51" s="159" t="str">
        <f>_xlfn.XLOOKUP(ITEquipmentTable[[#This Row],[Name]], IntuneData[Device name], IntuneData[Serial number], "")</f>
        <v/>
      </c>
      <c r="K51" s="154"/>
      <c r="L51" s="159" t="str">
        <f>_xlfn.LET(
_xlpm.look, _xlfn.XLOOKUP(ITEquipmentTable[[#This Row],[Name]], VNCTable[ClientName], VNCTable[IP], ""),
_xlpm.chkk, IF(ITEquipmentTable[[#This Row],[IPv4 Address]] = "N/A", "N/A", _xlpm.look),
IF(ITEquipmentTable[[#This Row],[Name]] = "", "", _xlpm.chkk))</f>
        <v/>
      </c>
      <c r="M51" s="1" t="s">
        <v>1861</v>
      </c>
      <c r="N51" s="159" t="str">
        <f>_xlfn.LET(_xlpm.emp, IF(_xlfn.XLOOKUP(ITEquipmentTable[[#This Row],[Assigned Employee]], EmployeeTable[name], EmployeeTable[Active], TRUE), "Employee", "Recover"),
IF(ITEquipmentTable[[#This Row],[Storage Location]] = "Assigned to Employee", _xlpm.emp, "N/A"))</f>
        <v>N/A</v>
      </c>
      <c r="O51" s="161" t="str" cm="1">
        <f t="array" ref="O5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5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51" s="1" t="s">
        <v>298</v>
      </c>
      <c r="T51" s="194"/>
      <c r="U51"/>
      <c r="V51"/>
      <c r="X51" s="1">
        <v>2010</v>
      </c>
      <c r="Y51" s="223" t="s">
        <v>533</v>
      </c>
      <c r="Z51" s="1" t="b">
        <v>1</v>
      </c>
      <c r="AA51"/>
    </row>
    <row r="52" spans="1:27" s="1" customFormat="1" hidden="1" x14ac:dyDescent="0.2">
      <c r="A52" s="155">
        <v>608</v>
      </c>
      <c r="B52" s="1" t="s">
        <v>304</v>
      </c>
      <c r="F52" s="195"/>
      <c r="G52" s="159" t="str">
        <f>_xlfn.XLOOKUP(ITEquipmentTable[[#This Row],[Name]], IntuneData[Device name], IntuneData[Serial number], "")</f>
        <v/>
      </c>
      <c r="K52" s="154"/>
      <c r="L52" s="159" t="str">
        <f>_xlfn.LET(
_xlpm.look, _xlfn.XLOOKUP(ITEquipmentTable[[#This Row],[Name]], VNCTable[ClientName], VNCTable[IP], ""),
_xlpm.chkk, IF(ITEquipmentTable[[#This Row],[IPv4 Address]] = "N/A", "N/A", _xlpm.look),
IF(ITEquipmentTable[[#This Row],[Name]] = "", "", _xlpm.chkk))</f>
        <v/>
      </c>
      <c r="M52" s="1" t="s">
        <v>1862</v>
      </c>
      <c r="N52" s="159" t="str">
        <f>_xlfn.LET(_xlpm.emp, IF(_xlfn.XLOOKUP(ITEquipmentTable[[#This Row],[Assigned Employee]], EmployeeTable[name], EmployeeTable[Active], TRUE), "Employee", "Recover"),
IF(ITEquipmentTable[[#This Row],[Storage Location]] = "Assigned to Employee", _xlpm.emp, "N/A"))</f>
        <v>N/A</v>
      </c>
      <c r="O52" s="161" t="str" cm="1">
        <f t="array" ref="O5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5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52" s="1" t="s">
        <v>298</v>
      </c>
      <c r="T52" s="194"/>
      <c r="U52"/>
      <c r="V52"/>
      <c r="X52" s="1">
        <v>2016</v>
      </c>
      <c r="Y52" s="223" t="s">
        <v>535</v>
      </c>
      <c r="Z52" s="1" t="b">
        <v>1</v>
      </c>
      <c r="AA52"/>
    </row>
    <row r="53" spans="1:27" s="1" customFormat="1" hidden="1" x14ac:dyDescent="0.2">
      <c r="A53" s="155">
        <v>509</v>
      </c>
      <c r="B53" s="1" t="s">
        <v>362</v>
      </c>
      <c r="C53" s="1" t="s">
        <v>308</v>
      </c>
      <c r="D53" s="1" t="s">
        <v>2037</v>
      </c>
      <c r="E53" s="1" t="s">
        <v>310</v>
      </c>
      <c r="F53" s="195" t="s">
        <v>2038</v>
      </c>
      <c r="G53" s="159" t="str">
        <f>_xlfn.XLOOKUP(ITEquipmentTable[[#This Row],[Name]], IntuneData[Device name], IntuneData[Serial number], "")</f>
        <v/>
      </c>
      <c r="K53" s="154" t="s">
        <v>226</v>
      </c>
      <c r="L53" s="164" t="str">
        <f>_xlfn.LET(
_xlpm.look, _xlfn.XLOOKUP(ITEquipmentTable[[#This Row],[Name]], VNCTable[ClientName], VNCTable[IP], ""),
_xlpm.chkk, IF(ITEquipmentTable[[#This Row],[IPv4 Address]] = "N/A", "N/A", _xlpm.look),
IF(ITEquipmentTable[[#This Row],[Name]] = "", "", _xlpm.chkk))</f>
        <v>N/A</v>
      </c>
      <c r="M53" s="1" t="s">
        <v>226</v>
      </c>
      <c r="N53" s="159" t="str">
        <f>_xlfn.LET(_xlpm.emp, IF(_xlfn.XLOOKUP(ITEquipmentTable[[#This Row],[Assigned Employee]], EmployeeTable[name], EmployeeTable[Active], TRUE), "Employee", "Recover"),
IF(ITEquipmentTable[[#This Row],[Storage Location]] = "Assigned to Employee", _xlpm.emp, "N/A"))</f>
        <v>N/A</v>
      </c>
      <c r="O53" s="159" t="str" cm="1">
        <f t="array" ref="O5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53" s="1" t="s">
        <v>2036</v>
      </c>
      <c r="R53" s="1" t="s">
        <v>324</v>
      </c>
      <c r="T53" s="194"/>
      <c r="U53"/>
      <c r="V53"/>
      <c r="X53" s="1">
        <v>2023</v>
      </c>
      <c r="Y53" s="223" t="s">
        <v>540</v>
      </c>
      <c r="Z53" s="1" t="b">
        <v>1</v>
      </c>
      <c r="AA53"/>
    </row>
    <row r="54" spans="1:27" s="1" customFormat="1" hidden="1" x14ac:dyDescent="0.2">
      <c r="A54" s="155">
        <v>112</v>
      </c>
      <c r="B54" s="1" t="s">
        <v>304</v>
      </c>
      <c r="C54" s="1" t="s">
        <v>308</v>
      </c>
      <c r="D54" s="1" t="s">
        <v>427</v>
      </c>
      <c r="E54" s="1" t="s">
        <v>310</v>
      </c>
      <c r="F54" s="195" t="s">
        <v>863</v>
      </c>
      <c r="G54" s="159" t="str">
        <f>_xlfn.XLOOKUP(ITEquipmentTable[[#This Row],[Name]], IntuneData[Device name], IntuneData[Serial number], "")</f>
        <v/>
      </c>
      <c r="H54" s="1" t="s">
        <v>295</v>
      </c>
      <c r="I54" s="1" t="s">
        <v>390</v>
      </c>
      <c r="K54" s="154" t="s">
        <v>864</v>
      </c>
      <c r="L54" s="159" t="str">
        <f>_xlfn.LET(
_xlpm.look, _xlfn.XLOOKUP(ITEquipmentTable[[#This Row],[Name]], VNCTable[ClientName], VNCTable[IP], ""),
_xlpm.chkk, IF(ITEquipmentTable[[#This Row],[IPv4 Address]] = "N/A", "N/A", _xlpm.look),
IF(ITEquipmentTable[[#This Row],[Name]] = "", "", _xlpm.chkk))</f>
        <v>10.68.134.170</v>
      </c>
      <c r="M54" s="1" t="s">
        <v>865</v>
      </c>
      <c r="N54" s="159" t="str">
        <f>_xlfn.LET(_xlpm.emp, IF(_xlfn.XLOOKUP(ITEquipmentTable[[#This Row],[Assigned Employee]], EmployeeTable[name], EmployeeTable[Active], TRUE), "Employee", "Recover"),
IF(ITEquipmentTable[[#This Row],[Storage Location]] = "Assigned to Employee", _xlpm.emp, "N/A"))</f>
        <v>N/A</v>
      </c>
      <c r="O54" s="159" t="str" cm="1">
        <f t="array" ref="O5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5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4" s="189" t="s">
        <v>312</v>
      </c>
      <c r="T54" s="194"/>
      <c r="U54"/>
      <c r="V54"/>
      <c r="X54" s="1">
        <v>2036</v>
      </c>
      <c r="Y54" s="223" t="s">
        <v>545</v>
      </c>
      <c r="Z54" s="1" t="b">
        <v>1</v>
      </c>
      <c r="AA54"/>
    </row>
    <row r="55" spans="1:27" s="1" customFormat="1" hidden="1" x14ac:dyDescent="0.2">
      <c r="A55" s="155">
        <v>903</v>
      </c>
      <c r="B55" s="1" t="s">
        <v>304</v>
      </c>
      <c r="C55" s="1" t="s">
        <v>308</v>
      </c>
      <c r="D55" s="1" t="s">
        <v>427</v>
      </c>
      <c r="E55" s="1" t="s">
        <v>310</v>
      </c>
      <c r="F55" s="195" t="s">
        <v>2127</v>
      </c>
      <c r="G55" s="159" t="str">
        <f>_xlfn.XLOOKUP(ITEquipmentTable[[#This Row],[Name]], IntuneData[Device name], IntuneData[Serial number], "")</f>
        <v/>
      </c>
      <c r="H55" s="1" t="s">
        <v>318</v>
      </c>
      <c r="K55" s="154" t="s">
        <v>226</v>
      </c>
      <c r="L55" s="159" t="str">
        <f>_xlfn.LET(
_xlpm.look, _xlfn.XLOOKUP(ITEquipmentTable[[#This Row],[Name]], VNCTable[ClientName], VNCTable[IP], ""),
_xlpm.chkk, IF(ITEquipmentTable[[#This Row],[IPv4 Address]] = "N/A", "N/A", _xlpm.look),
IF(ITEquipmentTable[[#This Row],[Name]] = "", "", _xlpm.chkk))</f>
        <v>N/A</v>
      </c>
      <c r="M55" s="1" t="s">
        <v>2128</v>
      </c>
      <c r="N55" s="161" t="str">
        <f>_xlfn.LET(_xlpm.emp, IF(_xlfn.XLOOKUP(ITEquipmentTable[[#This Row],[Assigned Employee]], EmployeeTable[name], EmployeeTable[Active], TRUE), "Employee", "Recover"),
IF(ITEquipmentTable[[#This Row],[Storage Location]] = "Assigned to Employee", _xlpm.emp, "N/A"))</f>
        <v>N/A</v>
      </c>
      <c r="O55" s="161" t="str" cm="1">
        <f t="array" ref="O5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5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5" s="1" t="s">
        <v>441</v>
      </c>
      <c r="R55" s="1" t="s">
        <v>351</v>
      </c>
      <c r="T55" s="194"/>
      <c r="U55"/>
      <c r="V55"/>
      <c r="X55" s="1">
        <v>2057</v>
      </c>
      <c r="Y55" s="223" t="s">
        <v>549</v>
      </c>
      <c r="Z55" s="1" t="b">
        <v>1</v>
      </c>
      <c r="AA55"/>
    </row>
    <row r="56" spans="1:27" s="1" customFormat="1" hidden="1" x14ac:dyDescent="0.2">
      <c r="A56" s="155">
        <v>148</v>
      </c>
      <c r="B56" s="1" t="s">
        <v>304</v>
      </c>
      <c r="C56" s="1" t="s">
        <v>308</v>
      </c>
      <c r="D56" s="1" t="s">
        <v>427</v>
      </c>
      <c r="E56" s="1" t="s">
        <v>310</v>
      </c>
      <c r="F56" s="195" t="s">
        <v>897</v>
      </c>
      <c r="G56" s="159" t="str">
        <f>_xlfn.XLOOKUP(ITEquipmentTable[[#This Row],[Name]], IntuneData[Device name], IntuneData[Serial number], "")</f>
        <v/>
      </c>
      <c r="H56" s="168" t="s">
        <v>318</v>
      </c>
      <c r="I56" s="168"/>
      <c r="J56" s="168"/>
      <c r="K56" s="154" t="s">
        <v>226</v>
      </c>
      <c r="L56" s="354" t="str">
        <f>_xlfn.LET(
_xlpm.look, _xlfn.XLOOKUP(ITEquipmentTable[[#This Row],[Name]], VNCTable[ClientName], VNCTable[IP], ""),
_xlpm.chkk, IF(ITEquipmentTable[[#This Row],[IPv4 Address]] = "N/A", "N/A", _xlpm.look),
IF(ITEquipmentTable[[#This Row],[Name]] = "", "", _xlpm.chkk))</f>
        <v/>
      </c>
      <c r="M56" s="168"/>
      <c r="N56" s="161" t="str">
        <f>_xlfn.LET(_xlpm.emp, IF(_xlfn.XLOOKUP(ITEquipmentTable[[#This Row],[Assigned Employee]], EmployeeTable[name], EmployeeTable[Active], TRUE), "Employee", "Recover"),
IF(ITEquipmentTable[[#This Row],[Storage Location]] = "Assigned to Employee", _xlpm.emp, "N/A"))</f>
        <v>N/A</v>
      </c>
      <c r="O56" s="161" t="str" cm="1">
        <f t="array" ref="O5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5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T56" s="194"/>
      <c r="U56"/>
      <c r="V56"/>
      <c r="X56" s="1">
        <v>2081</v>
      </c>
      <c r="Y56" s="223" t="s">
        <v>552</v>
      </c>
      <c r="Z56" s="1" t="b">
        <v>1</v>
      </c>
      <c r="AA56"/>
    </row>
    <row r="57" spans="1:27" s="1" customFormat="1" hidden="1" x14ac:dyDescent="0.2">
      <c r="A57" s="155">
        <v>45</v>
      </c>
      <c r="B57" s="189" t="s">
        <v>304</v>
      </c>
      <c r="C57" s="189" t="s">
        <v>308</v>
      </c>
      <c r="D57" s="189" t="s">
        <v>427</v>
      </c>
      <c r="E57" s="189" t="s">
        <v>310</v>
      </c>
      <c r="F57" s="201" t="s">
        <v>433</v>
      </c>
      <c r="G57" s="159" t="str">
        <f>_xlfn.XLOOKUP(ITEquipmentTable[[#This Row],[Name]], IntuneData[Device name], IntuneData[Serial number], "")</f>
        <v/>
      </c>
      <c r="H57" s="189"/>
      <c r="I57" s="189"/>
      <c r="J57" s="189"/>
      <c r="K57" s="219" t="s">
        <v>226</v>
      </c>
      <c r="L57" s="354" t="str">
        <f>_xlfn.LET(
_xlpm.look, _xlfn.XLOOKUP(ITEquipmentTable[[#This Row],[Name]], VNCTable[ClientName], VNCTable[IP], ""),
_xlpm.chkk, IF(ITEquipmentTable[[#This Row],[IPv4 Address]] = "N/A", "N/A", _xlpm.look),
IF(ITEquipmentTable[[#This Row],[Name]] = "", "", _xlpm.chkk))</f>
        <v/>
      </c>
      <c r="M57" s="189"/>
      <c r="N57" s="159" t="str">
        <f>_xlfn.LET(_xlpm.emp, IF(_xlfn.XLOOKUP(ITEquipmentTable[[#This Row],[Assigned Employee]], EmployeeTable[name], EmployeeTable[Active], TRUE), "Employee", "Recover"),
IF(ITEquipmentTable[[#This Row],[Storage Location]] = "Assigned to Employee", _xlpm.emp, "N/A"))</f>
        <v>N/A</v>
      </c>
      <c r="O57" s="159" t="str" cm="1">
        <f t="array" ref="O5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5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57" s="189"/>
      <c r="R57" s="189"/>
      <c r="S57" s="189"/>
      <c r="T57" s="194"/>
      <c r="U57"/>
      <c r="V57"/>
      <c r="X57" s="1">
        <v>2150</v>
      </c>
      <c r="Y57" s="223" t="s">
        <v>555</v>
      </c>
      <c r="Z57" s="1" t="b">
        <v>1</v>
      </c>
      <c r="AA57"/>
    </row>
    <row r="58" spans="1:27" s="1" customFormat="1" hidden="1" x14ac:dyDescent="0.2">
      <c r="A58" s="155">
        <v>412</v>
      </c>
      <c r="B58" s="1" t="s">
        <v>304</v>
      </c>
      <c r="C58" s="1" t="s">
        <v>308</v>
      </c>
      <c r="D58" s="1" t="s">
        <v>416</v>
      </c>
      <c r="E58" s="1" t="s">
        <v>310</v>
      </c>
      <c r="F58" s="195" t="s">
        <v>1518</v>
      </c>
      <c r="G58" s="159" t="str">
        <f>_xlfn.XLOOKUP(ITEquipmentTable[[#This Row],[Name]], IntuneData[Device name], IntuneData[Serial number], "")</f>
        <v/>
      </c>
      <c r="H58" s="189"/>
      <c r="I58" s="168"/>
      <c r="J58" s="168"/>
      <c r="K58" s="223"/>
      <c r="L58" s="354" t="str">
        <f>_xlfn.LET(
_xlpm.look, _xlfn.XLOOKUP(ITEquipmentTable[[#This Row],[Name]], VNCTable[ClientName], VNCTable[IP], ""),
_xlpm.chkk, IF(ITEquipmentTable[[#This Row],[IPv4 Address]] = "N/A", "N/A", _xlpm.look),
IF(ITEquipmentTable[[#This Row],[Name]] = "", "", _xlpm.chkk))</f>
        <v/>
      </c>
      <c r="M58" s="168"/>
      <c r="N58" s="161" t="str">
        <f>_xlfn.LET(_xlpm.emp, IF(_xlfn.XLOOKUP(ITEquipmentTable[[#This Row],[Assigned Employee]], EmployeeTable[name], EmployeeTable[Active], TRUE), "Employee", "Recover"),
IF(ITEquipmentTable[[#This Row],[Storage Location]] = "Assigned to Employee", _xlpm.emp, "N/A"))</f>
        <v>N/A</v>
      </c>
      <c r="O58" s="161" t="str" cm="1">
        <f t="array" ref="O5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5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58" s="168"/>
      <c r="R58" s="168"/>
      <c r="S58" s="1" t="s">
        <v>405</v>
      </c>
      <c r="T58" s="194"/>
      <c r="U58"/>
      <c r="V58"/>
      <c r="X58" s="1">
        <v>2193</v>
      </c>
      <c r="Y58" s="223" t="s">
        <v>558</v>
      </c>
      <c r="Z58" s="1" t="b">
        <v>1</v>
      </c>
      <c r="AA58"/>
    </row>
    <row r="59" spans="1:27" s="1" customFormat="1" hidden="1" x14ac:dyDescent="0.2">
      <c r="A59" s="155">
        <v>102</v>
      </c>
      <c r="B59" s="189" t="s">
        <v>304</v>
      </c>
      <c r="C59" s="1" t="s">
        <v>308</v>
      </c>
      <c r="D59" s="1" t="s">
        <v>416</v>
      </c>
      <c r="E59" s="1" t="s">
        <v>310</v>
      </c>
      <c r="F59" s="195" t="s">
        <v>1876</v>
      </c>
      <c r="G59" s="159" t="str">
        <f>_xlfn.XLOOKUP(ITEquipmentTable[[#This Row],[Name]], IntuneData[Device name], IntuneData[Serial number], "")</f>
        <v/>
      </c>
      <c r="H59" s="189" t="s">
        <v>318</v>
      </c>
      <c r="I59" s="189"/>
      <c r="J59" s="189"/>
      <c r="K59" s="219" t="s">
        <v>226</v>
      </c>
      <c r="L59" s="159" t="str">
        <f>_xlfn.LET(
_xlpm.look, _xlfn.XLOOKUP(ITEquipmentTable[[#This Row],[Name]], VNCTable[ClientName], VNCTable[IP], ""),
_xlpm.chkk, IF(ITEquipmentTable[[#This Row],[IPv4 Address]] = "N/A", "N/A", _xlpm.look),
IF(ITEquipmentTable[[#This Row],[Name]] = "", "", _xlpm.chkk))</f>
        <v>N/A</v>
      </c>
      <c r="M59" s="189" t="s">
        <v>1877</v>
      </c>
      <c r="N59" s="159" t="str">
        <f>_xlfn.LET(_xlpm.emp, IF(_xlfn.XLOOKUP(ITEquipmentTable[[#This Row],[Assigned Employee]], EmployeeTable[name], EmployeeTable[Active], TRUE), "Employee", "Recover"),
IF(ITEquipmentTable[[#This Row],[Storage Location]] = "Assigned to Employee", _xlpm.emp, "N/A"))</f>
        <v>N/A</v>
      </c>
      <c r="O59" s="159" t="str" cm="1">
        <f t="array" ref="O5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5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9" s="189" t="s">
        <v>441</v>
      </c>
      <c r="R59" s="189" t="s">
        <v>351</v>
      </c>
      <c r="S59" s="189"/>
      <c r="T59" s="194"/>
      <c r="U59"/>
      <c r="V59"/>
      <c r="X59" s="1">
        <v>2245</v>
      </c>
      <c r="Y59" s="223" t="s">
        <v>561</v>
      </c>
      <c r="Z59" s="1" t="b">
        <v>1</v>
      </c>
      <c r="AA59"/>
    </row>
    <row r="60" spans="1:27" s="1" customFormat="1" hidden="1" x14ac:dyDescent="0.2">
      <c r="A60" s="155">
        <v>894</v>
      </c>
      <c r="B60" s="1" t="s">
        <v>294</v>
      </c>
      <c r="C60" s="1" t="s">
        <v>308</v>
      </c>
      <c r="D60" s="1" t="s">
        <v>1188</v>
      </c>
      <c r="E60" s="1" t="s">
        <v>310</v>
      </c>
      <c r="F60" s="195" t="s">
        <v>1189</v>
      </c>
      <c r="G60" s="159" t="str">
        <f>_xlfn.XLOOKUP(ITEquipmentTable[[#This Row],[Name]], IntuneData[Device name], IntuneData[Serial number], "")</f>
        <v/>
      </c>
      <c r="H60" s="1" t="s">
        <v>348</v>
      </c>
      <c r="K60" s="154" t="s">
        <v>226</v>
      </c>
      <c r="L60" s="164" t="str">
        <f>_xlfn.LET(
_xlpm.look, _xlfn.XLOOKUP(ITEquipmentTable[[#This Row],[Name]], VNCTable[ClientName], VNCTable[IP], ""),
_xlpm.chkk, IF(ITEquipmentTable[[#This Row],[IPv4 Address]] = "N/A", "N/A", _xlpm.look),
IF(ITEquipmentTable[[#This Row],[Name]] = "", "", _xlpm.chkk))</f>
        <v>N/A</v>
      </c>
      <c r="M60" s="1" t="s">
        <v>1190</v>
      </c>
      <c r="N60" s="161" t="str">
        <f>_xlfn.LET(_xlpm.emp, IF(_xlfn.XLOOKUP(ITEquipmentTable[[#This Row],[Assigned Employee]], EmployeeTable[name], EmployeeTable[Active], TRUE), "Employee", "Recover"),
IF(ITEquipmentTable[[#This Row],[Storage Location]] = "Assigned to Employee", _xlpm.emp, "N/A"))</f>
        <v>N/A</v>
      </c>
      <c r="O60" s="161" t="str" cm="1">
        <f t="array" ref="O6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6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0" s="1" t="s">
        <v>1191</v>
      </c>
      <c r="R60" s="1" t="s">
        <v>351</v>
      </c>
      <c r="T60" s="194"/>
      <c r="U60"/>
      <c r="V60"/>
      <c r="X60" s="1">
        <v>2304</v>
      </c>
      <c r="Y60" s="223" t="s">
        <v>567</v>
      </c>
      <c r="Z60" s="1" t="b">
        <v>1</v>
      </c>
      <c r="AA60"/>
    </row>
    <row r="61" spans="1:27" s="1" customFormat="1" hidden="1" x14ac:dyDescent="0.2">
      <c r="A61" s="155">
        <v>54</v>
      </c>
      <c r="B61" s="1" t="s">
        <v>304</v>
      </c>
      <c r="C61" s="1" t="s">
        <v>308</v>
      </c>
      <c r="D61" s="1" t="s">
        <v>416</v>
      </c>
      <c r="E61" s="1" t="s">
        <v>310</v>
      </c>
      <c r="F61" s="195" t="s">
        <v>474</v>
      </c>
      <c r="G61" s="159" t="str">
        <f>_xlfn.XLOOKUP(ITEquipmentTable[[#This Row],[Name]], IntuneData[Device name], IntuneData[Serial number], "")</f>
        <v/>
      </c>
      <c r="H61" s="1" t="s">
        <v>295</v>
      </c>
      <c r="I61" s="1" t="s">
        <v>475</v>
      </c>
      <c r="K61" s="154" t="s">
        <v>3546</v>
      </c>
      <c r="L61" s="159" t="str">
        <f>_xlfn.LET(
_xlpm.look, _xlfn.XLOOKUP(ITEquipmentTable[[#This Row],[Name]], VNCTable[ClientName], VNCTable[IP], ""),
_xlpm.chkk, IF(ITEquipmentTable[[#This Row],[IPv4 Address]] = "N/A", "N/A", _xlpm.look),
IF(ITEquipmentTable[[#This Row],[Name]] = "", "", _xlpm.chkk))</f>
        <v>10.68.134.159</v>
      </c>
      <c r="M61" s="1" t="s">
        <v>476</v>
      </c>
      <c r="N61" s="159" t="str">
        <f>_xlfn.LET(_xlpm.emp, IF(_xlfn.XLOOKUP(ITEquipmentTable[[#This Row],[Assigned Employee]], EmployeeTable[name], EmployeeTable[Active], TRUE), "Employee", "Recover"),
IF(ITEquipmentTable[[#This Row],[Storage Location]] = "Assigned to Employee", _xlpm.emp, "N/A"))</f>
        <v>N/A</v>
      </c>
      <c r="O61" s="159" t="str" cm="1">
        <f t="array" ref="O6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6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1" s="189" t="s">
        <v>312</v>
      </c>
      <c r="T61" s="194"/>
      <c r="U61"/>
      <c r="V61"/>
      <c r="X61" s="1">
        <v>2346</v>
      </c>
      <c r="Y61" s="223" t="s">
        <v>571</v>
      </c>
      <c r="Z61" s="1" t="b">
        <v>1</v>
      </c>
      <c r="AA61"/>
    </row>
    <row r="62" spans="1:27" s="1" customFormat="1" hidden="1" x14ac:dyDescent="0.2">
      <c r="A62" s="155">
        <v>55</v>
      </c>
      <c r="B62" s="1" t="s">
        <v>304</v>
      </c>
      <c r="C62" s="1" t="s">
        <v>308</v>
      </c>
      <c r="D62" s="1" t="s">
        <v>416</v>
      </c>
      <c r="E62" s="1" t="s">
        <v>310</v>
      </c>
      <c r="F62" s="195" t="s">
        <v>484</v>
      </c>
      <c r="G62" s="159" t="str">
        <f>_xlfn.XLOOKUP(ITEquipmentTable[[#This Row],[Name]], IntuneData[Device name], IntuneData[Serial number], "")</f>
        <v/>
      </c>
      <c r="H62" s="1" t="s">
        <v>295</v>
      </c>
      <c r="I62" s="1" t="s">
        <v>475</v>
      </c>
      <c r="K62" s="154"/>
      <c r="L62" s="159" t="str">
        <f>_xlfn.LET(
_xlpm.look, _xlfn.XLOOKUP(ITEquipmentTable[[#This Row],[Name]], VNCTable[ClientName], VNCTable[IP], ""),
_xlpm.chkk, IF(ITEquipmentTable[[#This Row],[IPv4 Address]] = "N/A", "N/A", _xlpm.look),
IF(ITEquipmentTable[[#This Row],[Name]] = "", "", _xlpm.chkk))</f>
        <v/>
      </c>
      <c r="M62" s="1" t="s">
        <v>485</v>
      </c>
      <c r="N62" s="159" t="str">
        <f>_xlfn.LET(_xlpm.emp, IF(_xlfn.XLOOKUP(ITEquipmentTable[[#This Row],[Assigned Employee]], EmployeeTable[name], EmployeeTable[Active], TRUE), "Employee", "Recover"),
IF(ITEquipmentTable[[#This Row],[Storage Location]] = "Assigned to Employee", _xlpm.emp, "N/A"))</f>
        <v>N/A</v>
      </c>
      <c r="O62" s="159" t="str" cm="1">
        <f t="array" ref="O6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6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2" s="189" t="s">
        <v>312</v>
      </c>
      <c r="T62" s="194"/>
      <c r="U62"/>
      <c r="V62"/>
      <c r="X62" s="1">
        <v>2351</v>
      </c>
      <c r="Y62" s="223" t="s">
        <v>572</v>
      </c>
      <c r="Z62" s="1" t="b">
        <v>1</v>
      </c>
      <c r="AA62"/>
    </row>
    <row r="63" spans="1:27" s="1" customFormat="1" hidden="1" x14ac:dyDescent="0.2">
      <c r="A63" s="155">
        <v>57</v>
      </c>
      <c r="B63" s="1" t="s">
        <v>294</v>
      </c>
      <c r="C63" s="1" t="s">
        <v>403</v>
      </c>
      <c r="D63" s="1" t="s">
        <v>1175</v>
      </c>
      <c r="E63" s="1" t="s">
        <v>306</v>
      </c>
      <c r="F63" s="195" t="s">
        <v>1300</v>
      </c>
      <c r="G63" s="159" t="str">
        <f>_xlfn.XLOOKUP(ITEquipmentTable[[#This Row],[Name]], IntuneData[Device name], IntuneData[Serial number], "")</f>
        <v/>
      </c>
      <c r="H63" s="168"/>
      <c r="I63" s="168"/>
      <c r="J63" s="168"/>
      <c r="K63" s="154" t="s">
        <v>508</v>
      </c>
      <c r="L63" s="159" t="str">
        <f>_xlfn.LET(
_xlpm.look, _xlfn.XLOOKUP(ITEquipmentTable[[#This Row],[Name]], VNCTable[ClientName], VNCTable[IP], ""),
_xlpm.chkk, IF(ITEquipmentTable[[#This Row],[IPv4 Address]] = "N/A", "N/A", _xlpm.look),
IF(ITEquipmentTable[[#This Row],[Name]] = "", "", _xlpm.chkk))</f>
        <v/>
      </c>
      <c r="M63" s="168" t="s">
        <v>1301</v>
      </c>
      <c r="N63" s="161" t="str">
        <f>_xlfn.LET(_xlpm.emp, IF(_xlfn.XLOOKUP(ITEquipmentTable[[#This Row],[Assigned Employee]], EmployeeTable[name], EmployeeTable[Active], TRUE), "Employee", "Recover"),
IF(ITEquipmentTable[[#This Row],[Storage Location]] = "Assigned to Employee", _xlpm.emp, "N/A"))</f>
        <v>N/A</v>
      </c>
      <c r="O63" s="161" t="str" cm="1">
        <f t="array" ref="O6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6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63" s="168"/>
      <c r="R63" s="168"/>
      <c r="S63" s="1" t="s">
        <v>405</v>
      </c>
      <c r="T63" s="194"/>
      <c r="U63"/>
      <c r="V63"/>
      <c r="X63" s="1">
        <v>2352</v>
      </c>
      <c r="Y63" s="223" t="s">
        <v>575</v>
      </c>
      <c r="Z63" s="1" t="b">
        <v>1</v>
      </c>
      <c r="AA63"/>
    </row>
    <row r="64" spans="1:27" s="1" customFormat="1" hidden="1" x14ac:dyDescent="0.2">
      <c r="A64" s="155">
        <v>609</v>
      </c>
      <c r="B64" s="1" t="s">
        <v>294</v>
      </c>
      <c r="C64" s="1" t="s">
        <v>403</v>
      </c>
      <c r="E64" s="1" t="s">
        <v>306</v>
      </c>
      <c r="F64" s="195" t="s">
        <v>2967</v>
      </c>
      <c r="G64" s="164" t="str">
        <f>_xlfn.XLOOKUP(ITEquipmentTable[[#This Row],[Name]], IntuneData[Device name], IntuneData[Serial number], "")</f>
        <v>5CD224JFBW</v>
      </c>
      <c r="H64" s="1" t="s">
        <v>384</v>
      </c>
      <c r="J64" s="1" t="s">
        <v>608</v>
      </c>
      <c r="K64" s="154" t="s">
        <v>508</v>
      </c>
      <c r="L64" s="164" t="str">
        <f>_xlfn.LET(
_xlpm.look, _xlfn.XLOOKUP(ITEquipmentTable[[#This Row],[Name]], VNCTable[ClientName], VNCTable[IP], ""),
_xlpm.chkk, IF(ITEquipmentTable[[#This Row],[IPv4 Address]] = "N/A", "N/A", _xlpm.look),
IF(ITEquipmentTable[[#This Row],[Name]] = "", "", _xlpm.chkk))</f>
        <v/>
      </c>
      <c r="M64" s="1" t="s">
        <v>1303</v>
      </c>
      <c r="N64" s="159" t="str">
        <f>_xlfn.LET(_xlpm.emp, IF(_xlfn.XLOOKUP(ITEquipmentTable[[#This Row],[Assigned Employee]], EmployeeTable[name], EmployeeTable[Active], TRUE), "Employee", "Recover"),
IF(ITEquipmentTable[[#This Row],[Storage Location]] = "Assigned to Employee", _xlpm.emp, "N/A"))</f>
        <v>Employee</v>
      </c>
      <c r="O64" s="161" t="str" cm="1">
        <f t="array" ref="O6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6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64" s="1" t="s">
        <v>298</v>
      </c>
      <c r="T64" s="194"/>
      <c r="U64"/>
      <c r="V64"/>
      <c r="X64" s="1">
        <v>2362</v>
      </c>
      <c r="Y64" s="223" t="s">
        <v>579</v>
      </c>
      <c r="Z64" s="1" t="b">
        <v>1</v>
      </c>
      <c r="AA64"/>
    </row>
    <row r="65" spans="1:27" s="1" customFormat="1" hidden="1" x14ac:dyDescent="0.2">
      <c r="A65" s="155">
        <v>52</v>
      </c>
      <c r="B65" s="1" t="s">
        <v>304</v>
      </c>
      <c r="C65" s="1" t="s">
        <v>308</v>
      </c>
      <c r="D65" s="1" t="s">
        <v>416</v>
      </c>
      <c r="E65" s="1" t="s">
        <v>310</v>
      </c>
      <c r="F65" s="195" t="s">
        <v>466</v>
      </c>
      <c r="G65" s="159" t="str">
        <f>_xlfn.XLOOKUP(ITEquipmentTable[[#This Row],[Name]], IntuneData[Device name], IntuneData[Serial number], "")</f>
        <v/>
      </c>
      <c r="H65" s="1" t="s">
        <v>295</v>
      </c>
      <c r="I65" s="1" t="s">
        <v>467</v>
      </c>
      <c r="K65" s="154" t="s">
        <v>2743</v>
      </c>
      <c r="L65" s="159" t="str">
        <f>_xlfn.LET(
_xlpm.look, _xlfn.XLOOKUP(ITEquipmentTable[[#This Row],[Name]], VNCTable[ClientName], VNCTable[IP], ""),
_xlpm.chkk, IF(ITEquipmentTable[[#This Row],[IPv4 Address]] = "N/A", "N/A", _xlpm.look),
IF(ITEquipmentTable[[#This Row],[Name]] = "", "", _xlpm.chkk))</f>
        <v>10.68.134.157</v>
      </c>
      <c r="M65" s="1" t="s">
        <v>468</v>
      </c>
      <c r="N65" s="159" t="str">
        <f>_xlfn.LET(_xlpm.emp, IF(_xlfn.XLOOKUP(ITEquipmentTable[[#This Row],[Assigned Employee]], EmployeeTable[name], EmployeeTable[Active], TRUE), "Employee", "Recover"),
IF(ITEquipmentTable[[#This Row],[Storage Location]] = "Assigned to Employee", _xlpm.emp, "N/A"))</f>
        <v>N/A</v>
      </c>
      <c r="O65" s="159" t="str" cm="1">
        <f t="array" ref="O6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6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5" s="189" t="s">
        <v>312</v>
      </c>
      <c r="T65" s="194"/>
      <c r="U65"/>
      <c r="V65"/>
      <c r="X65" s="1">
        <v>2374</v>
      </c>
      <c r="Y65" s="223" t="s">
        <v>584</v>
      </c>
      <c r="Z65" s="1" t="b">
        <v>1</v>
      </c>
      <c r="AA65"/>
    </row>
    <row r="66" spans="1:27" s="1" customFormat="1" hidden="1" x14ac:dyDescent="0.2">
      <c r="A66" s="155">
        <v>469</v>
      </c>
      <c r="B66" s="189" t="s">
        <v>304</v>
      </c>
      <c r="F66" s="195"/>
      <c r="G66" s="159" t="str">
        <f>_xlfn.XLOOKUP(ITEquipmentTable[[#This Row],[Name]], IntuneData[Device name], IntuneData[Serial number], "")</f>
        <v/>
      </c>
      <c r="H66" s="189" t="s">
        <v>295</v>
      </c>
      <c r="I66" s="189" t="s">
        <v>1688</v>
      </c>
      <c r="J66" s="189"/>
      <c r="K66" s="154" t="s">
        <v>3598</v>
      </c>
      <c r="L66" s="159" t="str">
        <f>_xlfn.LET(
_xlpm.look, _xlfn.XLOOKUP(ITEquipmentTable[[#This Row],[Name]], VNCTable[ClientName], VNCTable[IP], ""),
_xlpm.chkk, IF(ITEquipmentTable[[#This Row],[IPv4 Address]] = "N/A", "N/A", _xlpm.look),
IF(ITEquipmentTable[[#This Row],[Name]] = "", "", _xlpm.chkk))</f>
        <v>10.68.89.222</v>
      </c>
      <c r="M66" s="189" t="s">
        <v>1689</v>
      </c>
      <c r="N66" s="159" t="str">
        <f>_xlfn.LET(_xlpm.emp, IF(_xlfn.XLOOKUP(ITEquipmentTable[[#This Row],[Assigned Employee]], EmployeeTable[name], EmployeeTable[Active], TRUE), "Employee", "Recover"),
IF(ITEquipmentTable[[#This Row],[Storage Location]] = "Assigned to Employee", _xlpm.emp, "N/A"))</f>
        <v>N/A</v>
      </c>
      <c r="O66" s="159" t="str" cm="1">
        <f t="array" ref="O6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6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66" s="193"/>
      <c r="R66" s="193" t="s">
        <v>312</v>
      </c>
      <c r="S66" s="189" t="s">
        <v>299</v>
      </c>
      <c r="T66" s="194"/>
      <c r="U66"/>
      <c r="V66"/>
      <c r="X66" s="1">
        <v>2397</v>
      </c>
      <c r="Y66" s="223" t="s">
        <v>586</v>
      </c>
      <c r="Z66" s="1" t="b">
        <v>1</v>
      </c>
      <c r="AA66"/>
    </row>
    <row r="67" spans="1:27" s="1" customFormat="1" hidden="1" x14ac:dyDescent="0.2">
      <c r="A67" s="155">
        <v>61</v>
      </c>
      <c r="B67" s="1" t="s">
        <v>304</v>
      </c>
      <c r="C67" s="1" t="s">
        <v>308</v>
      </c>
      <c r="D67" s="1" t="s">
        <v>416</v>
      </c>
      <c r="E67" s="1" t="s">
        <v>310</v>
      </c>
      <c r="F67" s="195" t="s">
        <v>541</v>
      </c>
      <c r="G67" s="159" t="str">
        <f>_xlfn.XLOOKUP(ITEquipmentTable[[#This Row],[Name]], IntuneData[Device name], IntuneData[Serial number], "")</f>
        <v/>
      </c>
      <c r="H67" s="1" t="s">
        <v>295</v>
      </c>
      <c r="I67" s="1" t="s">
        <v>542</v>
      </c>
      <c r="K67" s="154" t="s">
        <v>543</v>
      </c>
      <c r="L67" s="159" t="str">
        <f>_xlfn.LET(
_xlpm.look, _xlfn.XLOOKUP(ITEquipmentTable[[#This Row],[Name]], VNCTable[ClientName], VNCTable[IP], ""),
_xlpm.chkk, IF(ITEquipmentTable[[#This Row],[IPv4 Address]] = "N/A", "N/A", _xlpm.look),
IF(ITEquipmentTable[[#This Row],[Name]] = "", "", _xlpm.chkk))</f>
        <v>10.68.134.208</v>
      </c>
      <c r="M67" s="1" t="s">
        <v>544</v>
      </c>
      <c r="N67" s="159" t="str">
        <f>_xlfn.LET(_xlpm.emp, IF(_xlfn.XLOOKUP(ITEquipmentTable[[#This Row],[Assigned Employee]], EmployeeTable[name], EmployeeTable[Active], TRUE), "Employee", "Recover"),
IF(ITEquipmentTable[[#This Row],[Storage Location]] = "Assigned to Employee", _xlpm.emp, "N/A"))</f>
        <v>N/A</v>
      </c>
      <c r="O67" s="159" t="str" cm="1">
        <f t="array" ref="O6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6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7" s="189" t="s">
        <v>312</v>
      </c>
      <c r="T67" s="194"/>
      <c r="U67"/>
      <c r="V67"/>
      <c r="X67" s="1">
        <v>2399</v>
      </c>
      <c r="Y67" s="223" t="s">
        <v>589</v>
      </c>
      <c r="Z67" s="1" t="b">
        <v>1</v>
      </c>
      <c r="AA67"/>
    </row>
    <row r="68" spans="1:27" s="1" customFormat="1" hidden="1" x14ac:dyDescent="0.2">
      <c r="A68" s="155">
        <v>213</v>
      </c>
      <c r="B68" s="1" t="s">
        <v>304</v>
      </c>
      <c r="C68" s="1" t="s">
        <v>308</v>
      </c>
      <c r="D68" s="1" t="s">
        <v>416</v>
      </c>
      <c r="E68" s="1" t="s">
        <v>310</v>
      </c>
      <c r="F68" s="195" t="s">
        <v>882</v>
      </c>
      <c r="G68" s="159" t="str">
        <f>_xlfn.XLOOKUP(ITEquipmentTable[[#This Row],[Name]], IntuneData[Device name], IntuneData[Serial number], "")</f>
        <v/>
      </c>
      <c r="H68" s="1" t="s">
        <v>318</v>
      </c>
      <c r="K68" s="154" t="s">
        <v>226</v>
      </c>
      <c r="L68" s="159" t="str">
        <f>_xlfn.LET(
_xlpm.look, _xlfn.XLOOKUP(ITEquipmentTable[[#This Row],[Name]], VNCTable[ClientName], VNCTable[IP], ""),
_xlpm.chkk, IF(ITEquipmentTable[[#This Row],[IPv4 Address]] = "N/A", "N/A", _xlpm.look),
IF(ITEquipmentTable[[#This Row],[Name]] = "", "", _xlpm.chkk))</f>
        <v>N/A</v>
      </c>
      <c r="M68" s="1" t="s">
        <v>883</v>
      </c>
      <c r="N68" s="159" t="str">
        <f>_xlfn.LET(_xlpm.emp, IF(_xlfn.XLOOKUP(ITEquipmentTable[[#This Row],[Assigned Employee]], EmployeeTable[name], EmployeeTable[Active], TRUE), "Employee", "Recover"),
IF(ITEquipmentTable[[#This Row],[Storage Location]] = "Assigned to Employee", _xlpm.emp, "N/A"))</f>
        <v>N/A</v>
      </c>
      <c r="O68" s="159" t="str" cm="1">
        <f t="array" ref="O6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6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8" s="1" t="s">
        <v>441</v>
      </c>
      <c r="R68" s="189" t="s">
        <v>351</v>
      </c>
      <c r="S68" s="189"/>
      <c r="T68" s="194"/>
      <c r="U68"/>
      <c r="V68"/>
      <c r="X68" s="1">
        <v>2422</v>
      </c>
      <c r="Y68" s="223" t="s">
        <v>591</v>
      </c>
      <c r="Z68" s="1" t="b">
        <v>1</v>
      </c>
      <c r="AA68"/>
    </row>
    <row r="69" spans="1:27" s="1" customFormat="1" hidden="1" x14ac:dyDescent="0.2">
      <c r="A69" s="155">
        <v>641</v>
      </c>
      <c r="B69" s="1" t="s">
        <v>304</v>
      </c>
      <c r="C69" s="1" t="s">
        <v>308</v>
      </c>
      <c r="D69" s="1" t="s">
        <v>416</v>
      </c>
      <c r="E69" s="1" t="s">
        <v>310</v>
      </c>
      <c r="F69" s="195" t="s">
        <v>1584</v>
      </c>
      <c r="G69" s="159" t="str">
        <f>_xlfn.XLOOKUP(ITEquipmentTable[[#This Row],[Name]], IntuneData[Device name], IntuneData[Serial number], "")</f>
        <v>66KTJK2</v>
      </c>
      <c r="H69" s="1" t="s">
        <v>295</v>
      </c>
      <c r="I69" s="1" t="s">
        <v>1881</v>
      </c>
      <c r="K69" s="154" t="s">
        <v>508</v>
      </c>
      <c r="L69" s="159" t="str">
        <f>_xlfn.LET(
_xlpm.look, _xlfn.XLOOKUP(ITEquipmentTable[[#This Row],[Name]], VNCTable[ClientName], VNCTable[IP], ""),
_xlpm.chkk, IF(ITEquipmentTable[[#This Row],[IPv4 Address]] = "N/A", "N/A", _xlpm.look),
IF(ITEquipmentTable[[#This Row],[Name]] = "", "", _xlpm.chkk))</f>
        <v>DHCP</v>
      </c>
      <c r="M69" s="1" t="s">
        <v>1882</v>
      </c>
      <c r="N69" s="159" t="str">
        <f>_xlfn.LET(_xlpm.emp, IF(_xlfn.XLOOKUP(ITEquipmentTable[[#This Row],[Assigned Employee]], EmployeeTable[name], EmployeeTable[Active], TRUE), "Employee", "Recover"),
IF(ITEquipmentTable[[#This Row],[Storage Location]] = "Assigned to Employee", _xlpm.emp, "N/A"))</f>
        <v>N/A</v>
      </c>
      <c r="O69" s="161" t="str" cm="1">
        <f t="array" ref="O6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6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9" s="1" t="s">
        <v>312</v>
      </c>
      <c r="T69" s="194"/>
      <c r="U69"/>
      <c r="V69"/>
      <c r="X69" s="1">
        <v>3007</v>
      </c>
      <c r="Y69" s="223" t="s">
        <v>594</v>
      </c>
      <c r="Z69" s="1" t="b">
        <v>1</v>
      </c>
      <c r="AA69"/>
    </row>
    <row r="70" spans="1:27" s="1" customFormat="1" x14ac:dyDescent="0.2">
      <c r="A70" s="155">
        <v>913</v>
      </c>
      <c r="B70" s="1" t="s">
        <v>304</v>
      </c>
      <c r="C70" s="1" t="s">
        <v>403</v>
      </c>
      <c r="E70" s="1" t="s">
        <v>306</v>
      </c>
      <c r="F70" s="195"/>
      <c r="G70" s="159" t="str">
        <f>_xlfn.XLOOKUP(ITEquipmentTable[[#This Row],[Name]], IntuneData[Device name], IntuneData[Serial number], "")</f>
        <v/>
      </c>
      <c r="H70" s="1" t="s">
        <v>295</v>
      </c>
      <c r="I70" s="1" t="s">
        <v>2133</v>
      </c>
      <c r="K70" s="154" t="s">
        <v>374</v>
      </c>
      <c r="L70" s="159" t="str">
        <f>_xlfn.LET(
_xlpm.look, _xlfn.XLOOKUP(ITEquipmentTable[[#This Row],[Name]], VNCTable[ClientName], VNCTable[IP], ""),
_xlpm.chkk, IF(ITEquipmentTable[[#This Row],[IPv4 Address]] = "N/A", "N/A", _xlpm.look),
IF(ITEquipmentTable[[#This Row],[Name]] = "", "", _xlpm.chkk))</f>
        <v>10.68.134.96</v>
      </c>
      <c r="M70" s="1" t="s">
        <v>2134</v>
      </c>
      <c r="N70" s="161" t="str">
        <f>_xlfn.LET(_xlpm.emp, IF(_xlfn.XLOOKUP(ITEquipmentTable[[#This Row],[Assigned Employee]], EmployeeTable[name], EmployeeTable[Active], TRUE), "Employee", "Recover"),
IF(ITEquipmentTable[[#This Row],[Storage Location]] = "Assigned to Employee", _xlpm.emp, "N/A"))</f>
        <v>N/A</v>
      </c>
      <c r="O70" s="161" t="str" cm="1">
        <f t="array" ref="O7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7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0" s="1" t="s">
        <v>312</v>
      </c>
      <c r="S70" s="1" t="s">
        <v>313</v>
      </c>
      <c r="T70" s="194"/>
      <c r="U70"/>
      <c r="V70"/>
      <c r="X70" s="1">
        <v>4009</v>
      </c>
      <c r="Y70" s="223" t="s">
        <v>598</v>
      </c>
      <c r="Z70" s="1" t="b">
        <v>1</v>
      </c>
      <c r="AA70"/>
    </row>
    <row r="71" spans="1:27" s="1" customFormat="1" x14ac:dyDescent="0.2">
      <c r="A71" s="155">
        <v>914</v>
      </c>
      <c r="B71" s="1" t="s">
        <v>304</v>
      </c>
      <c r="C71" s="1" t="s">
        <v>403</v>
      </c>
      <c r="E71" s="1" t="s">
        <v>306</v>
      </c>
      <c r="F71" s="195"/>
      <c r="G71" s="159" t="str">
        <f>_xlfn.XLOOKUP(ITEquipmentTable[[#This Row],[Name]], IntuneData[Device name], IntuneData[Serial number], "")</f>
        <v/>
      </c>
      <c r="H71" s="1" t="s">
        <v>295</v>
      </c>
      <c r="I71" s="1" t="s">
        <v>2135</v>
      </c>
      <c r="K71" s="154" t="s">
        <v>2136</v>
      </c>
      <c r="L71" s="159" t="str">
        <f>_xlfn.LET(
_xlpm.look, _xlfn.XLOOKUP(ITEquipmentTable[[#This Row],[Name]], VNCTable[ClientName], VNCTable[IP], ""),
_xlpm.chkk, IF(ITEquipmentTable[[#This Row],[IPv4 Address]] = "N/A", "N/A", _xlpm.look),
IF(ITEquipmentTable[[#This Row],[Name]] = "", "", _xlpm.chkk))</f>
        <v>10.68.134.97</v>
      </c>
      <c r="M71" s="1" t="s">
        <v>2137</v>
      </c>
      <c r="N71" s="161" t="str">
        <f>_xlfn.LET(_xlpm.emp, IF(_xlfn.XLOOKUP(ITEquipmentTable[[#This Row],[Assigned Employee]], EmployeeTable[name], EmployeeTable[Active], TRUE), "Employee", "Recover"),
IF(ITEquipmentTable[[#This Row],[Storage Location]] = "Assigned to Employee", _xlpm.emp, "N/A"))</f>
        <v>N/A</v>
      </c>
      <c r="O71" s="161" t="str" cm="1">
        <f t="array" ref="O7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7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1" s="1" t="s">
        <v>312</v>
      </c>
      <c r="S71" s="1" t="s">
        <v>313</v>
      </c>
      <c r="T71" s="194"/>
      <c r="U71"/>
      <c r="V71"/>
      <c r="X71" s="1">
        <v>5004</v>
      </c>
      <c r="Y71" s="223" t="s">
        <v>602</v>
      </c>
      <c r="Z71" s="1" t="b">
        <v>1</v>
      </c>
      <c r="AA71"/>
    </row>
    <row r="72" spans="1:27" s="1" customFormat="1" hidden="1" x14ac:dyDescent="0.2">
      <c r="A72" s="155">
        <v>56</v>
      </c>
      <c r="B72" s="1" t="s">
        <v>304</v>
      </c>
      <c r="C72" s="1" t="s">
        <v>308</v>
      </c>
      <c r="D72" s="1" t="s">
        <v>416</v>
      </c>
      <c r="E72" s="1" t="s">
        <v>310</v>
      </c>
      <c r="F72" s="195" t="s">
        <v>487</v>
      </c>
      <c r="G72" s="159" t="str">
        <f>_xlfn.XLOOKUP(ITEquipmentTable[[#This Row],[Name]], IntuneData[Device name], IntuneData[Serial number], "")</f>
        <v/>
      </c>
      <c r="H72" s="1" t="s">
        <v>295</v>
      </c>
      <c r="I72" s="1" t="s">
        <v>488</v>
      </c>
      <c r="K72" s="154" t="s">
        <v>489</v>
      </c>
      <c r="L72" s="159" t="str">
        <f>_xlfn.LET(
_xlpm.look, _xlfn.XLOOKUP(ITEquipmentTable[[#This Row],[Name]], VNCTable[ClientName], VNCTable[IP], ""),
_xlpm.chkk, IF(ITEquipmentTable[[#This Row],[IPv4 Address]] = "N/A", "N/A", _xlpm.look),
IF(ITEquipmentTable[[#This Row],[Name]] = "", "", _xlpm.chkk))</f>
        <v/>
      </c>
      <c r="M72" s="1" t="s">
        <v>490</v>
      </c>
      <c r="N72" s="159" t="str">
        <f>_xlfn.LET(_xlpm.emp, IF(_xlfn.XLOOKUP(ITEquipmentTable[[#This Row],[Assigned Employee]], EmployeeTable[name], EmployeeTable[Active], TRUE), "Employee", "Recover"),
IF(ITEquipmentTable[[#This Row],[Storage Location]] = "Assigned to Employee", _xlpm.emp, "N/A"))</f>
        <v>N/A</v>
      </c>
      <c r="O72" s="159" t="str" cm="1">
        <f t="array" ref="O7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7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72" s="189" t="s">
        <v>312</v>
      </c>
      <c r="T72" s="194"/>
      <c r="U72"/>
      <c r="V72"/>
      <c r="X72" s="1">
        <v>5010</v>
      </c>
      <c r="Y72" s="223" t="s">
        <v>608</v>
      </c>
      <c r="Z72" s="1" t="b">
        <v>1</v>
      </c>
      <c r="AA72"/>
    </row>
    <row r="73" spans="1:27" s="1" customFormat="1" hidden="1" x14ac:dyDescent="0.2">
      <c r="A73" s="155">
        <v>62</v>
      </c>
      <c r="B73" s="189" t="s">
        <v>304</v>
      </c>
      <c r="F73" s="195"/>
      <c r="G73" s="159" t="str">
        <f>_xlfn.XLOOKUP(ITEquipmentTable[[#This Row],[Name]], IntuneData[Device name], IntuneData[Serial number], "")</f>
        <v/>
      </c>
      <c r="H73" s="189" t="s">
        <v>295</v>
      </c>
      <c r="I73" s="189" t="s">
        <v>546</v>
      </c>
      <c r="J73" s="189"/>
      <c r="K73" s="154" t="s">
        <v>547</v>
      </c>
      <c r="L73" s="159" t="str">
        <f>_xlfn.LET(
_xlpm.look, _xlfn.XLOOKUP(ITEquipmentTable[[#This Row],[Name]], VNCTable[ClientName], VNCTable[IP], ""),
_xlpm.chkk, IF(ITEquipmentTable[[#This Row],[IPv4 Address]] = "N/A", "N/A", _xlpm.look),
IF(ITEquipmentTable[[#This Row],[Name]] = "", "", _xlpm.chkk))</f>
        <v/>
      </c>
      <c r="M73" s="189" t="s">
        <v>548</v>
      </c>
      <c r="N73" s="159" t="str">
        <f>_xlfn.LET(_xlpm.emp, IF(_xlfn.XLOOKUP(ITEquipmentTable[[#This Row],[Assigned Employee]], EmployeeTable[name], EmployeeTable[Active], TRUE), "Employee", "Recover"),
IF(ITEquipmentTable[[#This Row],[Storage Location]] = "Assigned to Employee", _xlpm.emp, "N/A"))</f>
        <v>N/A</v>
      </c>
      <c r="O73" s="159" t="str" cm="1">
        <f t="array" ref="O7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7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73" s="193"/>
      <c r="R73" s="189" t="s">
        <v>312</v>
      </c>
      <c r="S73" s="189" t="s">
        <v>299</v>
      </c>
      <c r="T73" s="194"/>
      <c r="U73"/>
      <c r="V73"/>
      <c r="X73" s="1">
        <v>5012</v>
      </c>
      <c r="Y73" s="223" t="s">
        <v>610</v>
      </c>
      <c r="Z73" s="1" t="b">
        <v>1</v>
      </c>
      <c r="AA73"/>
    </row>
    <row r="74" spans="1:27" s="1" customFormat="1" hidden="1" x14ac:dyDescent="0.2">
      <c r="A74" s="155">
        <v>63</v>
      </c>
      <c r="B74" s="1" t="s">
        <v>304</v>
      </c>
      <c r="C74" s="168"/>
      <c r="D74" s="168"/>
      <c r="E74" s="168"/>
      <c r="F74" s="195"/>
      <c r="G74" s="159" t="str">
        <f>_xlfn.XLOOKUP(ITEquipmentTable[[#This Row],[Name]], IntuneData[Device name], IntuneData[Serial number], "")</f>
        <v/>
      </c>
      <c r="H74" s="168"/>
      <c r="I74" s="168"/>
      <c r="J74" s="168"/>
      <c r="K74" s="223"/>
      <c r="L74" s="159" t="str">
        <f>_xlfn.LET(
_xlpm.look, _xlfn.XLOOKUP(ITEquipmentTable[[#This Row],[Name]], VNCTable[ClientName], VNCTable[IP], ""),
_xlpm.chkk, IF(ITEquipmentTable[[#This Row],[IPv4 Address]] = "N/A", "N/A", _xlpm.look),
IF(ITEquipmentTable[[#This Row],[Name]] = "", "", _xlpm.chkk))</f>
        <v/>
      </c>
      <c r="M74" s="168" t="s">
        <v>550</v>
      </c>
      <c r="N74" s="161" t="str">
        <f>_xlfn.LET(_xlpm.emp, IF(_xlfn.XLOOKUP(ITEquipmentTable[[#This Row],[Assigned Employee]], EmployeeTable[name], EmployeeTable[Active], TRUE), "Employee", "Recover"),
IF(ITEquipmentTable[[#This Row],[Storage Location]] = "Assigned to Employee", _xlpm.emp, "N/A"))</f>
        <v>N/A</v>
      </c>
      <c r="O74" s="161" t="str" cm="1">
        <f t="array" ref="O7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7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74" s="168"/>
      <c r="R74" s="168"/>
      <c r="S74" s="1" t="s">
        <v>551</v>
      </c>
      <c r="T74" s="194"/>
      <c r="U74"/>
      <c r="V74"/>
      <c r="X74" s="1">
        <v>5015</v>
      </c>
      <c r="Y74" s="223" t="s">
        <v>613</v>
      </c>
      <c r="Z74" s="1" t="b">
        <v>1</v>
      </c>
      <c r="AA74"/>
    </row>
    <row r="75" spans="1:27" s="1" customFormat="1" x14ac:dyDescent="0.2">
      <c r="A75" s="155">
        <v>64</v>
      </c>
      <c r="B75" s="1" t="s">
        <v>304</v>
      </c>
      <c r="C75" s="1" t="s">
        <v>403</v>
      </c>
      <c r="D75" s="1" t="s">
        <v>568</v>
      </c>
      <c r="E75" s="1" t="s">
        <v>306</v>
      </c>
      <c r="F75" s="195" t="s">
        <v>569</v>
      </c>
      <c r="G75" s="159" t="str">
        <f>_xlfn.XLOOKUP(ITEquipmentTable[[#This Row],[Name]], IntuneData[Device name], IntuneData[Serial number], "")</f>
        <v/>
      </c>
      <c r="H75" s="1" t="s">
        <v>295</v>
      </c>
      <c r="I75" s="1" t="s">
        <v>390</v>
      </c>
      <c r="K75" s="154" t="s">
        <v>3525</v>
      </c>
      <c r="L75" s="159" t="str">
        <f>_xlfn.LET(
_xlpm.look, _xlfn.XLOOKUP(ITEquipmentTable[[#This Row],[Name]], VNCTable[ClientName], VNCTable[IP], ""),
_xlpm.chkk, IF(ITEquipmentTable[[#This Row],[IPv4 Address]] = "N/A", "N/A", _xlpm.look),
IF(ITEquipmentTable[[#This Row],[Name]] = "", "", _xlpm.chkk))</f>
        <v>10.68.134.65</v>
      </c>
      <c r="M75" s="1" t="s">
        <v>570</v>
      </c>
      <c r="N75" s="159" t="str">
        <f>_xlfn.LET(_xlpm.emp, IF(_xlfn.XLOOKUP(ITEquipmentTable[[#This Row],[Assigned Employee]], EmployeeTable[name], EmployeeTable[Active], TRUE), "Employee", "Recover"),
IF(ITEquipmentTable[[#This Row],[Storage Location]] = "Assigned to Employee", _xlpm.emp, "N/A"))</f>
        <v>N/A</v>
      </c>
      <c r="O75" s="159" t="str" cm="1">
        <f t="array" ref="O7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7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75" s="189" t="s">
        <v>312</v>
      </c>
      <c r="S75" s="189"/>
      <c r="T75" s="194"/>
      <c r="U75"/>
      <c r="V75"/>
      <c r="X75" s="1">
        <v>6016</v>
      </c>
      <c r="Y75" s="223" t="s">
        <v>617</v>
      </c>
      <c r="Z75" s="1" t="b">
        <v>1</v>
      </c>
      <c r="AA75"/>
    </row>
    <row r="76" spans="1:27" s="1" customFormat="1" hidden="1" x14ac:dyDescent="0.2">
      <c r="A76" s="155">
        <v>66</v>
      </c>
      <c r="B76" s="189" t="s">
        <v>304</v>
      </c>
      <c r="F76" s="195"/>
      <c r="G76" s="159" t="str">
        <f>_xlfn.XLOOKUP(ITEquipmentTable[[#This Row],[Name]], IntuneData[Device name], IntuneData[Serial number], "")</f>
        <v/>
      </c>
      <c r="H76" s="189" t="s">
        <v>295</v>
      </c>
      <c r="I76" s="189" t="s">
        <v>599</v>
      </c>
      <c r="J76" s="189"/>
      <c r="K76" s="154" t="s">
        <v>600</v>
      </c>
      <c r="L76" s="159" t="str">
        <f>_xlfn.LET(
_xlpm.look, _xlfn.XLOOKUP(ITEquipmentTable[[#This Row],[Name]], VNCTable[ClientName], VNCTable[IP], ""),
_xlpm.chkk, IF(ITEquipmentTable[[#This Row],[IPv4 Address]] = "N/A", "N/A", _xlpm.look),
IF(ITEquipmentTable[[#This Row],[Name]] = "", "", _xlpm.chkk))</f>
        <v/>
      </c>
      <c r="M76" s="189" t="s">
        <v>601</v>
      </c>
      <c r="N76" s="159" t="str">
        <f>_xlfn.LET(_xlpm.emp, IF(_xlfn.XLOOKUP(ITEquipmentTable[[#This Row],[Assigned Employee]], EmployeeTable[name], EmployeeTable[Active], TRUE), "Employee", "Recover"),
IF(ITEquipmentTable[[#This Row],[Storage Location]] = "Assigned to Employee", _xlpm.emp, "N/A"))</f>
        <v>N/A</v>
      </c>
      <c r="O76" s="159" t="str" cm="1">
        <f t="array" ref="O7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7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76" s="193"/>
      <c r="R76" s="189" t="s">
        <v>312</v>
      </c>
      <c r="S76" s="189" t="s">
        <v>299</v>
      </c>
      <c r="T76" s="194"/>
      <c r="U76"/>
      <c r="V76"/>
      <c r="X76" s="1">
        <v>6660</v>
      </c>
      <c r="Y76" s="223" t="s">
        <v>619</v>
      </c>
      <c r="Z76" s="1" t="b">
        <v>1</v>
      </c>
      <c r="AA76"/>
    </row>
    <row r="77" spans="1:27" s="1" customFormat="1" hidden="1" x14ac:dyDescent="0.2">
      <c r="A77" s="155">
        <v>53</v>
      </c>
      <c r="B77" s="1" t="s">
        <v>304</v>
      </c>
      <c r="C77" s="1" t="s">
        <v>308</v>
      </c>
      <c r="D77" s="1" t="s">
        <v>416</v>
      </c>
      <c r="E77" s="1" t="s">
        <v>310</v>
      </c>
      <c r="F77" s="195" t="s">
        <v>470</v>
      </c>
      <c r="G77" s="159" t="str">
        <f>_xlfn.XLOOKUP(ITEquipmentTable[[#This Row],[Name]], IntuneData[Device name], IntuneData[Serial number], "")</f>
        <v/>
      </c>
      <c r="H77" s="1" t="s">
        <v>295</v>
      </c>
      <c r="I77" s="1" t="s">
        <v>471</v>
      </c>
      <c r="K77" s="154"/>
      <c r="L77" s="159" t="str">
        <f>_xlfn.LET(
_xlpm.look, _xlfn.XLOOKUP(ITEquipmentTable[[#This Row],[Name]], VNCTable[ClientName], VNCTable[IP], ""),
_xlpm.chkk, IF(ITEquipmentTable[[#This Row],[IPv4 Address]] = "N/A", "N/A", _xlpm.look),
IF(ITEquipmentTable[[#This Row],[Name]] = "", "", _xlpm.chkk))</f>
        <v/>
      </c>
      <c r="M77" s="1" t="s">
        <v>472</v>
      </c>
      <c r="N77" s="159" t="str">
        <f>_xlfn.LET(_xlpm.emp, IF(_xlfn.XLOOKUP(ITEquipmentTable[[#This Row],[Assigned Employee]], EmployeeTable[name], EmployeeTable[Active], TRUE), "Employee", "Recover"),
IF(ITEquipmentTable[[#This Row],[Storage Location]] = "Assigned to Employee", _xlpm.emp, "N/A"))</f>
        <v>N/A</v>
      </c>
      <c r="O77" s="159" t="str" cm="1">
        <f t="array" ref="O7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7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77" s="189" t="s">
        <v>312</v>
      </c>
      <c r="T77" s="194"/>
      <c r="U77"/>
      <c r="V77"/>
      <c r="X77" s="1">
        <v>8656</v>
      </c>
      <c r="Y77" s="223" t="s">
        <v>622</v>
      </c>
      <c r="Z77" s="1" t="b">
        <v>1</v>
      </c>
      <c r="AA77"/>
    </row>
    <row r="78" spans="1:27" s="1" customFormat="1" hidden="1" x14ac:dyDescent="0.2">
      <c r="A78" s="155">
        <v>119</v>
      </c>
      <c r="B78" s="1" t="s">
        <v>294</v>
      </c>
      <c r="C78" s="1" t="s">
        <v>308</v>
      </c>
      <c r="D78" s="1" t="s">
        <v>1383</v>
      </c>
      <c r="E78" s="1" t="s">
        <v>310</v>
      </c>
      <c r="F78" s="195" t="s">
        <v>1384</v>
      </c>
      <c r="G78" s="159" t="str">
        <f>_xlfn.XLOOKUP(ITEquipmentTable[[#This Row],[Name]], IntuneData[Device name], IntuneData[Serial number], "")</f>
        <v/>
      </c>
      <c r="H78" s="168"/>
      <c r="I78" s="168"/>
      <c r="J78" s="168"/>
      <c r="K78" s="154" t="s">
        <v>508</v>
      </c>
      <c r="L78" s="159" t="str">
        <f>_xlfn.LET(
_xlpm.look, _xlfn.XLOOKUP(ITEquipmentTable[[#This Row],[Name]], VNCTable[ClientName], VNCTable[IP], ""),
_xlpm.chkk, IF(ITEquipmentTable[[#This Row],[IPv4 Address]] = "N/A", "N/A", _xlpm.look),
IF(ITEquipmentTable[[#This Row],[Name]] = "", "", _xlpm.chkk))</f>
        <v/>
      </c>
      <c r="M78" s="168" t="s">
        <v>1385</v>
      </c>
      <c r="N78" s="161" t="str">
        <f>_xlfn.LET(_xlpm.emp, IF(_xlfn.XLOOKUP(ITEquipmentTable[[#This Row],[Assigned Employee]], EmployeeTable[name], EmployeeTable[Active], TRUE), "Employee", "Recover"),
IF(ITEquipmentTable[[#This Row],[Storage Location]] = "Assigned to Employee", _xlpm.emp, "N/A"))</f>
        <v>N/A</v>
      </c>
      <c r="O78" s="161" t="str" cm="1">
        <f t="array" ref="O7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7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78" s="1" t="s">
        <v>405</v>
      </c>
      <c r="T78" s="194"/>
      <c r="U78"/>
      <c r="V78"/>
      <c r="X78" s="1">
        <v>8693</v>
      </c>
      <c r="Y78" s="223" t="s">
        <v>625</v>
      </c>
      <c r="Z78" s="1" t="b">
        <v>1</v>
      </c>
      <c r="AA78"/>
    </row>
    <row r="79" spans="1:27" s="1" customFormat="1" hidden="1" x14ac:dyDescent="0.2">
      <c r="A79" s="155">
        <v>81</v>
      </c>
      <c r="B79" s="1" t="s">
        <v>304</v>
      </c>
      <c r="C79" s="1" t="s">
        <v>308</v>
      </c>
      <c r="D79" s="1" t="s">
        <v>309</v>
      </c>
      <c r="E79" s="1" t="s">
        <v>310</v>
      </c>
      <c r="F79" s="195" t="s">
        <v>726</v>
      </c>
      <c r="G79" s="159" t="str">
        <f>_xlfn.XLOOKUP(ITEquipmentTable[[#This Row],[Name]], IntuneData[Device name], IntuneData[Serial number], "")</f>
        <v/>
      </c>
      <c r="K79" s="154" t="s">
        <v>226</v>
      </c>
      <c r="L79" s="354" t="str">
        <f>_xlfn.LET(
_xlpm.look, _xlfn.XLOOKUP(ITEquipmentTable[[#This Row],[Name]], VNCTable[ClientName], VNCTable[IP], ""),
_xlpm.chkk, IF(ITEquipmentTable[[#This Row],[IPv4 Address]] = "N/A", "N/A", _xlpm.look),
IF(ITEquipmentTable[[#This Row],[Name]] = "", "", _xlpm.chkk))</f>
        <v/>
      </c>
      <c r="N79" s="159" t="str">
        <f>_xlfn.LET(_xlpm.emp, IF(_xlfn.XLOOKUP(ITEquipmentTable[[#This Row],[Assigned Employee]], EmployeeTable[name], EmployeeTable[Active], TRUE), "Employee", "Recover"),
IF(ITEquipmentTable[[#This Row],[Storage Location]] = "Assigned to Employee", _xlpm.emp, "N/A"))</f>
        <v>N/A</v>
      </c>
      <c r="O79" s="159" t="str" cm="1">
        <f t="array" ref="O7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9" s="189"/>
      <c r="S79" s="189"/>
      <c r="T79" s="194"/>
      <c r="U79"/>
      <c r="V79"/>
      <c r="X79" s="1">
        <v>8703</v>
      </c>
      <c r="Y79" s="223" t="s">
        <v>629</v>
      </c>
      <c r="Z79" s="1" t="b">
        <v>1</v>
      </c>
      <c r="AA79"/>
    </row>
    <row r="80" spans="1:27" s="1" customFormat="1" hidden="1" x14ac:dyDescent="0.2">
      <c r="A80" s="155">
        <v>71</v>
      </c>
      <c r="B80" s="189" t="s">
        <v>304</v>
      </c>
      <c r="F80" s="195"/>
      <c r="G80" s="159" t="str">
        <f>_xlfn.XLOOKUP(ITEquipmentTable[[#This Row],[Name]], IntuneData[Device name], IntuneData[Serial number], "")</f>
        <v/>
      </c>
      <c r="H80" s="189" t="s">
        <v>295</v>
      </c>
      <c r="I80" s="189" t="s">
        <v>620</v>
      </c>
      <c r="J80" s="189"/>
      <c r="K80" s="219"/>
      <c r="L80" s="159" t="str">
        <f>_xlfn.LET(
_xlpm.look, _xlfn.XLOOKUP(ITEquipmentTable[[#This Row],[Name]], VNCTable[ClientName], VNCTable[IP], ""),
_xlpm.chkk, IF(ITEquipmentTable[[#This Row],[IPv4 Address]] = "N/A", "N/A", _xlpm.look),
IF(ITEquipmentTable[[#This Row],[Name]] = "", "", _xlpm.chkk))</f>
        <v/>
      </c>
      <c r="M80" s="189" t="s">
        <v>621</v>
      </c>
      <c r="N80" s="159" t="str">
        <f>_xlfn.LET(_xlpm.emp, IF(_xlfn.XLOOKUP(ITEquipmentTable[[#This Row],[Assigned Employee]], EmployeeTable[name], EmployeeTable[Active], TRUE), "Employee", "Recover"),
IF(ITEquipmentTable[[#This Row],[Storage Location]] = "Assigned to Employee", _xlpm.emp, "N/A"))</f>
        <v>N/A</v>
      </c>
      <c r="O80" s="159" t="str" cm="1">
        <f t="array" ref="O8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8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80" s="193"/>
      <c r="R80" s="189" t="s">
        <v>312</v>
      </c>
      <c r="S80" s="189" t="s">
        <v>299</v>
      </c>
      <c r="T80" s="194"/>
      <c r="U80"/>
      <c r="V80"/>
      <c r="X80" s="1">
        <v>8704</v>
      </c>
      <c r="Y80" s="223" t="s">
        <v>631</v>
      </c>
      <c r="Z80" s="1" t="b">
        <v>1</v>
      </c>
      <c r="AA80"/>
    </row>
    <row r="81" spans="1:27" s="1" customFormat="1" hidden="1" x14ac:dyDescent="0.2">
      <c r="A81" s="155">
        <v>87</v>
      </c>
      <c r="B81" s="1" t="s">
        <v>304</v>
      </c>
      <c r="C81" s="1" t="s">
        <v>308</v>
      </c>
      <c r="D81" s="1" t="s">
        <v>309</v>
      </c>
      <c r="E81" s="1" t="s">
        <v>310</v>
      </c>
      <c r="F81" s="195" t="s">
        <v>763</v>
      </c>
      <c r="G81" s="159" t="str">
        <f>_xlfn.XLOOKUP(ITEquipmentTable[[#This Row],[Name]], IntuneData[Device name], IntuneData[Serial number], "")</f>
        <v/>
      </c>
      <c r="I81" s="1" t="s">
        <v>764</v>
      </c>
      <c r="K81" s="154"/>
      <c r="L81" s="159" t="str">
        <f>_xlfn.LET(
_xlpm.look, _xlfn.XLOOKUP(ITEquipmentTable[[#This Row],[Name]], VNCTable[ClientName], VNCTable[IP], ""),
_xlpm.chkk, IF(ITEquipmentTable[[#This Row],[IPv4 Address]] = "N/A", "N/A", _xlpm.look),
IF(ITEquipmentTable[[#This Row],[Name]] = "", "", _xlpm.chkk))</f>
        <v/>
      </c>
      <c r="N81" s="159" t="str">
        <f>_xlfn.LET(_xlpm.emp, IF(_xlfn.XLOOKUP(ITEquipmentTable[[#This Row],[Assigned Employee]], EmployeeTable[name], EmployeeTable[Active], TRUE), "Employee", "Recover"),
IF(ITEquipmentTable[[#This Row],[Storage Location]] = "Assigned to Employee", _xlpm.emp, "N/A"))</f>
        <v>N/A</v>
      </c>
      <c r="O81" s="159" t="str" cm="1">
        <f t="array" ref="O8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8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81" s="189" t="s">
        <v>312</v>
      </c>
      <c r="T81" s="194"/>
      <c r="U81"/>
      <c r="V81"/>
      <c r="X81" s="1">
        <v>8713</v>
      </c>
      <c r="Y81" s="223" t="s">
        <v>633</v>
      </c>
      <c r="Z81" s="1" t="b">
        <v>1</v>
      </c>
      <c r="AA81"/>
    </row>
    <row r="82" spans="1:27" s="1" customFormat="1" hidden="1" x14ac:dyDescent="0.2">
      <c r="A82" s="155">
        <v>83</v>
      </c>
      <c r="B82" s="1" t="s">
        <v>304</v>
      </c>
      <c r="C82" s="1" t="s">
        <v>308</v>
      </c>
      <c r="D82" s="1" t="s">
        <v>309</v>
      </c>
      <c r="E82" s="1" t="s">
        <v>310</v>
      </c>
      <c r="F82" s="195" t="s">
        <v>731</v>
      </c>
      <c r="G82" s="159" t="str">
        <f>_xlfn.XLOOKUP(ITEquipmentTable[[#This Row],[Name]], IntuneData[Device name], IntuneData[Serial number], "")</f>
        <v/>
      </c>
      <c r="I82" s="1" t="s">
        <v>732</v>
      </c>
      <c r="K82" s="154"/>
      <c r="L82" s="159" t="str">
        <f>_xlfn.LET(
_xlpm.look, _xlfn.XLOOKUP(ITEquipmentTable[[#This Row],[Name]], VNCTable[ClientName], VNCTable[IP], ""),
_xlpm.chkk, IF(ITEquipmentTable[[#This Row],[IPv4 Address]] = "N/A", "N/A", _xlpm.look),
IF(ITEquipmentTable[[#This Row],[Name]] = "", "", _xlpm.chkk))</f>
        <v/>
      </c>
      <c r="N82" s="159" t="str">
        <f>_xlfn.LET(_xlpm.emp, IF(_xlfn.XLOOKUP(ITEquipmentTable[[#This Row],[Assigned Employee]], EmployeeTable[name], EmployeeTable[Active], TRUE), "Employee", "Recover"),
IF(ITEquipmentTable[[#This Row],[Storage Location]] = "Assigned to Employee", _xlpm.emp, "N/A"))</f>
        <v>N/A</v>
      </c>
      <c r="O82" s="159" t="str" cm="1">
        <f t="array" ref="O8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8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82" s="189" t="s">
        <v>312</v>
      </c>
      <c r="T82" s="194"/>
      <c r="U82"/>
      <c r="V82"/>
      <c r="X82" s="1">
        <v>8718</v>
      </c>
      <c r="Y82" s="223" t="s">
        <v>638</v>
      </c>
      <c r="Z82" s="1" t="b">
        <v>1</v>
      </c>
      <c r="AA82"/>
    </row>
    <row r="83" spans="1:27" s="1" customFormat="1" hidden="1" x14ac:dyDescent="0.2">
      <c r="A83" s="155">
        <v>215</v>
      </c>
      <c r="B83" s="1" t="s">
        <v>304</v>
      </c>
      <c r="C83" s="1" t="s">
        <v>308</v>
      </c>
      <c r="D83" s="1" t="s">
        <v>309</v>
      </c>
      <c r="E83" s="1" t="s">
        <v>310</v>
      </c>
      <c r="F83" s="195" t="s">
        <v>965</v>
      </c>
      <c r="G83" s="159" t="str">
        <f>_xlfn.XLOOKUP(ITEquipmentTable[[#This Row],[Name]], IntuneData[Device name], IntuneData[Serial number], "")</f>
        <v/>
      </c>
      <c r="H83" s="168" t="s">
        <v>318</v>
      </c>
      <c r="I83" s="168"/>
      <c r="J83" s="168"/>
      <c r="K83" s="154" t="s">
        <v>226</v>
      </c>
      <c r="L83" s="354" t="str">
        <f>_xlfn.LET(
_xlpm.look, _xlfn.XLOOKUP(ITEquipmentTable[[#This Row],[Name]], VNCTable[ClientName], VNCTable[IP], ""),
_xlpm.chkk, IF(ITEquipmentTable[[#This Row],[IPv4 Address]] = "N/A", "N/A", _xlpm.look),
IF(ITEquipmentTable[[#This Row],[Name]] = "", "", _xlpm.chkk))</f>
        <v/>
      </c>
      <c r="M83" s="168"/>
      <c r="N83" s="161" t="str">
        <f>_xlfn.LET(_xlpm.emp, IF(_xlfn.XLOOKUP(ITEquipmentTable[[#This Row],[Assigned Employee]], EmployeeTable[name], EmployeeTable[Active], TRUE), "Employee", "Recover"),
IF(ITEquipmentTable[[#This Row],[Storage Location]] = "Assigned to Employee", _xlpm.emp, "N/A"))</f>
        <v>N/A</v>
      </c>
      <c r="O83" s="161" t="str" cm="1">
        <f t="array" ref="O8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8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83" s="168"/>
      <c r="R83" s="168" t="s">
        <v>312</v>
      </c>
      <c r="T83" s="194"/>
      <c r="U83"/>
      <c r="V83"/>
      <c r="X83" s="1">
        <v>8722</v>
      </c>
      <c r="Y83" s="223" t="s">
        <v>642</v>
      </c>
      <c r="Z83" s="1" t="b">
        <v>1</v>
      </c>
      <c r="AA83"/>
    </row>
    <row r="84" spans="1:27" s="1" customFormat="1" hidden="1" x14ac:dyDescent="0.2">
      <c r="A84" s="155">
        <v>611</v>
      </c>
      <c r="F84" s="195"/>
      <c r="G84" s="164" t="str">
        <f>_xlfn.XLOOKUP(ITEquipmentTable[[#This Row],[Name]], IntuneData[Device name], IntuneData[Serial number], "")</f>
        <v/>
      </c>
      <c r="K84" s="154"/>
      <c r="L84" s="164" t="str">
        <f>_xlfn.LET(
_xlpm.look, _xlfn.XLOOKUP(ITEquipmentTable[[#This Row],[Name]], VNCTable[ClientName], VNCTable[IP], ""),
_xlpm.chkk, IF(ITEquipmentTable[[#This Row],[IPv4 Address]] = "N/A", "N/A", _xlpm.look),
IF(ITEquipmentTable[[#This Row],[Name]] = "", "", _xlpm.chkk))</f>
        <v/>
      </c>
      <c r="M84" s="1" t="s">
        <v>1329</v>
      </c>
      <c r="N84" s="159" t="str">
        <f>_xlfn.LET(_xlpm.emp, IF(_xlfn.XLOOKUP(ITEquipmentTable[[#This Row],[Assigned Employee]], EmployeeTable[name], EmployeeTable[Active], TRUE), "Employee", "Recover"),
IF(ITEquipmentTable[[#This Row],[Storage Location]] = "Assigned to Employee", _xlpm.emp, "N/A"))</f>
        <v>N/A</v>
      </c>
      <c r="O84" s="161" t="str" cm="1">
        <f t="array" ref="O8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8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84" s="1" t="s">
        <v>298</v>
      </c>
      <c r="T84" s="194"/>
      <c r="U84"/>
      <c r="V84"/>
      <c r="X84" s="1">
        <v>8753</v>
      </c>
      <c r="Y84" s="223" t="s">
        <v>644</v>
      </c>
      <c r="Z84" s="1" t="b">
        <v>1</v>
      </c>
      <c r="AA84"/>
    </row>
    <row r="85" spans="1:27" s="1" customFormat="1" hidden="1" x14ac:dyDescent="0.2">
      <c r="A85" s="155">
        <v>77</v>
      </c>
      <c r="B85" s="189" t="s">
        <v>304</v>
      </c>
      <c r="C85" s="189" t="s">
        <v>308</v>
      </c>
      <c r="D85" s="1" t="s">
        <v>309</v>
      </c>
      <c r="E85" s="189" t="s">
        <v>310</v>
      </c>
      <c r="F85" s="201" t="s">
        <v>704</v>
      </c>
      <c r="G85" s="159" t="str">
        <f>_xlfn.XLOOKUP(ITEquipmentTable[[#This Row],[Name]], IntuneData[Device name], IntuneData[Serial number], "")</f>
        <v/>
      </c>
      <c r="H85" s="168"/>
      <c r="I85" s="189"/>
      <c r="J85" s="189"/>
      <c r="K85" s="154" t="s">
        <v>226</v>
      </c>
      <c r="L85" s="354" t="str">
        <f>_xlfn.LET(
_xlpm.look, _xlfn.XLOOKUP(ITEquipmentTable[[#This Row],[Name]], VNCTable[ClientName], VNCTable[IP], ""),
_xlpm.chkk, IF(ITEquipmentTable[[#This Row],[IPv4 Address]] = "N/A", "N/A", _xlpm.look),
IF(ITEquipmentTable[[#This Row],[Name]] = "", "", _xlpm.chkk))</f>
        <v/>
      </c>
      <c r="M85" s="189"/>
      <c r="N85" s="159" t="str">
        <f>_xlfn.LET(_xlpm.emp, IF(_xlfn.XLOOKUP(ITEquipmentTable[[#This Row],[Assigned Employee]], EmployeeTable[name], EmployeeTable[Active], TRUE), "Employee", "Recover"),
IF(ITEquipmentTable[[#This Row],[Storage Location]] = "Assigned to Employee", _xlpm.emp, "N/A"))</f>
        <v>N/A</v>
      </c>
      <c r="O85" s="159" t="str" cm="1">
        <f t="array" ref="O8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8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85" s="189"/>
      <c r="R85" s="189"/>
      <c r="S85" s="189"/>
      <c r="T85" s="194"/>
      <c r="U85"/>
      <c r="V85"/>
      <c r="X85" s="1">
        <v>8769</v>
      </c>
      <c r="Y85" s="223" t="s">
        <v>648</v>
      </c>
      <c r="Z85" s="1" t="b">
        <v>1</v>
      </c>
      <c r="AA85"/>
    </row>
    <row r="86" spans="1:27" s="1" customFormat="1" hidden="1" x14ac:dyDescent="0.2">
      <c r="A86" s="155">
        <v>74</v>
      </c>
      <c r="B86" s="1" t="s">
        <v>304</v>
      </c>
      <c r="C86" s="1" t="s">
        <v>308</v>
      </c>
      <c r="D86" s="1" t="s">
        <v>309</v>
      </c>
      <c r="E86" s="1" t="s">
        <v>310</v>
      </c>
      <c r="F86" s="195" t="s">
        <v>667</v>
      </c>
      <c r="G86" s="159" t="str">
        <f>_xlfn.XLOOKUP(ITEquipmentTable[[#This Row],[Name]], IntuneData[Device name], IntuneData[Serial number], "")</f>
        <v/>
      </c>
      <c r="H86" s="1" t="s">
        <v>295</v>
      </c>
      <c r="I86" s="1" t="s">
        <v>668</v>
      </c>
      <c r="K86" s="154" t="s">
        <v>3602</v>
      </c>
      <c r="L86" s="159" t="str">
        <f>_xlfn.LET(
_xlpm.look, _xlfn.XLOOKUP(ITEquipmentTable[[#This Row],[Name]], VNCTable[ClientName], VNCTable[IP], ""),
_xlpm.chkk, IF(ITEquipmentTable[[#This Row],[IPv4 Address]] = "N/A", "N/A", _xlpm.look),
IF(ITEquipmentTable[[#This Row],[Name]] = "", "", _xlpm.chkk))</f>
        <v>10.68.134.10</v>
      </c>
      <c r="M86" s="1" t="s">
        <v>669</v>
      </c>
      <c r="N86" s="159" t="str">
        <f>_xlfn.LET(_xlpm.emp, IF(_xlfn.XLOOKUP(ITEquipmentTable[[#This Row],[Assigned Employee]], EmployeeTable[name], EmployeeTable[Active], TRUE), "Employee", "Recover"),
IF(ITEquipmentTable[[#This Row],[Storage Location]] = "Assigned to Employee", _xlpm.emp, "N/A"))</f>
        <v>N/A</v>
      </c>
      <c r="O86" s="159" t="str" cm="1">
        <f t="array" ref="O8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8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86" s="189" t="s">
        <v>312</v>
      </c>
      <c r="S86" s="189"/>
      <c r="T86" s="194"/>
      <c r="U86"/>
      <c r="V86"/>
      <c r="X86" s="1">
        <v>8785</v>
      </c>
      <c r="Y86" s="223" t="s">
        <v>649</v>
      </c>
      <c r="Z86" s="1" t="b">
        <v>1</v>
      </c>
      <c r="AA86"/>
    </row>
    <row r="87" spans="1:27" s="1" customFormat="1" hidden="1" x14ac:dyDescent="0.2">
      <c r="A87" s="155">
        <v>270</v>
      </c>
      <c r="B87" s="189" t="s">
        <v>304</v>
      </c>
      <c r="C87" s="189" t="s">
        <v>308</v>
      </c>
      <c r="D87" s="1" t="s">
        <v>309</v>
      </c>
      <c r="E87" s="189" t="s">
        <v>310</v>
      </c>
      <c r="F87" s="201" t="s">
        <v>1122</v>
      </c>
      <c r="G87" s="159" t="str">
        <f>_xlfn.XLOOKUP(ITEquipmentTable[[#This Row],[Name]], IntuneData[Device name], IntuneData[Serial number], "")</f>
        <v/>
      </c>
      <c r="H87" s="189" t="s">
        <v>318</v>
      </c>
      <c r="I87" s="189"/>
      <c r="J87" s="189"/>
      <c r="K87" s="154" t="s">
        <v>226</v>
      </c>
      <c r="L87" s="354" t="str">
        <f>_xlfn.LET(
_xlpm.look, _xlfn.XLOOKUP(ITEquipmentTable[[#This Row],[Name]], VNCTable[ClientName], VNCTable[IP], ""),
_xlpm.chkk, IF(ITEquipmentTable[[#This Row],[IPv4 Address]] = "N/A", "N/A", _xlpm.look),
IF(ITEquipmentTable[[#This Row],[Name]] = "", "", _xlpm.chkk))</f>
        <v/>
      </c>
      <c r="M87" s="189"/>
      <c r="N87" s="159" t="str">
        <f>_xlfn.LET(_xlpm.emp, IF(_xlfn.XLOOKUP(ITEquipmentTable[[#This Row],[Assigned Employee]], EmployeeTable[name], EmployeeTable[Active], TRUE), "Employee", "Recover"),
IF(ITEquipmentTable[[#This Row],[Storage Location]] = "Assigned to Employee", _xlpm.emp, "N/A"))</f>
        <v>N/A</v>
      </c>
      <c r="O87" s="159" t="str" cm="1">
        <f t="array" ref="O8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8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87" s="189" t="s">
        <v>454</v>
      </c>
      <c r="R87" s="189" t="s">
        <v>351</v>
      </c>
      <c r="S87" s="189"/>
      <c r="T87" s="194"/>
      <c r="U87"/>
      <c r="V87"/>
      <c r="X87" s="1">
        <v>8819</v>
      </c>
      <c r="Y87" s="223" t="s">
        <v>652</v>
      </c>
      <c r="Z87" s="1" t="b">
        <v>1</v>
      </c>
      <c r="AA87"/>
    </row>
    <row r="88" spans="1:27" s="1" customFormat="1" hidden="1" x14ac:dyDescent="0.2">
      <c r="A88" s="155">
        <v>613</v>
      </c>
      <c r="B88" s="1" t="s">
        <v>304</v>
      </c>
      <c r="F88" s="195"/>
      <c r="G88" s="159" t="str">
        <f>_xlfn.XLOOKUP(ITEquipmentTable[[#This Row],[Name]], IntuneData[Device name], IntuneData[Serial number], "")</f>
        <v/>
      </c>
      <c r="K88" s="154" t="s">
        <v>226</v>
      </c>
      <c r="L88" s="159" t="str">
        <f>_xlfn.LET(
_xlpm.look, _xlfn.XLOOKUP(ITEquipmentTable[[#This Row],[Name]], VNCTable[ClientName], VNCTable[IP], ""),
_xlpm.chkk, IF(ITEquipmentTable[[#This Row],[IPv4 Address]] = "N/A", "N/A", _xlpm.look),
IF(ITEquipmentTable[[#This Row],[Name]] = "", "", _xlpm.chkk))</f>
        <v>N/A</v>
      </c>
      <c r="M88" s="1" t="s">
        <v>1866</v>
      </c>
      <c r="N88" s="159" t="str">
        <f>_xlfn.LET(_xlpm.emp, IF(_xlfn.XLOOKUP(ITEquipmentTable[[#This Row],[Assigned Employee]], EmployeeTable[name], EmployeeTable[Active], TRUE), "Employee", "Recover"),
IF(ITEquipmentTable[[#This Row],[Storage Location]] = "Assigned to Employee", _xlpm.emp, "N/A"))</f>
        <v>N/A</v>
      </c>
      <c r="O88" s="161" t="str" cm="1">
        <f t="array" ref="O8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8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88" s="1" t="s">
        <v>298</v>
      </c>
      <c r="T88" s="194"/>
      <c r="X88" s="1">
        <v>8826</v>
      </c>
      <c r="Y88" s="223" t="s">
        <v>655</v>
      </c>
      <c r="Z88" s="1" t="b">
        <v>1</v>
      </c>
      <c r="AA88"/>
    </row>
    <row r="89" spans="1:27" s="1" customFormat="1" hidden="1" x14ac:dyDescent="0.2">
      <c r="A89" s="155">
        <v>200</v>
      </c>
      <c r="B89" s="189" t="s">
        <v>304</v>
      </c>
      <c r="C89" s="189" t="s">
        <v>308</v>
      </c>
      <c r="D89" s="1" t="s">
        <v>309</v>
      </c>
      <c r="E89" s="189" t="s">
        <v>310</v>
      </c>
      <c r="F89" s="201" t="s">
        <v>1870</v>
      </c>
      <c r="G89" s="159" t="str">
        <f>_xlfn.XLOOKUP(ITEquipmentTable[[#This Row],[Name]], IntuneData[Device name], IntuneData[Serial number], "")</f>
        <v/>
      </c>
      <c r="H89" s="189" t="s">
        <v>295</v>
      </c>
      <c r="I89" s="189"/>
      <c r="J89" s="189"/>
      <c r="K89" s="219" t="s">
        <v>226</v>
      </c>
      <c r="L89" s="159" t="str">
        <f>_xlfn.LET(
_xlpm.look, _xlfn.XLOOKUP(ITEquipmentTable[[#This Row],[Name]], VNCTable[ClientName], VNCTable[IP], ""),
_xlpm.chkk, IF(ITEquipmentTable[[#This Row],[IPv4 Address]] = "N/A", "N/A", _xlpm.look),
IF(ITEquipmentTable[[#This Row],[Name]] = "", "", _xlpm.chkk))</f>
        <v>N/A</v>
      </c>
      <c r="M89" s="189" t="s">
        <v>3646</v>
      </c>
      <c r="N89" s="159" t="str">
        <f>_xlfn.LET(_xlpm.emp, IF(_xlfn.XLOOKUP(ITEquipmentTable[[#This Row],[Assigned Employee]], EmployeeTable[name], EmployeeTable[Active], TRUE), "Employee", "Recover"),
IF(ITEquipmentTable[[#This Row],[Storage Location]] = "Assigned to Employee", _xlpm.emp, "N/A"))</f>
        <v>N/A</v>
      </c>
      <c r="O89" s="159" t="str" cm="1">
        <f t="array" ref="O8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8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89" s="189"/>
      <c r="R89" s="189" t="s">
        <v>312</v>
      </c>
      <c r="S89" s="189"/>
      <c r="T89" s="194"/>
      <c r="X89" s="1">
        <v>8835</v>
      </c>
      <c r="Y89" s="223" t="s">
        <v>660</v>
      </c>
      <c r="Z89" s="1" t="b">
        <v>1</v>
      </c>
      <c r="AA89"/>
    </row>
    <row r="90" spans="1:27" s="1" customFormat="1" hidden="1" x14ac:dyDescent="0.2">
      <c r="A90" s="155">
        <v>201</v>
      </c>
      <c r="B90" s="1" t="s">
        <v>304</v>
      </c>
      <c r="C90" s="1" t="s">
        <v>308</v>
      </c>
      <c r="D90" s="1" t="s">
        <v>309</v>
      </c>
      <c r="E90" s="1" t="s">
        <v>310</v>
      </c>
      <c r="F90" s="195" t="s">
        <v>940</v>
      </c>
      <c r="G90" s="159" t="str">
        <f>_xlfn.XLOOKUP(ITEquipmentTable[[#This Row],[Name]], IntuneData[Device name], IntuneData[Serial number], "")</f>
        <v/>
      </c>
      <c r="H90" s="1" t="s">
        <v>295</v>
      </c>
      <c r="I90" s="1" t="s">
        <v>941</v>
      </c>
      <c r="K90" s="154"/>
      <c r="L90" s="159" t="str">
        <f>_xlfn.LET(
_xlpm.look, _xlfn.XLOOKUP(ITEquipmentTable[[#This Row],[Name]], VNCTable[ClientName], VNCTable[IP], ""),
_xlpm.chkk, IF(ITEquipmentTable[[#This Row],[IPv4 Address]] = "N/A", "N/A", _xlpm.look),
IF(ITEquipmentTable[[#This Row],[Name]] = "", "", _xlpm.chkk))</f>
        <v/>
      </c>
      <c r="M90" s="185" t="s">
        <v>942</v>
      </c>
      <c r="N90" s="235" t="str">
        <f>_xlfn.LET(_xlpm.emp, IF(_xlfn.XLOOKUP(ITEquipmentTable[[#This Row],[Assigned Employee]], EmployeeTable[name], EmployeeTable[Active], TRUE), "Employee", "Recover"),
IF(ITEquipmentTable[[#This Row],[Storage Location]] = "Assigned to Employee", _xlpm.emp, "N/A"))</f>
        <v>N/A</v>
      </c>
      <c r="O90" s="235" t="str" cm="1">
        <f t="array" ref="O9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90" s="235"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90" s="185"/>
      <c r="R90" s="189" t="s">
        <v>312</v>
      </c>
      <c r="S90" s="189"/>
      <c r="T90" s="194"/>
      <c r="X90" s="1">
        <v>8843</v>
      </c>
      <c r="Y90" s="223" t="s">
        <v>663</v>
      </c>
      <c r="Z90" s="1" t="b">
        <v>1</v>
      </c>
      <c r="AA90"/>
    </row>
    <row r="91" spans="1:27" s="1" customFormat="1" hidden="1" x14ac:dyDescent="0.2">
      <c r="A91" s="155">
        <v>117</v>
      </c>
      <c r="B91" s="1" t="s">
        <v>304</v>
      </c>
      <c r="C91" s="1" t="s">
        <v>308</v>
      </c>
      <c r="D91" s="1" t="s">
        <v>309</v>
      </c>
      <c r="E91" s="1" t="s">
        <v>310</v>
      </c>
      <c r="F91" s="195" t="s">
        <v>1871</v>
      </c>
      <c r="G91" s="159" t="str">
        <f>_xlfn.XLOOKUP(ITEquipmentTable[[#This Row],[Name]], IntuneData[Device name], IntuneData[Serial number], "")</f>
        <v/>
      </c>
      <c r="H91" s="168" t="s">
        <v>295</v>
      </c>
      <c r="I91" s="168" t="s">
        <v>1872</v>
      </c>
      <c r="J91" s="168"/>
      <c r="K91" s="223" t="s">
        <v>226</v>
      </c>
      <c r="L91" s="159" t="str">
        <f>_xlfn.LET(
_xlpm.look, _xlfn.XLOOKUP(ITEquipmentTable[[#This Row],[Name]], VNCTable[ClientName], VNCTable[IP], ""),
_xlpm.chkk, IF(ITEquipmentTable[[#This Row],[IPv4 Address]] = "N/A", "N/A", _xlpm.look),
IF(ITEquipmentTable[[#This Row],[Name]] = "", "", _xlpm.chkk))</f>
        <v>N/A</v>
      </c>
      <c r="M91" s="168" t="s">
        <v>1873</v>
      </c>
      <c r="N91" s="161" t="str">
        <f>_xlfn.LET(_xlpm.emp, IF(_xlfn.XLOOKUP(ITEquipmentTable[[#This Row],[Assigned Employee]], EmployeeTable[name], EmployeeTable[Active], TRUE), "Employee", "Recover"),
IF(ITEquipmentTable[[#This Row],[Storage Location]] = "Assigned to Employee", _xlpm.emp, "N/A"))</f>
        <v>N/A</v>
      </c>
      <c r="O91" s="161" t="str" cm="1">
        <f t="array" ref="O9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9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91" s="168" t="s">
        <v>441</v>
      </c>
      <c r="R91" s="168" t="s">
        <v>351</v>
      </c>
      <c r="T91" s="194"/>
      <c r="X91" s="1">
        <v>8850</v>
      </c>
      <c r="Y91" s="223" t="s">
        <v>666</v>
      </c>
      <c r="Z91" s="1" t="b">
        <v>1</v>
      </c>
      <c r="AA91"/>
    </row>
    <row r="92" spans="1:27" s="1" customFormat="1" hidden="1" x14ac:dyDescent="0.2">
      <c r="A92" s="155">
        <v>78</v>
      </c>
      <c r="B92" s="189" t="s">
        <v>304</v>
      </c>
      <c r="C92" s="189" t="s">
        <v>308</v>
      </c>
      <c r="D92" s="1" t="s">
        <v>309</v>
      </c>
      <c r="E92" s="189" t="s">
        <v>310</v>
      </c>
      <c r="F92" s="201" t="s">
        <v>706</v>
      </c>
      <c r="G92" s="159" t="str">
        <f>_xlfn.XLOOKUP(ITEquipmentTable[[#This Row],[Name]], IntuneData[Device name], IntuneData[Serial number], "")</f>
        <v/>
      </c>
      <c r="H92" s="168"/>
      <c r="I92" s="189"/>
      <c r="J92" s="189"/>
      <c r="K92" s="154" t="s">
        <v>226</v>
      </c>
      <c r="L92" s="354" t="str">
        <f>_xlfn.LET(
_xlpm.look, _xlfn.XLOOKUP(ITEquipmentTable[[#This Row],[Name]], VNCTable[ClientName], VNCTable[IP], ""),
_xlpm.chkk, IF(ITEquipmentTable[[#This Row],[IPv4 Address]] = "N/A", "N/A", _xlpm.look),
IF(ITEquipmentTable[[#This Row],[Name]] = "", "", _xlpm.chkk))</f>
        <v/>
      </c>
      <c r="M92" s="189"/>
      <c r="N92" s="159" t="str">
        <f>_xlfn.LET(_xlpm.emp, IF(_xlfn.XLOOKUP(ITEquipmentTable[[#This Row],[Assigned Employee]], EmployeeTable[name], EmployeeTable[Active], TRUE), "Employee", "Recover"),
IF(ITEquipmentTable[[#This Row],[Storage Location]] = "Assigned to Employee", _xlpm.emp, "N/A"))</f>
        <v>N/A</v>
      </c>
      <c r="O92" s="159" t="str" cm="1">
        <f t="array" ref="O9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9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92" s="189"/>
      <c r="R92" s="189"/>
      <c r="S92" s="189"/>
      <c r="T92" s="194"/>
      <c r="X92" s="1">
        <v>8878</v>
      </c>
      <c r="Y92" s="223" t="s">
        <v>670</v>
      </c>
      <c r="Z92" s="1" t="b">
        <v>1</v>
      </c>
      <c r="AA92"/>
    </row>
    <row r="93" spans="1:27" s="1" customFormat="1" hidden="1" x14ac:dyDescent="0.2">
      <c r="A93" s="155">
        <v>610</v>
      </c>
      <c r="B93" s="1" t="s">
        <v>304</v>
      </c>
      <c r="C93" s="1" t="s">
        <v>308</v>
      </c>
      <c r="D93" s="1" t="s">
        <v>309</v>
      </c>
      <c r="E93" s="1" t="s">
        <v>310</v>
      </c>
      <c r="F93" s="195" t="s">
        <v>902</v>
      </c>
      <c r="G93" s="159" t="str">
        <f>_xlfn.XLOOKUP(ITEquipmentTable[[#This Row],[Name]], IntuneData[Device name], IntuneData[Serial number], "")</f>
        <v>6M1BXH2</v>
      </c>
      <c r="H93" s="1" t="s">
        <v>295</v>
      </c>
      <c r="I93" s="1" t="s">
        <v>1863</v>
      </c>
      <c r="K93" s="154"/>
      <c r="L93" s="159" t="str">
        <f>_xlfn.LET(
_xlpm.look, _xlfn.XLOOKUP(ITEquipmentTable[[#This Row],[Name]], VNCTable[ClientName], VNCTable[IP], ""),
_xlpm.chkk, IF(ITEquipmentTable[[#This Row],[IPv4 Address]] = "N/A", "N/A", _xlpm.look),
IF(ITEquipmentTable[[#This Row],[Name]] = "", "", _xlpm.chkk))</f>
        <v/>
      </c>
      <c r="M93" s="1" t="s">
        <v>1864</v>
      </c>
      <c r="N93" s="159" t="str">
        <f>_xlfn.LET(_xlpm.emp, IF(_xlfn.XLOOKUP(ITEquipmentTable[[#This Row],[Assigned Employee]], EmployeeTable[name], EmployeeTable[Active], TRUE), "Employee", "Recover"),
IF(ITEquipmentTable[[#This Row],[Storage Location]] = "Assigned to Employee", _xlpm.emp, "N/A"))</f>
        <v>N/A</v>
      </c>
      <c r="O93" s="161" t="str" cm="1">
        <f t="array" ref="O9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9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T93" s="194"/>
      <c r="X93" s="1">
        <v>8901</v>
      </c>
      <c r="Y93" s="223" t="s">
        <v>674</v>
      </c>
      <c r="Z93" s="1" t="b">
        <v>1</v>
      </c>
      <c r="AA93"/>
    </row>
    <row r="94" spans="1:27" s="1" customFormat="1" hidden="1" x14ac:dyDescent="0.2">
      <c r="A94" s="155">
        <v>65</v>
      </c>
      <c r="B94" s="1" t="s">
        <v>304</v>
      </c>
      <c r="C94" s="1" t="s">
        <v>308</v>
      </c>
      <c r="D94" s="1" t="s">
        <v>309</v>
      </c>
      <c r="E94" s="1" t="s">
        <v>310</v>
      </c>
      <c r="F94" s="195" t="s">
        <v>2129</v>
      </c>
      <c r="G94" s="159" t="str">
        <f>_xlfn.XLOOKUP(ITEquipmentTable[[#This Row],[Name]], IntuneData[Device name], IntuneData[Serial number], "")</f>
        <v/>
      </c>
      <c r="H94" s="1" t="s">
        <v>318</v>
      </c>
      <c r="K94" s="154" t="s">
        <v>226</v>
      </c>
      <c r="L94" s="159" t="str">
        <f>_xlfn.LET(
_xlpm.look, _xlfn.XLOOKUP(ITEquipmentTable[[#This Row],[Name]], VNCTable[ClientName], VNCTable[IP], ""),
_xlpm.chkk, IF(ITEquipmentTable[[#This Row],[IPv4 Address]] = "N/A", "N/A", _xlpm.look),
IF(ITEquipmentTable[[#This Row],[Name]] = "", "", _xlpm.chkk))</f>
        <v>N/A</v>
      </c>
      <c r="M94" s="1" t="s">
        <v>2130</v>
      </c>
      <c r="N94" s="159" t="str">
        <f>_xlfn.LET(_xlpm.emp, IF(_xlfn.XLOOKUP(ITEquipmentTable[[#This Row],[Assigned Employee]], EmployeeTable[name], EmployeeTable[Active], TRUE), "Employee", "Recover"),
IF(ITEquipmentTable[[#This Row],[Storage Location]] = "Assigned to Employee", _xlpm.emp, "N/A"))</f>
        <v>N/A</v>
      </c>
      <c r="O94" s="159" t="str" cm="1">
        <f t="array" ref="O9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9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94" s="1" t="s">
        <v>441</v>
      </c>
      <c r="R94" s="1" t="s">
        <v>351</v>
      </c>
      <c r="T94" s="194"/>
      <c r="X94" s="1">
        <v>8930</v>
      </c>
      <c r="Y94" s="223" t="s">
        <v>678</v>
      </c>
      <c r="Z94" s="1" t="b">
        <v>1</v>
      </c>
      <c r="AA94"/>
    </row>
    <row r="95" spans="1:27" s="1" customFormat="1" hidden="1" x14ac:dyDescent="0.2">
      <c r="A95" s="155">
        <v>154</v>
      </c>
      <c r="B95" s="189" t="s">
        <v>304</v>
      </c>
      <c r="C95" s="189" t="s">
        <v>308</v>
      </c>
      <c r="D95" s="1" t="s">
        <v>309</v>
      </c>
      <c r="E95" s="189" t="s">
        <v>310</v>
      </c>
      <c r="F95" s="201" t="s">
        <v>907</v>
      </c>
      <c r="G95" s="159" t="str">
        <f>_xlfn.XLOOKUP(ITEquipmentTable[[#This Row],[Name]], IntuneData[Device name], IntuneData[Serial number], "")</f>
        <v/>
      </c>
      <c r="H95" s="189" t="s">
        <v>318</v>
      </c>
      <c r="I95" s="189"/>
      <c r="J95" s="189"/>
      <c r="K95" s="154" t="s">
        <v>226</v>
      </c>
      <c r="L95" s="354" t="str">
        <f>_xlfn.LET(
_xlpm.look, _xlfn.XLOOKUP(ITEquipmentTable[[#This Row],[Name]], VNCTable[ClientName], VNCTable[IP], ""),
_xlpm.chkk, IF(ITEquipmentTable[[#This Row],[IPv4 Address]] = "N/A", "N/A", _xlpm.look),
IF(ITEquipmentTable[[#This Row],[Name]] = "", "", _xlpm.chkk))</f>
        <v/>
      </c>
      <c r="M95" s="189"/>
      <c r="N95" s="159" t="str">
        <f>_xlfn.LET(_xlpm.emp, IF(_xlfn.XLOOKUP(ITEquipmentTable[[#This Row],[Assigned Employee]], EmployeeTable[name], EmployeeTable[Active], TRUE), "Employee", "Recover"),
IF(ITEquipmentTable[[#This Row],[Storage Location]] = "Assigned to Employee", _xlpm.emp, "N/A"))</f>
        <v>N/A</v>
      </c>
      <c r="O95" s="159" t="str" cm="1">
        <f t="array" ref="O9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9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95" s="189"/>
      <c r="R95" s="189"/>
      <c r="S95" s="189"/>
      <c r="T95" s="194"/>
      <c r="X95" s="1">
        <v>8998</v>
      </c>
      <c r="Y95" s="223" t="s">
        <v>682</v>
      </c>
      <c r="Z95" s="1" t="b">
        <v>1</v>
      </c>
      <c r="AA95"/>
    </row>
    <row r="96" spans="1:27" s="1" customFormat="1" hidden="1" x14ac:dyDescent="0.2">
      <c r="A96" s="155">
        <v>91</v>
      </c>
      <c r="B96" s="1" t="s">
        <v>304</v>
      </c>
      <c r="C96" s="1" t="s">
        <v>308</v>
      </c>
      <c r="D96" s="1" t="s">
        <v>309</v>
      </c>
      <c r="E96" s="1" t="s">
        <v>310</v>
      </c>
      <c r="F96" s="195" t="s">
        <v>779</v>
      </c>
      <c r="G96" s="159" t="str">
        <f>_xlfn.XLOOKUP(ITEquipmentTable[[#This Row],[Name]], IntuneData[Device name], IntuneData[Serial number], "")</f>
        <v/>
      </c>
      <c r="H96" s="1" t="s">
        <v>295</v>
      </c>
      <c r="I96" s="1" t="s">
        <v>780</v>
      </c>
      <c r="K96" s="154" t="s">
        <v>781</v>
      </c>
      <c r="L96" s="159" t="str">
        <f>_xlfn.LET(
_xlpm.look, _xlfn.XLOOKUP(ITEquipmentTable[[#This Row],[Name]], VNCTable[ClientName], VNCTable[IP], ""),
_xlpm.chkk, IF(ITEquipmentTable[[#This Row],[IPv4 Address]] = "N/A", "N/A", _xlpm.look),
IF(ITEquipmentTable[[#This Row],[Name]] = "", "", _xlpm.chkk))</f>
        <v>10.68.134.25</v>
      </c>
      <c r="M96" s="1" t="s">
        <v>782</v>
      </c>
      <c r="N96" s="159" t="str">
        <f>_xlfn.LET(_xlpm.emp, IF(_xlfn.XLOOKUP(ITEquipmentTable[[#This Row],[Assigned Employee]], EmployeeTable[name], EmployeeTable[Active], TRUE), "Employee", "Recover"),
IF(ITEquipmentTable[[#This Row],[Storage Location]] = "Assigned to Employee", _xlpm.emp, "N/A"))</f>
        <v>N/A</v>
      </c>
      <c r="O96" s="159" t="str" cm="1">
        <f t="array" ref="O9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9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96" s="189" t="s">
        <v>312</v>
      </c>
      <c r="T96" s="194"/>
      <c r="X96" s="1">
        <v>9007</v>
      </c>
      <c r="Y96" s="223" t="s">
        <v>683</v>
      </c>
      <c r="Z96" s="1" t="b">
        <v>1</v>
      </c>
      <c r="AA96"/>
    </row>
    <row r="97" spans="1:27" s="1" customFormat="1" hidden="1" x14ac:dyDescent="0.2">
      <c r="A97" s="155">
        <v>400</v>
      </c>
      <c r="B97" s="189" t="s">
        <v>304</v>
      </c>
      <c r="C97" s="189" t="s">
        <v>308</v>
      </c>
      <c r="D97" s="189" t="s">
        <v>1399</v>
      </c>
      <c r="E97" s="189" t="s">
        <v>310</v>
      </c>
      <c r="F97" s="201" t="s">
        <v>1400</v>
      </c>
      <c r="G97" s="159" t="str">
        <f>_xlfn.XLOOKUP(ITEquipmentTable[[#This Row],[Name]], IntuneData[Device name], IntuneData[Serial number], "")</f>
        <v/>
      </c>
      <c r="H97" s="189" t="s">
        <v>302</v>
      </c>
      <c r="I97" s="189"/>
      <c r="J97" s="189"/>
      <c r="K97" s="219" t="s">
        <v>226</v>
      </c>
      <c r="L97" s="354" t="str">
        <f>_xlfn.LET(
_xlpm.look, _xlfn.XLOOKUP(ITEquipmentTable[[#This Row],[Name]], VNCTable[ClientName], VNCTable[IP], ""),
_xlpm.chkk, IF(ITEquipmentTable[[#This Row],[IPv4 Address]] = "N/A", "N/A", _xlpm.look),
IF(ITEquipmentTable[[#This Row],[Name]] = "", "", _xlpm.chkk))</f>
        <v>N/A</v>
      </c>
      <c r="M97" s="189" t="s">
        <v>226</v>
      </c>
      <c r="N97" s="159" t="str">
        <f>_xlfn.LET(_xlpm.emp, IF(_xlfn.XLOOKUP(ITEquipmentTable[[#This Row],[Assigned Employee]], EmployeeTable[name], EmployeeTable[Active], TRUE), "Employee", "Recover"),
IF(ITEquipmentTable[[#This Row],[Storage Location]] = "Assigned to Employee", _xlpm.emp, "N/A"))</f>
        <v>N/A</v>
      </c>
      <c r="O97" s="159" t="str" cm="1">
        <f t="array" ref="O9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9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97" s="189"/>
      <c r="R97" s="189"/>
      <c r="S97" s="189"/>
      <c r="T97" s="194"/>
      <c r="X97" s="1">
        <v>9008</v>
      </c>
      <c r="Y97" s="223" t="s">
        <v>686</v>
      </c>
      <c r="Z97" s="1" t="b">
        <v>1</v>
      </c>
      <c r="AA97"/>
    </row>
    <row r="98" spans="1:27" s="1" customFormat="1" hidden="1" x14ac:dyDescent="0.2">
      <c r="A98" s="155">
        <v>96</v>
      </c>
      <c r="B98" s="1" t="s">
        <v>304</v>
      </c>
      <c r="C98" s="1" t="s">
        <v>308</v>
      </c>
      <c r="D98" s="1" t="s">
        <v>416</v>
      </c>
      <c r="E98" s="1" t="s">
        <v>310</v>
      </c>
      <c r="F98" s="195" t="s">
        <v>802</v>
      </c>
      <c r="G98" s="159" t="str">
        <f>_xlfn.XLOOKUP(ITEquipmentTable[[#This Row],[Name]], IntuneData[Device name], IntuneData[Serial number], "")</f>
        <v/>
      </c>
      <c r="H98" s="168"/>
      <c r="I98" s="168"/>
      <c r="J98" s="168"/>
      <c r="K98" s="223" t="s">
        <v>226</v>
      </c>
      <c r="L98" s="354" t="str">
        <f>_xlfn.LET(
_xlpm.look, _xlfn.XLOOKUP(ITEquipmentTable[[#This Row],[Name]], VNCTable[ClientName], VNCTable[IP], ""),
_xlpm.chkk, IF(ITEquipmentTable[[#This Row],[IPv4 Address]] = "N/A", "N/A", _xlpm.look),
IF(ITEquipmentTable[[#This Row],[Name]] = "", "", _xlpm.chkk))</f>
        <v/>
      </c>
      <c r="M98" s="168"/>
      <c r="N98" s="161" t="str">
        <f>_xlfn.LET(_xlpm.emp, IF(_xlfn.XLOOKUP(ITEquipmentTable[[#This Row],[Assigned Employee]], EmployeeTable[name], EmployeeTable[Active], TRUE), "Employee", "Recover"),
IF(ITEquipmentTable[[#This Row],[Storage Location]] = "Assigned to Employee", _xlpm.emp, "N/A"))</f>
        <v>N/A</v>
      </c>
      <c r="O98" s="161" t="str" cm="1">
        <f t="array" ref="O9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9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98" s="189"/>
      <c r="S98" s="1" t="s">
        <v>405</v>
      </c>
      <c r="T98" s="194"/>
      <c r="X98" s="1">
        <v>9024</v>
      </c>
      <c r="Y98" s="223" t="s">
        <v>689</v>
      </c>
      <c r="Z98" s="1" t="b">
        <v>1</v>
      </c>
      <c r="AA98"/>
    </row>
    <row r="99" spans="1:27" s="1" customFormat="1" x14ac:dyDescent="0.2">
      <c r="A99" s="155">
        <v>614</v>
      </c>
      <c r="B99" s="1" t="s">
        <v>304</v>
      </c>
      <c r="C99" s="1" t="s">
        <v>403</v>
      </c>
      <c r="E99" s="1" t="s">
        <v>306</v>
      </c>
      <c r="F99" s="195" t="s">
        <v>3231</v>
      </c>
      <c r="G99" s="159" t="str">
        <f>_xlfn.XLOOKUP(ITEquipmentTable[[#This Row],[Name]], IntuneData[Device name], IntuneData[Serial number], "")</f>
        <v>MXL9521SYZ</v>
      </c>
      <c r="H99" s="1" t="s">
        <v>295</v>
      </c>
      <c r="I99" s="1" t="s">
        <v>1867</v>
      </c>
      <c r="K99" s="154" t="s">
        <v>508</v>
      </c>
      <c r="L99" s="159" t="str">
        <f>_xlfn.LET(
_xlpm.look, _xlfn.XLOOKUP(ITEquipmentTable[[#This Row],[Name]], VNCTable[ClientName], VNCTable[IP], ""),
_xlpm.chkk, IF(ITEquipmentTable[[#This Row],[IPv4 Address]] = "N/A", "N/A", _xlpm.look),
IF(ITEquipmentTable[[#This Row],[Name]] = "", "", _xlpm.chkk))</f>
        <v/>
      </c>
      <c r="M99" s="1" t="s">
        <v>1868</v>
      </c>
      <c r="N99" s="159" t="str">
        <f>_xlfn.LET(_xlpm.emp, IF(_xlfn.XLOOKUP(ITEquipmentTable[[#This Row],[Assigned Employee]], EmployeeTable[name], EmployeeTable[Active], TRUE), "Employee", "Recover"),
IF(ITEquipmentTable[[#This Row],[Storage Location]] = "Assigned to Employee", _xlpm.emp, "N/A"))</f>
        <v>N/A</v>
      </c>
      <c r="O99" s="161" t="str" cm="1">
        <f t="array" ref="O9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9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99" s="1" t="s">
        <v>312</v>
      </c>
      <c r="S99" s="1" t="s">
        <v>299</v>
      </c>
      <c r="T99" s="194"/>
      <c r="X99" s="1">
        <v>9050</v>
      </c>
      <c r="Y99" s="223" t="s">
        <v>692</v>
      </c>
      <c r="Z99" s="1" t="b">
        <v>1</v>
      </c>
      <c r="AA99"/>
    </row>
    <row r="100" spans="1:27" s="1" customFormat="1" hidden="1" x14ac:dyDescent="0.2">
      <c r="A100" s="155">
        <v>487</v>
      </c>
      <c r="B100" s="1" t="s">
        <v>304</v>
      </c>
      <c r="F100" s="195"/>
      <c r="G100" s="159" t="str">
        <f>_xlfn.XLOOKUP(ITEquipmentTable[[#This Row],[Name]], IntuneData[Device name], IntuneData[Serial number], "")</f>
        <v/>
      </c>
      <c r="H100" s="1" t="s">
        <v>295</v>
      </c>
      <c r="I100" s="1" t="s">
        <v>941</v>
      </c>
      <c r="K100" s="154"/>
      <c r="L100" s="159" t="str">
        <f>_xlfn.LET(
_xlpm.look, _xlfn.XLOOKUP(ITEquipmentTable[[#This Row],[Name]], VNCTable[ClientName], VNCTable[IP], ""),
_xlpm.chkk, IF(ITEquipmentTable[[#This Row],[IPv4 Address]] = "N/A", "N/A", _xlpm.look),
IF(ITEquipmentTable[[#This Row],[Name]] = "", "", _xlpm.chkk))</f>
        <v/>
      </c>
      <c r="M100" s="1" t="s">
        <v>1766</v>
      </c>
      <c r="N100" s="159" t="str">
        <f>_xlfn.LET(_xlpm.emp, IF(_xlfn.XLOOKUP(ITEquipmentTable[[#This Row],[Assigned Employee]], EmployeeTable[name], EmployeeTable[Active], TRUE), "Employee", "Recover"),
IF(ITEquipmentTable[[#This Row],[Storage Location]] = "Assigned to Employee", _xlpm.emp, "N/A"))</f>
        <v>N/A</v>
      </c>
      <c r="O100" s="159" t="str" cm="1">
        <f t="array" ref="O10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0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100" s="193" t="s">
        <v>312</v>
      </c>
      <c r="S100" s="1" t="s">
        <v>299</v>
      </c>
      <c r="T100" s="194"/>
      <c r="X100" s="1">
        <v>9157</v>
      </c>
      <c r="Y100" s="223" t="s">
        <v>695</v>
      </c>
      <c r="Z100" s="1" t="b">
        <v>1</v>
      </c>
      <c r="AA100"/>
    </row>
    <row r="101" spans="1:27" s="1" customFormat="1" hidden="1" x14ac:dyDescent="0.2">
      <c r="A101" s="155">
        <v>484</v>
      </c>
      <c r="B101" s="1" t="s">
        <v>304</v>
      </c>
      <c r="C101" s="1" t="s">
        <v>308</v>
      </c>
      <c r="D101" s="1" t="s">
        <v>416</v>
      </c>
      <c r="E101" s="1" t="s">
        <v>310</v>
      </c>
      <c r="F101" s="195" t="s">
        <v>1765</v>
      </c>
      <c r="G101" s="159" t="str">
        <f>_xlfn.XLOOKUP(ITEquipmentTable[[#This Row],[Name]], IntuneData[Device name], IntuneData[Serial number], "")</f>
        <v/>
      </c>
      <c r="H101" s="1" t="s">
        <v>318</v>
      </c>
      <c r="K101" s="154" t="s">
        <v>226</v>
      </c>
      <c r="L101" s="354" t="str">
        <f>_xlfn.LET(
_xlpm.look, _xlfn.XLOOKUP(ITEquipmentTable[[#This Row],[Name]], VNCTable[ClientName], VNCTable[IP], ""),
_xlpm.chkk, IF(ITEquipmentTable[[#This Row],[IPv4 Address]] = "N/A", "N/A", _xlpm.look),
IF(ITEquipmentTable[[#This Row],[Name]] = "", "", _xlpm.chkk))</f>
        <v/>
      </c>
      <c r="N101" s="159" t="str">
        <f>_xlfn.LET(_xlpm.emp, IF(_xlfn.XLOOKUP(ITEquipmentTable[[#This Row],[Assigned Employee]], EmployeeTable[name], EmployeeTable[Active], TRUE), "Employee", "Recover"),
IF(ITEquipmentTable[[#This Row],[Storage Location]] = "Assigned to Employee", _xlpm.emp, "N/A"))</f>
        <v>N/A</v>
      </c>
      <c r="O101" s="159" t="str" cm="1">
        <f t="array" ref="O10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10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101" s="193"/>
      <c r="T101" s="194"/>
      <c r="X101" s="1">
        <v>9175</v>
      </c>
      <c r="Y101" s="223" t="s">
        <v>697</v>
      </c>
      <c r="Z101" s="1" t="b">
        <v>1</v>
      </c>
      <c r="AA101"/>
    </row>
    <row r="102" spans="1:27" s="1" customFormat="1" x14ac:dyDescent="0.2">
      <c r="A102" s="155">
        <v>793</v>
      </c>
      <c r="B102" s="1" t="s">
        <v>304</v>
      </c>
      <c r="C102" s="1" t="s">
        <v>403</v>
      </c>
      <c r="E102" s="1" t="s">
        <v>306</v>
      </c>
      <c r="F102" s="195"/>
      <c r="G102" s="159" t="str">
        <f>_xlfn.XLOOKUP(ITEquipmentTable[[#This Row],[Name]], IntuneData[Device name], IntuneData[Serial number], "")</f>
        <v/>
      </c>
      <c r="H102" s="1" t="s">
        <v>295</v>
      </c>
      <c r="I102" s="1" t="s">
        <v>2114</v>
      </c>
      <c r="K102" s="154" t="s">
        <v>2115</v>
      </c>
      <c r="L102" s="159" t="str">
        <f>_xlfn.LET(
_xlpm.look, _xlfn.XLOOKUP(ITEquipmentTable[[#This Row],[Name]], VNCTable[ClientName], VNCTable[IP], ""),
_xlpm.chkk, IF(ITEquipmentTable[[#This Row],[IPv4 Address]] = "N/A", "N/A", _xlpm.look),
IF(ITEquipmentTable[[#This Row],[Name]] = "", "", _xlpm.chkk))</f>
        <v>10.68.134.165</v>
      </c>
      <c r="M102" s="1" t="s">
        <v>2116</v>
      </c>
      <c r="N102" s="159" t="str">
        <f>_xlfn.LET(_xlpm.emp, IF(_xlfn.XLOOKUP(ITEquipmentTable[[#This Row],[Assigned Employee]], EmployeeTable[name], EmployeeTable[Active], TRUE), "Employee", "Recover"),
IF(ITEquipmentTable[[#This Row],[Storage Location]] = "Assigned to Employee", _xlpm.emp, "N/A"))</f>
        <v>N/A</v>
      </c>
      <c r="O102" s="161" t="str" cm="1">
        <f t="array" ref="O10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10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102" s="189" t="s">
        <v>312</v>
      </c>
      <c r="S102" s="1" t="s">
        <v>313</v>
      </c>
      <c r="T102" s="194"/>
      <c r="X102" s="1">
        <v>9182</v>
      </c>
      <c r="Y102" s="223" t="s">
        <v>698</v>
      </c>
      <c r="Z102" s="1" t="b">
        <v>1</v>
      </c>
      <c r="AA102"/>
    </row>
    <row r="103" spans="1:27" s="1" customFormat="1" hidden="1" x14ac:dyDescent="0.2">
      <c r="A103" s="155">
        <v>110</v>
      </c>
      <c r="B103" s="189" t="s">
        <v>304</v>
      </c>
      <c r="C103" s="189" t="s">
        <v>308</v>
      </c>
      <c r="D103" s="1" t="s">
        <v>416</v>
      </c>
      <c r="E103" s="189" t="s">
        <v>310</v>
      </c>
      <c r="F103" s="201" t="s">
        <v>894</v>
      </c>
      <c r="G103" s="159" t="str">
        <f>_xlfn.XLOOKUP(ITEquipmentTable[[#This Row],[Name]], IntuneData[Device name], IntuneData[Serial number], "")</f>
        <v/>
      </c>
      <c r="H103" s="189" t="s">
        <v>295</v>
      </c>
      <c r="I103" s="189" t="s">
        <v>1324</v>
      </c>
      <c r="J103" s="189"/>
      <c r="K103" s="154" t="s">
        <v>1325</v>
      </c>
      <c r="L103" s="159" t="str">
        <f>_xlfn.LET(
_xlpm.look, _xlfn.XLOOKUP(ITEquipmentTable[[#This Row],[Name]], VNCTable[ClientName], VNCTable[IP], ""),
_xlpm.chkk, IF(ITEquipmentTable[[#This Row],[IPv4 Address]] = "N/A", "N/A", _xlpm.look),
IF(ITEquipmentTable[[#This Row],[Name]] = "", "", _xlpm.chkk))</f>
        <v>10.68.89.161</v>
      </c>
      <c r="M103" s="189" t="s">
        <v>895</v>
      </c>
      <c r="N103" s="159" t="str">
        <f>_xlfn.LET(_xlpm.emp, IF(_xlfn.XLOOKUP(ITEquipmentTable[[#This Row],[Assigned Employee]], EmployeeTable[name], EmployeeTable[Active], TRUE), "Employee", "Recover"),
IF(ITEquipmentTable[[#This Row],[Storage Location]] = "Assigned to Employee", _xlpm.emp, "N/A"))</f>
        <v>N/A</v>
      </c>
      <c r="O103" s="159" t="str" cm="1">
        <f t="array" ref="O10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0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103" s="189" t="s">
        <v>441</v>
      </c>
      <c r="R103" s="189" t="s">
        <v>351</v>
      </c>
      <c r="S103" s="189"/>
      <c r="T103" s="194"/>
      <c r="X103" s="1">
        <v>9277</v>
      </c>
      <c r="Y103" s="223" t="s">
        <v>701</v>
      </c>
      <c r="Z103" s="1" t="b">
        <v>1</v>
      </c>
      <c r="AA103"/>
    </row>
    <row r="104" spans="1:27" s="1" customFormat="1" hidden="1" x14ac:dyDescent="0.2">
      <c r="A104" s="155">
        <v>415</v>
      </c>
      <c r="B104" s="1" t="s">
        <v>304</v>
      </c>
      <c r="C104" s="1" t="s">
        <v>308</v>
      </c>
      <c r="D104" s="1" t="s">
        <v>416</v>
      </c>
      <c r="E104" s="1" t="s">
        <v>310</v>
      </c>
      <c r="F104" s="195" t="s">
        <v>1676</v>
      </c>
      <c r="G104" s="159" t="str">
        <f>_xlfn.XLOOKUP(ITEquipmentTable[[#This Row],[Name]], IntuneData[Device name], IntuneData[Serial number], "")</f>
        <v/>
      </c>
      <c r="H104" s="189"/>
      <c r="I104" s="168"/>
      <c r="J104" s="168"/>
      <c r="K104" s="223"/>
      <c r="L104" s="354" t="str">
        <f>_xlfn.LET(
_xlpm.look, _xlfn.XLOOKUP(ITEquipmentTable[[#This Row],[Name]], VNCTable[ClientName], VNCTable[IP], ""),
_xlpm.chkk, IF(ITEquipmentTable[[#This Row],[IPv4 Address]] = "N/A", "N/A", _xlpm.look),
IF(ITEquipmentTable[[#This Row],[Name]] = "", "", _xlpm.chkk))</f>
        <v/>
      </c>
      <c r="M104" s="168"/>
      <c r="N104" s="161" t="str">
        <f>_xlfn.LET(_xlpm.emp, IF(_xlfn.XLOOKUP(ITEquipmentTable[[#This Row],[Assigned Employee]], EmployeeTable[name], EmployeeTable[Active], TRUE), "Employee", "Recover"),
IF(ITEquipmentTable[[#This Row],[Storage Location]] = "Assigned to Employee", _xlpm.emp, "N/A"))</f>
        <v>N/A</v>
      </c>
      <c r="O104" s="161" t="str" cm="1">
        <f t="array" ref="O10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10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04" s="168"/>
      <c r="R104" s="168"/>
      <c r="S104" s="1" t="s">
        <v>405</v>
      </c>
      <c r="T104" s="194"/>
      <c r="X104" s="1">
        <v>9303</v>
      </c>
      <c r="Y104" s="223" t="s">
        <v>703</v>
      </c>
      <c r="Z104" s="1" t="b">
        <v>1</v>
      </c>
      <c r="AA104"/>
    </row>
    <row r="105" spans="1:27" s="1" customFormat="1" hidden="1" x14ac:dyDescent="0.2">
      <c r="A105" s="155">
        <v>68</v>
      </c>
      <c r="B105" s="1" t="s">
        <v>304</v>
      </c>
      <c r="C105" s="1" t="s">
        <v>308</v>
      </c>
      <c r="D105" s="1" t="s">
        <v>309</v>
      </c>
      <c r="E105" s="1" t="s">
        <v>310</v>
      </c>
      <c r="F105" s="195" t="s">
        <v>611</v>
      </c>
      <c r="G105" s="159" t="str">
        <f>_xlfn.XLOOKUP(ITEquipmentTable[[#This Row],[Name]], IntuneData[Device name], IntuneData[Serial number], "")</f>
        <v/>
      </c>
      <c r="K105" s="154" t="s">
        <v>226</v>
      </c>
      <c r="L105" s="159" t="str">
        <f>_xlfn.LET(
_xlpm.look, _xlfn.XLOOKUP(ITEquipmentTable[[#This Row],[Name]], VNCTable[ClientName], VNCTable[IP], ""),
_xlpm.chkk, IF(ITEquipmentTable[[#This Row],[IPv4 Address]] = "N/A", "N/A", _xlpm.look),
IF(ITEquipmentTable[[#This Row],[Name]] = "", "", _xlpm.chkk))</f>
        <v>N/A</v>
      </c>
      <c r="M105" s="1" t="s">
        <v>612</v>
      </c>
      <c r="N105" s="159" t="str">
        <f>_xlfn.LET(_xlpm.emp, IF(_xlfn.XLOOKUP(ITEquipmentTable[[#This Row],[Assigned Employee]], EmployeeTable[name], EmployeeTable[Active], TRUE), "Employee", "Recover"),
IF(ITEquipmentTable[[#This Row],[Storage Location]] = "Assigned to Employee", _xlpm.emp, "N/A"))</f>
        <v>N/A</v>
      </c>
      <c r="O105" s="159" t="str" cm="1">
        <f t="array" ref="O10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0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T105" s="194"/>
      <c r="X105" s="1">
        <v>9370</v>
      </c>
      <c r="Y105" s="223" t="s">
        <v>705</v>
      </c>
      <c r="Z105" s="1" t="b">
        <v>1</v>
      </c>
      <c r="AA105"/>
    </row>
    <row r="106" spans="1:27" s="1" customFormat="1" hidden="1" x14ac:dyDescent="0.2">
      <c r="A106" s="155">
        <v>67</v>
      </c>
      <c r="B106" s="1" t="s">
        <v>304</v>
      </c>
      <c r="C106" s="1" t="s">
        <v>308</v>
      </c>
      <c r="D106" s="1" t="s">
        <v>309</v>
      </c>
      <c r="E106" s="1" t="s">
        <v>310</v>
      </c>
      <c r="F106" s="195" t="s">
        <v>609</v>
      </c>
      <c r="G106" s="159" t="str">
        <f>_xlfn.XLOOKUP(ITEquipmentTable[[#This Row],[Name]], IntuneData[Device name], IntuneData[Serial number], "")</f>
        <v/>
      </c>
      <c r="H106" s="168" t="s">
        <v>318</v>
      </c>
      <c r="I106" s="168"/>
      <c r="J106" s="168"/>
      <c r="K106" s="223" t="s">
        <v>226</v>
      </c>
      <c r="L106" s="159" t="str">
        <f>_xlfn.LET(
_xlpm.look, _xlfn.XLOOKUP(ITEquipmentTable[[#This Row],[Name]], VNCTable[ClientName], VNCTable[IP], ""),
_xlpm.chkk, IF(ITEquipmentTable[[#This Row],[IPv4 Address]] = "N/A", "N/A", _xlpm.look),
IF(ITEquipmentTable[[#This Row],[Name]] = "", "", _xlpm.chkk))</f>
        <v/>
      </c>
      <c r="M106" s="168"/>
      <c r="N106" s="161" t="str">
        <f>_xlfn.LET(_xlpm.emp, IF(_xlfn.XLOOKUP(ITEquipmentTable[[#This Row],[Assigned Employee]], EmployeeTable[name], EmployeeTable[Active], TRUE), "Employee", "Recover"),
IF(ITEquipmentTable[[#This Row],[Storage Location]] = "Assigned to Employee", _xlpm.emp, "N/A"))</f>
        <v>N/A</v>
      </c>
      <c r="O106" s="161" t="str" cm="1">
        <f t="array" ref="O10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10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106" s="168" t="s">
        <v>441</v>
      </c>
      <c r="R106" s="168" t="s">
        <v>312</v>
      </c>
      <c r="T106" s="194"/>
      <c r="X106" s="1">
        <v>9497</v>
      </c>
      <c r="Y106" s="223" t="s">
        <v>707</v>
      </c>
      <c r="Z106" s="1" t="b">
        <v>1</v>
      </c>
      <c r="AA106"/>
    </row>
    <row r="107" spans="1:27" s="1" customFormat="1" hidden="1" x14ac:dyDescent="0.2">
      <c r="A107" s="155">
        <v>410</v>
      </c>
      <c r="B107" s="1" t="s">
        <v>304</v>
      </c>
      <c r="C107" s="1" t="s">
        <v>308</v>
      </c>
      <c r="D107" s="1" t="s">
        <v>309</v>
      </c>
      <c r="E107" s="1" t="s">
        <v>310</v>
      </c>
      <c r="F107" s="195" t="s">
        <v>1499</v>
      </c>
      <c r="G107" s="159" t="str">
        <f>_xlfn.XLOOKUP(ITEquipmentTable[[#This Row],[Name]], IntuneData[Device name], IntuneData[Serial number], "")</f>
        <v/>
      </c>
      <c r="H107" s="189"/>
      <c r="I107" s="168"/>
      <c r="J107" s="168"/>
      <c r="K107" s="223"/>
      <c r="L107" s="354" t="str">
        <f>_xlfn.LET(
_xlpm.look, _xlfn.XLOOKUP(ITEquipmentTable[[#This Row],[Name]], VNCTable[ClientName], VNCTable[IP], ""),
_xlpm.chkk, IF(ITEquipmentTable[[#This Row],[IPv4 Address]] = "N/A", "N/A", _xlpm.look),
IF(ITEquipmentTable[[#This Row],[Name]] = "", "", _xlpm.chkk))</f>
        <v/>
      </c>
      <c r="M107" s="168"/>
      <c r="N107" s="161" t="str">
        <f>_xlfn.LET(_xlpm.emp, IF(_xlfn.XLOOKUP(ITEquipmentTable[[#This Row],[Assigned Employee]], EmployeeTable[name], EmployeeTable[Active], TRUE), "Employee", "Recover"),
IF(ITEquipmentTable[[#This Row],[Storage Location]] = "Assigned to Employee", _xlpm.emp, "N/A"))</f>
        <v>N/A</v>
      </c>
      <c r="O107" s="161" t="str" cm="1">
        <f t="array" ref="O10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10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07" s="168"/>
      <c r="R107" s="168"/>
      <c r="S107" s="1" t="s">
        <v>405</v>
      </c>
      <c r="T107" s="194"/>
      <c r="X107" s="1">
        <v>9576</v>
      </c>
      <c r="Y107" s="223" t="s">
        <v>710</v>
      </c>
      <c r="Z107" s="1" t="b">
        <v>1</v>
      </c>
      <c r="AA107"/>
    </row>
    <row r="108" spans="1:27" s="1" customFormat="1" hidden="1" x14ac:dyDescent="0.2">
      <c r="A108" s="155">
        <v>491</v>
      </c>
      <c r="B108" s="1" t="s">
        <v>304</v>
      </c>
      <c r="F108" s="195"/>
      <c r="G108" s="164" t="str">
        <f>_xlfn.XLOOKUP(ITEquipmentTable[[#This Row],[Name]], IntuneData[Device name], IntuneData[Serial number], "")</f>
        <v/>
      </c>
      <c r="H108" s="1" t="s">
        <v>295</v>
      </c>
      <c r="I108" s="1" t="s">
        <v>870</v>
      </c>
      <c r="K108" s="154" t="s">
        <v>1767</v>
      </c>
      <c r="L108" s="159" t="str">
        <f>_xlfn.LET(
_xlpm.look, _xlfn.XLOOKUP(ITEquipmentTable[[#This Row],[Name]], VNCTable[ClientName], VNCTable[IP], ""),
_xlpm.chkk, IF(ITEquipmentTable[[#This Row],[IPv4 Address]] = "N/A", "N/A", _xlpm.look),
IF(ITEquipmentTable[[#This Row],[Name]] = "", "", _xlpm.chkk))</f>
        <v>10.68.134.177</v>
      </c>
      <c r="M108" s="1" t="s">
        <v>1768</v>
      </c>
      <c r="N108" s="159" t="str">
        <f>_xlfn.LET(_xlpm.emp, IF(_xlfn.XLOOKUP(ITEquipmentTable[[#This Row],[Assigned Employee]], EmployeeTable[name], EmployeeTable[Active], TRUE), "Employee", "Recover"),
IF(ITEquipmentTable[[#This Row],[Storage Location]] = "Assigned to Employee", _xlpm.emp, "N/A"))</f>
        <v>N/A</v>
      </c>
      <c r="O108" s="159" t="str" cm="1">
        <f t="array" ref="O10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0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108" s="193" t="s">
        <v>312</v>
      </c>
      <c r="S108" s="1" t="s">
        <v>299</v>
      </c>
      <c r="T108" s="194"/>
      <c r="X108" s="1">
        <v>9607</v>
      </c>
      <c r="Y108" s="223" t="s">
        <v>713</v>
      </c>
      <c r="Z108" s="1" t="b">
        <v>1</v>
      </c>
      <c r="AA108"/>
    </row>
    <row r="109" spans="1:27" s="1" customFormat="1" hidden="1" x14ac:dyDescent="0.2">
      <c r="A109" s="155">
        <v>492</v>
      </c>
      <c r="B109" s="1" t="s">
        <v>304</v>
      </c>
      <c r="F109" s="195"/>
      <c r="G109" s="164" t="str">
        <f>_xlfn.XLOOKUP(ITEquipmentTable[[#This Row],[Name]], IntuneData[Device name], IntuneData[Serial number], "")</f>
        <v/>
      </c>
      <c r="H109" s="1" t="s">
        <v>295</v>
      </c>
      <c r="I109" s="1" t="s">
        <v>874</v>
      </c>
      <c r="K109" s="154" t="s">
        <v>1769</v>
      </c>
      <c r="L109" s="159" t="str">
        <f>_xlfn.LET(
_xlpm.look, _xlfn.XLOOKUP(ITEquipmentTable[[#This Row],[Name]], VNCTable[ClientName], VNCTable[IP], ""),
_xlpm.chkk, IF(ITEquipmentTable[[#This Row],[IPv4 Address]] = "N/A", "N/A", _xlpm.look),
IF(ITEquipmentTable[[#This Row],[Name]] = "", "", _xlpm.chkk))</f>
        <v>10.68.134.178</v>
      </c>
      <c r="M109" s="1" t="s">
        <v>1770</v>
      </c>
      <c r="N109" s="159" t="str">
        <f>_xlfn.LET(_xlpm.emp, IF(_xlfn.XLOOKUP(ITEquipmentTable[[#This Row],[Assigned Employee]], EmployeeTable[name], EmployeeTable[Active], TRUE), "Employee", "Recover"),
IF(ITEquipmentTable[[#This Row],[Storage Location]] = "Assigned to Employee", _xlpm.emp, "N/A"))</f>
        <v>N/A</v>
      </c>
      <c r="O109" s="159" t="str" cm="1">
        <f t="array" ref="O10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0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109" s="193" t="s">
        <v>312</v>
      </c>
      <c r="S109" s="1" t="s">
        <v>299</v>
      </c>
      <c r="T109" s="194"/>
      <c r="X109" s="1">
        <v>9631</v>
      </c>
      <c r="Y109" s="223" t="s">
        <v>715</v>
      </c>
      <c r="Z109" s="1" t="b">
        <v>1</v>
      </c>
      <c r="AA109"/>
    </row>
    <row r="110" spans="1:27" s="1" customFormat="1" x14ac:dyDescent="0.2">
      <c r="A110" s="155">
        <v>107</v>
      </c>
      <c r="B110" s="189" t="s">
        <v>304</v>
      </c>
      <c r="C110" s="189" t="s">
        <v>403</v>
      </c>
      <c r="D110" s="189" t="s">
        <v>835</v>
      </c>
      <c r="E110" s="189" t="s">
        <v>306</v>
      </c>
      <c r="F110" s="201" t="s">
        <v>836</v>
      </c>
      <c r="G110" s="159" t="str">
        <f>_xlfn.XLOOKUP(ITEquipmentTable[[#This Row],[Name]], IntuneData[Device name], IntuneData[Serial number], "")</f>
        <v>2MO91724YZ</v>
      </c>
      <c r="H110" s="189" t="s">
        <v>295</v>
      </c>
      <c r="I110" s="189" t="s">
        <v>321</v>
      </c>
      <c r="J110" s="189"/>
      <c r="K110" s="219" t="s">
        <v>837</v>
      </c>
      <c r="L110" s="159" t="str">
        <f>_xlfn.LET(
_xlpm.look, _xlfn.XLOOKUP(ITEquipmentTable[[#This Row],[Name]], VNCTable[ClientName], VNCTable[IP], ""),
_xlpm.chkk, IF(ITEquipmentTable[[#This Row],[IPv4 Address]] = "N/A", "N/A", _xlpm.look),
IF(ITEquipmentTable[[#This Row],[Name]] = "", "", _xlpm.chkk))</f>
        <v/>
      </c>
      <c r="M110" s="189" t="s">
        <v>838</v>
      </c>
      <c r="N110" s="159" t="str">
        <f>_xlfn.LET(_xlpm.emp, IF(_xlfn.XLOOKUP(ITEquipmentTable[[#This Row],[Assigned Employee]], EmployeeTable[name], EmployeeTable[Active], TRUE), "Employee", "Recover"),
IF(ITEquipmentTable[[#This Row],[Storage Location]] = "Assigned to Employee", _xlpm.emp, "N/A"))</f>
        <v>N/A</v>
      </c>
      <c r="O110" s="159" t="str" cm="1">
        <f t="array" ref="O11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11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110" s="189"/>
      <c r="R110" s="189" t="s">
        <v>312</v>
      </c>
      <c r="T110" s="194"/>
      <c r="X110" s="1">
        <v>9722</v>
      </c>
      <c r="Y110" s="223" t="s">
        <v>717</v>
      </c>
      <c r="Z110" s="1" t="b">
        <v>1</v>
      </c>
      <c r="AA110"/>
    </row>
    <row r="111" spans="1:27" s="1" customFormat="1" hidden="1" x14ac:dyDescent="0.2">
      <c r="A111" s="155">
        <v>483</v>
      </c>
      <c r="B111" s="1" t="s">
        <v>304</v>
      </c>
      <c r="F111" s="195"/>
      <c r="G111" s="159" t="str">
        <f>_xlfn.XLOOKUP(ITEquipmentTable[[#This Row],[Name]], IntuneData[Device name], IntuneData[Serial number], "")</f>
        <v/>
      </c>
      <c r="H111" s="1" t="s">
        <v>295</v>
      </c>
      <c r="I111" s="1" t="s">
        <v>1763</v>
      </c>
      <c r="K111" s="154"/>
      <c r="L111" s="159" t="str">
        <f>_xlfn.LET(
_xlpm.look, _xlfn.XLOOKUP(ITEquipmentTable[[#This Row],[Name]], VNCTable[ClientName], VNCTable[IP], ""),
_xlpm.chkk, IF(ITEquipmentTable[[#This Row],[IPv4 Address]] = "N/A", "N/A", _xlpm.look),
IF(ITEquipmentTable[[#This Row],[Name]] = "", "", _xlpm.chkk))</f>
        <v/>
      </c>
      <c r="M111" s="1" t="s">
        <v>1764</v>
      </c>
      <c r="N111" s="159" t="str">
        <f>_xlfn.LET(_xlpm.emp, IF(_xlfn.XLOOKUP(ITEquipmentTable[[#This Row],[Assigned Employee]], EmployeeTable[name], EmployeeTable[Active], TRUE), "Employee", "Recover"),
IF(ITEquipmentTable[[#This Row],[Storage Location]] = "Assigned to Employee", _xlpm.emp, "N/A"))</f>
        <v>N/A</v>
      </c>
      <c r="O111" s="159" t="str" cm="1">
        <f t="array" ref="O11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1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111" s="193" t="s">
        <v>312</v>
      </c>
      <c r="S111" s="1" t="s">
        <v>299</v>
      </c>
      <c r="T111" s="194"/>
      <c r="X111" s="1">
        <v>9787</v>
      </c>
      <c r="Y111" s="223" t="s">
        <v>719</v>
      </c>
      <c r="Z111" s="1" t="b">
        <v>1</v>
      </c>
      <c r="AA111"/>
    </row>
    <row r="112" spans="1:27" s="1" customFormat="1" hidden="1" x14ac:dyDescent="0.2">
      <c r="A112" s="155">
        <v>105</v>
      </c>
      <c r="B112" s="1" t="s">
        <v>304</v>
      </c>
      <c r="C112" s="1" t="s">
        <v>308</v>
      </c>
      <c r="D112" s="1" t="s">
        <v>309</v>
      </c>
      <c r="E112" s="1" t="s">
        <v>310</v>
      </c>
      <c r="F112" s="195" t="s">
        <v>824</v>
      </c>
      <c r="G112" s="159" t="str">
        <f>_xlfn.XLOOKUP(ITEquipmentTable[[#This Row],[Name]], IntuneData[Device name], IntuneData[Serial number], "")</f>
        <v/>
      </c>
      <c r="H112" s="1" t="s">
        <v>318</v>
      </c>
      <c r="K112" s="154" t="s">
        <v>226</v>
      </c>
      <c r="L112" s="159" t="str">
        <f>_xlfn.LET(
_xlpm.look, _xlfn.XLOOKUP(ITEquipmentTable[[#This Row],[Name]], VNCTable[ClientName], VNCTable[IP], ""),
_xlpm.chkk, IF(ITEquipmentTable[[#This Row],[IPv4 Address]] = "N/A", "N/A", _xlpm.look),
IF(ITEquipmentTable[[#This Row],[Name]] = "", "", _xlpm.chkk))</f>
        <v>N/A</v>
      </c>
      <c r="M112" s="1" t="s">
        <v>825</v>
      </c>
      <c r="N112" s="159" t="str">
        <f>_xlfn.LET(_xlpm.emp, IF(_xlfn.XLOOKUP(ITEquipmentTable[[#This Row],[Assigned Employee]], EmployeeTable[name], EmployeeTable[Active], TRUE), "Employee", "Recover"),
IF(ITEquipmentTable[[#This Row],[Storage Location]] = "Assigned to Employee", _xlpm.emp, "N/A"))</f>
        <v>N/A</v>
      </c>
      <c r="O112" s="159" t="str" cm="1">
        <f t="array" ref="O11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1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T112" s="194"/>
      <c r="X112" s="1">
        <v>9889</v>
      </c>
      <c r="Y112" s="223" t="s">
        <v>721</v>
      </c>
      <c r="Z112" s="1" t="b">
        <v>1</v>
      </c>
      <c r="AA112"/>
    </row>
    <row r="113" spans="1:27" s="1" customFormat="1" hidden="1" x14ac:dyDescent="0.2">
      <c r="A113" s="217">
        <v>485</v>
      </c>
      <c r="B113" s="189" t="s">
        <v>294</v>
      </c>
      <c r="C113" s="189" t="s">
        <v>403</v>
      </c>
      <c r="E113" s="1" t="s">
        <v>306</v>
      </c>
      <c r="F113" s="195"/>
      <c r="G113" s="164" t="str">
        <f>_xlfn.XLOOKUP(ITEquipmentTable[[#This Row],[Name]], IntuneData[Device name], IntuneData[Serial number], "")</f>
        <v/>
      </c>
      <c r="H113" s="1" t="s">
        <v>295</v>
      </c>
      <c r="I113" s="1" t="s">
        <v>623</v>
      </c>
      <c r="K113" s="154" t="s">
        <v>508</v>
      </c>
      <c r="L113" s="164" t="str">
        <f>_xlfn.LET(
_xlpm.look, _xlfn.XLOOKUP(ITEquipmentTable[[#This Row],[Name]], VNCTable[ClientName], VNCTable[IP], ""),
_xlpm.chkk, IF(ITEquipmentTable[[#This Row],[IPv4 Address]] = "N/A", "N/A", _xlpm.look),
IF(ITEquipmentTable[[#This Row],[Name]] = "", "", _xlpm.chkk))</f>
        <v/>
      </c>
      <c r="M113" s="1" t="s">
        <v>624</v>
      </c>
      <c r="N113" s="159" t="str">
        <f>_xlfn.LET(_xlpm.emp, IF(_xlfn.XLOOKUP(ITEquipmentTable[[#This Row],[Assigned Employee]], EmployeeTable[name], EmployeeTable[Active], TRUE), "Employee", "Recover"),
IF(ITEquipmentTable[[#This Row],[Storage Location]] = "Assigned to Employee", _xlpm.emp, "N/A"))</f>
        <v>N/A</v>
      </c>
      <c r="O113" s="159" t="str" cm="1">
        <f t="array" ref="O11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1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113" s="193" t="s">
        <v>312</v>
      </c>
      <c r="S113" s="1" t="s">
        <v>313</v>
      </c>
      <c r="T113" s="194"/>
      <c r="X113" s="1">
        <v>9980</v>
      </c>
      <c r="Y113" s="223" t="s">
        <v>723</v>
      </c>
      <c r="Z113" s="1" t="b">
        <v>1</v>
      </c>
      <c r="AA113"/>
    </row>
    <row r="114" spans="1:27" s="1" customFormat="1" hidden="1" x14ac:dyDescent="0.2">
      <c r="A114" s="155">
        <v>69</v>
      </c>
      <c r="B114" s="1" t="s">
        <v>304</v>
      </c>
      <c r="C114" s="1" t="s">
        <v>308</v>
      </c>
      <c r="D114" s="1" t="s">
        <v>309</v>
      </c>
      <c r="E114" s="1" t="s">
        <v>310</v>
      </c>
      <c r="F114" s="195" t="s">
        <v>614</v>
      </c>
      <c r="G114" s="159" t="str">
        <f>_xlfn.XLOOKUP(ITEquipmentTable[[#This Row],[Name]], IntuneData[Device name], IntuneData[Serial number], "")</f>
        <v/>
      </c>
      <c r="H114" s="1" t="s">
        <v>295</v>
      </c>
      <c r="I114" s="1" t="s">
        <v>615</v>
      </c>
      <c r="K114" s="154" t="s">
        <v>3536</v>
      </c>
      <c r="L114" s="159" t="str">
        <f>_xlfn.LET(
_xlpm.look, _xlfn.XLOOKUP(ITEquipmentTable[[#This Row],[Name]], VNCTable[ClientName], VNCTable[IP], ""),
_xlpm.chkk, IF(ITEquipmentTable[[#This Row],[IPv4 Address]] = "N/A", "N/A", _xlpm.look),
IF(ITEquipmentTable[[#This Row],[Name]] = "", "", _xlpm.chkk))</f>
        <v>10.68.134.125</v>
      </c>
      <c r="M114" s="1" t="s">
        <v>616</v>
      </c>
      <c r="N114" s="159" t="str">
        <f>_xlfn.LET(_xlpm.emp, IF(_xlfn.XLOOKUP(ITEquipmentTable[[#This Row],[Assigned Employee]], EmployeeTable[name], EmployeeTable[Active], TRUE), "Employee", "Recover"),
IF(ITEquipmentTable[[#This Row],[Storage Location]] = "Assigned to Employee", _xlpm.emp, "N/A"))</f>
        <v>N/A</v>
      </c>
      <c r="O114" s="159" t="str" cm="1">
        <f t="array" ref="O11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11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114" s="189" t="s">
        <v>312</v>
      </c>
      <c r="T114" s="194"/>
      <c r="X114" s="1">
        <v>9984</v>
      </c>
      <c r="Y114" s="223" t="s">
        <v>725</v>
      </c>
      <c r="Z114" s="1" t="b">
        <v>1</v>
      </c>
      <c r="AA114"/>
    </row>
    <row r="115" spans="1:27" s="1" customFormat="1" hidden="1" x14ac:dyDescent="0.2">
      <c r="A115" s="155">
        <v>622</v>
      </c>
      <c r="F115" s="195"/>
      <c r="G115" s="164" t="str">
        <f>_xlfn.XLOOKUP(ITEquipmentTable[[#This Row],[Name]], IntuneData[Device name], IntuneData[Serial number], "")</f>
        <v/>
      </c>
      <c r="K115" s="154"/>
      <c r="L115" s="164" t="str">
        <f>_xlfn.LET(
_xlpm.look, _xlfn.XLOOKUP(ITEquipmentTable[[#This Row],[Name]], VNCTable[ClientName], VNCTable[IP], ""),
_xlpm.chkk, IF(ITEquipmentTable[[#This Row],[IPv4 Address]] = "N/A", "N/A", _xlpm.look),
IF(ITEquipmentTable[[#This Row],[Name]] = "", "", _xlpm.chkk))</f>
        <v/>
      </c>
      <c r="M115" s="1" t="s">
        <v>1367</v>
      </c>
      <c r="N115" s="159" t="str">
        <f>_xlfn.LET(_xlpm.emp, IF(_xlfn.XLOOKUP(ITEquipmentTable[[#This Row],[Assigned Employee]], EmployeeTable[name], EmployeeTable[Active], TRUE), "Employee", "Recover"),
IF(ITEquipmentTable[[#This Row],[Storage Location]] = "Assigned to Employee", _xlpm.emp, "N/A"))</f>
        <v>N/A</v>
      </c>
      <c r="O115" s="161" t="str" cm="1">
        <f t="array" ref="O11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11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15" s="1" t="s">
        <v>298</v>
      </c>
      <c r="T115" s="194"/>
      <c r="X115" s="1">
        <v>1000</v>
      </c>
      <c r="Y115" s="223" t="s">
        <v>727</v>
      </c>
      <c r="Z115" s="1" t="b">
        <v>0</v>
      </c>
      <c r="AA115"/>
    </row>
    <row r="116" spans="1:27" s="1" customFormat="1" hidden="1" x14ac:dyDescent="0.2">
      <c r="A116" s="155">
        <v>623</v>
      </c>
      <c r="B116" s="1" t="s">
        <v>294</v>
      </c>
      <c r="C116" s="1" t="s">
        <v>403</v>
      </c>
      <c r="E116" s="1" t="s">
        <v>306</v>
      </c>
      <c r="F116" s="195" t="s">
        <v>3241</v>
      </c>
      <c r="G116" s="164" t="str">
        <f>_xlfn.XLOOKUP(ITEquipmentTable[[#This Row],[Name]], IntuneData[Device name], IntuneData[Serial number], "")</f>
        <v>5CG4193FWS</v>
      </c>
      <c r="K116" s="154" t="s">
        <v>508</v>
      </c>
      <c r="L116" s="164" t="str">
        <f>_xlfn.LET(
_xlpm.look, _xlfn.XLOOKUP(ITEquipmentTable[[#This Row],[Name]], VNCTable[ClientName], VNCTable[IP], ""),
_xlpm.chkk, IF(ITEquipmentTable[[#This Row],[IPv4 Address]] = "N/A", "N/A", _xlpm.look),
IF(ITEquipmentTable[[#This Row],[Name]] = "", "", _xlpm.chkk))</f>
        <v/>
      </c>
      <c r="M116" s="1" t="s">
        <v>1369</v>
      </c>
      <c r="N116" s="159" t="str">
        <f>_xlfn.LET(_xlpm.emp, IF(_xlfn.XLOOKUP(ITEquipmentTable[[#This Row],[Assigned Employee]], EmployeeTable[name], EmployeeTable[Active], TRUE), "Employee", "Recover"),
IF(ITEquipmentTable[[#This Row],[Storage Location]] = "Assigned to Employee", _xlpm.emp, "N/A"))</f>
        <v>N/A</v>
      </c>
      <c r="O116" s="161" t="str" cm="1">
        <f t="array" ref="O11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22H2</v>
      </c>
      <c r="P11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16" s="1" t="s">
        <v>298</v>
      </c>
      <c r="T116" s="194"/>
      <c r="X116" s="1">
        <v>1002</v>
      </c>
      <c r="Y116" s="223" t="s">
        <v>730</v>
      </c>
      <c r="Z116" s="1" t="b">
        <v>0</v>
      </c>
      <c r="AA116"/>
    </row>
    <row r="117" spans="1:27" s="1" customFormat="1" hidden="1" x14ac:dyDescent="0.2">
      <c r="A117" s="155">
        <v>115</v>
      </c>
      <c r="B117" s="1" t="s">
        <v>294</v>
      </c>
      <c r="C117" s="1" t="s">
        <v>403</v>
      </c>
      <c r="D117" s="1" t="s">
        <v>1179</v>
      </c>
      <c r="E117" s="1" t="s">
        <v>306</v>
      </c>
      <c r="F117" s="195" t="s">
        <v>1371</v>
      </c>
      <c r="G117" s="159" t="str">
        <f>_xlfn.XLOOKUP(ITEquipmentTable[[#This Row],[Name]], IntuneData[Device name], IntuneData[Serial number], "")</f>
        <v/>
      </c>
      <c r="H117" s="168"/>
      <c r="I117" s="168"/>
      <c r="J117" s="168"/>
      <c r="K117" s="154" t="s">
        <v>508</v>
      </c>
      <c r="L117" s="159" t="str">
        <f>_xlfn.LET(
_xlpm.look, _xlfn.XLOOKUP(ITEquipmentTable[[#This Row],[Name]], VNCTable[ClientName], VNCTable[IP], ""),
_xlpm.chkk, IF(ITEquipmentTable[[#This Row],[IPv4 Address]] = "N/A", "N/A", _xlpm.look),
IF(ITEquipmentTable[[#This Row],[Name]] = "", "", _xlpm.chkk))</f>
        <v/>
      </c>
      <c r="M117" s="168" t="s">
        <v>1372</v>
      </c>
      <c r="N117" s="161" t="str">
        <f>_xlfn.LET(_xlpm.emp, IF(_xlfn.XLOOKUP(ITEquipmentTable[[#This Row],[Assigned Employee]], EmployeeTable[name], EmployeeTable[Active], TRUE), "Employee", "Recover"),
IF(ITEquipmentTable[[#This Row],[Storage Location]] = "Assigned to Employee", _xlpm.emp, "N/A"))</f>
        <v>N/A</v>
      </c>
      <c r="O117" s="161" t="str" cm="1">
        <f t="array" ref="O11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11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17" s="1" t="s">
        <v>405</v>
      </c>
      <c r="T117" s="194"/>
      <c r="X117" s="1">
        <v>1005</v>
      </c>
      <c r="Y117" s="223" t="s">
        <v>735</v>
      </c>
      <c r="Z117" s="1" t="b">
        <v>0</v>
      </c>
      <c r="AA117"/>
    </row>
    <row r="118" spans="1:27" s="1" customFormat="1" hidden="1" x14ac:dyDescent="0.2">
      <c r="A118" s="155">
        <v>624</v>
      </c>
      <c r="B118" s="1" t="s">
        <v>294</v>
      </c>
      <c r="C118" s="1" t="s">
        <v>403</v>
      </c>
      <c r="E118" s="1" t="s">
        <v>306</v>
      </c>
      <c r="F118" s="195"/>
      <c r="G118" s="164" t="str">
        <f>_xlfn.XLOOKUP(ITEquipmentTable[[#This Row],[Name]], IntuneData[Device name], IntuneData[Serial number], "")</f>
        <v/>
      </c>
      <c r="K118" s="154" t="s">
        <v>508</v>
      </c>
      <c r="L118" s="164" t="str">
        <f>_xlfn.LET(
_xlpm.look, _xlfn.XLOOKUP(ITEquipmentTable[[#This Row],[Name]], VNCTable[ClientName], VNCTable[IP], ""),
_xlpm.chkk, IF(ITEquipmentTable[[#This Row],[IPv4 Address]] = "N/A", "N/A", _xlpm.look),
IF(ITEquipmentTable[[#This Row],[Name]] = "", "", _xlpm.chkk))</f>
        <v/>
      </c>
      <c r="M118" s="1" t="s">
        <v>1374</v>
      </c>
      <c r="N118" s="159" t="str">
        <f>_xlfn.LET(_xlpm.emp, IF(_xlfn.XLOOKUP(ITEquipmentTable[[#This Row],[Assigned Employee]], EmployeeTable[name], EmployeeTable[Active], TRUE), "Employee", "Recover"),
IF(ITEquipmentTable[[#This Row],[Storage Location]] = "Assigned to Employee", _xlpm.emp, "N/A"))</f>
        <v>N/A</v>
      </c>
      <c r="O118" s="161" t="str" cm="1">
        <f t="array" ref="O11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1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18" s="1" t="s">
        <v>298</v>
      </c>
      <c r="T118" s="194"/>
      <c r="X118" s="1">
        <v>1006</v>
      </c>
      <c r="Y118" s="223" t="s">
        <v>740</v>
      </c>
      <c r="Z118" s="1" t="b">
        <v>0</v>
      </c>
      <c r="AA118"/>
    </row>
    <row r="119" spans="1:27" s="1" customFormat="1" hidden="1" x14ac:dyDescent="0.2">
      <c r="A119" s="155">
        <v>118</v>
      </c>
      <c r="B119" s="1" t="s">
        <v>294</v>
      </c>
      <c r="C119" s="1" t="s">
        <v>403</v>
      </c>
      <c r="D119" s="1" t="s">
        <v>1179</v>
      </c>
      <c r="E119" s="1" t="s">
        <v>306</v>
      </c>
      <c r="F119" s="195" t="s">
        <v>1380</v>
      </c>
      <c r="G119" s="159" t="str">
        <f>_xlfn.XLOOKUP(ITEquipmentTable[[#This Row],[Name]], IntuneData[Device name], IntuneData[Serial number], "")</f>
        <v/>
      </c>
      <c r="H119" s="168"/>
      <c r="I119" s="168"/>
      <c r="J119" s="168"/>
      <c r="K119" s="154" t="s">
        <v>508</v>
      </c>
      <c r="L119" s="159" t="str">
        <f>_xlfn.LET(
_xlpm.look, _xlfn.XLOOKUP(ITEquipmentTable[[#This Row],[Name]], VNCTable[ClientName], VNCTable[IP], ""),
_xlpm.chkk, IF(ITEquipmentTable[[#This Row],[IPv4 Address]] = "N/A", "N/A", _xlpm.look),
IF(ITEquipmentTable[[#This Row],[Name]] = "", "", _xlpm.chkk))</f>
        <v/>
      </c>
      <c r="M119" s="168" t="s">
        <v>1381</v>
      </c>
      <c r="N119" s="161" t="str">
        <f>_xlfn.LET(_xlpm.emp, IF(_xlfn.XLOOKUP(ITEquipmentTable[[#This Row],[Assigned Employee]], EmployeeTable[name], EmployeeTable[Active], TRUE), "Employee", "Recover"),
IF(ITEquipmentTable[[#This Row],[Storage Location]] = "Assigned to Employee", _xlpm.emp, "N/A"))</f>
        <v>N/A</v>
      </c>
      <c r="O119" s="161" t="str" cm="1">
        <f t="array" ref="O11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1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19" s="1" t="s">
        <v>405</v>
      </c>
      <c r="T119" s="194"/>
      <c r="X119" s="1">
        <v>1007</v>
      </c>
      <c r="Y119" s="223" t="s">
        <v>745</v>
      </c>
      <c r="Z119" s="1" t="b">
        <v>0</v>
      </c>
      <c r="AA119"/>
    </row>
    <row r="120" spans="1:27" s="1" customFormat="1" hidden="1" x14ac:dyDescent="0.2">
      <c r="A120" s="155">
        <v>93</v>
      </c>
      <c r="B120" s="1" t="s">
        <v>304</v>
      </c>
      <c r="C120" s="1" t="s">
        <v>308</v>
      </c>
      <c r="D120" s="1" t="s">
        <v>309</v>
      </c>
      <c r="E120" s="1" t="s">
        <v>310</v>
      </c>
      <c r="F120" s="195" t="s">
        <v>789</v>
      </c>
      <c r="G120" s="159" t="str">
        <f>_xlfn.XLOOKUP(ITEquipmentTable[[#This Row],[Name]], IntuneData[Device name], IntuneData[Serial number], "")</f>
        <v/>
      </c>
      <c r="H120" s="1" t="s">
        <v>295</v>
      </c>
      <c r="I120" s="1" t="s">
        <v>790</v>
      </c>
      <c r="K120" s="154" t="s">
        <v>791</v>
      </c>
      <c r="L120" s="159" t="str">
        <f>_xlfn.LET(
_xlpm.look, _xlfn.XLOOKUP(ITEquipmentTable[[#This Row],[Name]], VNCTable[ClientName], VNCTable[IP], ""),
_xlpm.chkk, IF(ITEquipmentTable[[#This Row],[IPv4 Address]] = "N/A", "N/A", _xlpm.look),
IF(ITEquipmentTable[[#This Row],[Name]] = "", "", _xlpm.chkk))</f>
        <v>10.68.134.28</v>
      </c>
      <c r="M120" s="1" t="s">
        <v>792</v>
      </c>
      <c r="N120" s="159" t="str">
        <f>_xlfn.LET(_xlpm.emp, IF(_xlfn.XLOOKUP(ITEquipmentTable[[#This Row],[Assigned Employee]], EmployeeTable[name], EmployeeTable[Active], TRUE), "Employee", "Recover"),
IF(ITEquipmentTable[[#This Row],[Storage Location]] = "Assigned to Employee", _xlpm.emp, "N/A"))</f>
        <v>N/A</v>
      </c>
      <c r="O120" s="159" t="str" cm="1">
        <f t="array" ref="O12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2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120" s="189" t="s">
        <v>312</v>
      </c>
      <c r="T120" s="194"/>
      <c r="X120" s="1">
        <v>1009</v>
      </c>
      <c r="Y120" s="223" t="s">
        <v>749</v>
      </c>
      <c r="Z120" s="1" t="b">
        <v>0</v>
      </c>
      <c r="AA120"/>
    </row>
    <row r="121" spans="1:27" s="1" customFormat="1" hidden="1" x14ac:dyDescent="0.2">
      <c r="A121" s="155">
        <v>521</v>
      </c>
      <c r="B121" s="1" t="s">
        <v>294</v>
      </c>
      <c r="C121" s="1" t="s">
        <v>403</v>
      </c>
      <c r="E121" s="1" t="s">
        <v>306</v>
      </c>
      <c r="F121" s="195" t="s">
        <v>2982</v>
      </c>
      <c r="G121" s="164" t="str">
        <f>_xlfn.XLOOKUP(ITEquipmentTable[[#This Row],[Name]], IntuneData[Device name], IntuneData[Serial number], "")</f>
        <v>5CG02543NT</v>
      </c>
      <c r="H121" s="1" t="s">
        <v>384</v>
      </c>
      <c r="K121" s="154" t="s">
        <v>508</v>
      </c>
      <c r="L121" s="164" t="str">
        <f>_xlfn.LET(
_xlpm.look, _xlfn.XLOOKUP(ITEquipmentTable[[#This Row],[Name]], VNCTable[ClientName], VNCTable[IP], ""),
_xlpm.chkk, IF(ITEquipmentTable[[#This Row],[IPv4 Address]] = "N/A", "N/A", _xlpm.look),
IF(ITEquipmentTable[[#This Row],[Name]] = "", "", _xlpm.chkk))</f>
        <v/>
      </c>
      <c r="M121" s="1" t="s">
        <v>1387</v>
      </c>
      <c r="N121" s="159" t="str">
        <f>_xlfn.LET(_xlpm.emp, IF(_xlfn.XLOOKUP(ITEquipmentTable[[#This Row],[Assigned Employee]], EmployeeTable[name], EmployeeTable[Active], TRUE), "Employee", "Recover"),
IF(ITEquipmentTable[[#This Row],[Storage Location]] = "Assigned to Employee", _xlpm.emp, "N/A"))</f>
        <v>Employee</v>
      </c>
      <c r="O121" s="159" t="str" cm="1">
        <f t="array" ref="O12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12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21" s="1" t="s">
        <v>298</v>
      </c>
      <c r="T121" s="194"/>
      <c r="X121" s="1">
        <v>1010</v>
      </c>
      <c r="Y121" s="223" t="s">
        <v>751</v>
      </c>
      <c r="Z121" s="1" t="b">
        <v>0</v>
      </c>
      <c r="AA121"/>
    </row>
    <row r="122" spans="1:27" s="1" customFormat="1" hidden="1" x14ac:dyDescent="0.2">
      <c r="A122" s="155">
        <v>625</v>
      </c>
      <c r="F122" s="195"/>
      <c r="G122" s="164" t="str">
        <f>_xlfn.XLOOKUP(ITEquipmentTable[[#This Row],[Name]], IntuneData[Device name], IntuneData[Serial number], "")</f>
        <v/>
      </c>
      <c r="K122" s="154"/>
      <c r="L122" s="164" t="str">
        <f>_xlfn.LET(
_xlpm.look, _xlfn.XLOOKUP(ITEquipmentTable[[#This Row],[Name]], VNCTable[ClientName], VNCTable[IP], ""),
_xlpm.chkk, IF(ITEquipmentTable[[#This Row],[IPv4 Address]] = "N/A", "N/A", _xlpm.look),
IF(ITEquipmentTable[[#This Row],[Name]] = "", "", _xlpm.chkk))</f>
        <v/>
      </c>
      <c r="M122" s="1" t="s">
        <v>1389</v>
      </c>
      <c r="N122" s="159" t="str">
        <f>_xlfn.LET(_xlpm.emp, IF(_xlfn.XLOOKUP(ITEquipmentTable[[#This Row],[Assigned Employee]], EmployeeTable[name], EmployeeTable[Active], TRUE), "Employee", "Recover"),
IF(ITEquipmentTable[[#This Row],[Storage Location]] = "Assigned to Employee", _xlpm.emp, "N/A"))</f>
        <v>N/A</v>
      </c>
      <c r="O122" s="161" t="str" cm="1">
        <f t="array" ref="O12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12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22" s="1" t="s">
        <v>298</v>
      </c>
      <c r="T122" s="194"/>
      <c r="X122" s="1">
        <v>1014</v>
      </c>
      <c r="Y122" s="223" t="s">
        <v>753</v>
      </c>
      <c r="Z122" s="1" t="b">
        <v>0</v>
      </c>
      <c r="AA122"/>
    </row>
    <row r="123" spans="1:27" s="1" customFormat="1" hidden="1" x14ac:dyDescent="0.2">
      <c r="A123" s="155">
        <v>862</v>
      </c>
      <c r="B123" s="1" t="s">
        <v>294</v>
      </c>
      <c r="C123" s="1" t="s">
        <v>403</v>
      </c>
      <c r="D123" s="1" t="s">
        <v>1197</v>
      </c>
      <c r="E123" s="1" t="s">
        <v>306</v>
      </c>
      <c r="F123" s="195" t="s">
        <v>1391</v>
      </c>
      <c r="G123" s="164" t="str">
        <f>_xlfn.XLOOKUP(ITEquipmentTable[[#This Row],[Name]], IntuneData[Device name], IntuneData[Serial number], "")</f>
        <v/>
      </c>
      <c r="K123" s="154" t="s">
        <v>508</v>
      </c>
      <c r="L123" s="164" t="str">
        <f>_xlfn.LET(
_xlpm.look, _xlfn.XLOOKUP(ITEquipmentTable[[#This Row],[Name]], VNCTable[ClientName], VNCTable[IP], ""),
_xlpm.chkk, IF(ITEquipmentTable[[#This Row],[IPv4 Address]] = "N/A", "N/A", _xlpm.look),
IF(ITEquipmentTable[[#This Row],[Name]] = "", "", _xlpm.chkk))</f>
        <v/>
      </c>
      <c r="M123" s="1" t="s">
        <v>1392</v>
      </c>
      <c r="N123" s="159" t="str">
        <f>_xlfn.LET(_xlpm.emp, IF(_xlfn.XLOOKUP(ITEquipmentTable[[#This Row],[Assigned Employee]], EmployeeTable[name], EmployeeTable[Active], TRUE), "Employee", "Recover"),
IF(ITEquipmentTable[[#This Row],[Storage Location]] = "Assigned to Employee", _xlpm.emp, "N/A"))</f>
        <v>N/A</v>
      </c>
      <c r="O123" s="161" t="str" cm="1">
        <f t="array" ref="O12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LTSB</v>
      </c>
      <c r="P12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123" s="1" t="s">
        <v>312</v>
      </c>
      <c r="T123" s="194"/>
      <c r="X123" s="1">
        <v>1021</v>
      </c>
      <c r="Y123" s="223" t="s">
        <v>757</v>
      </c>
      <c r="Z123" s="1" t="b">
        <v>0</v>
      </c>
      <c r="AA123"/>
    </row>
    <row r="124" spans="1:27" s="1" customFormat="1" x14ac:dyDescent="0.2">
      <c r="A124" s="155">
        <v>689</v>
      </c>
      <c r="B124" s="1" t="s">
        <v>304</v>
      </c>
      <c r="C124" s="1" t="s">
        <v>403</v>
      </c>
      <c r="D124" s="1" t="s">
        <v>2055</v>
      </c>
      <c r="E124" s="1" t="s">
        <v>306</v>
      </c>
      <c r="F124" s="195" t="s">
        <v>2056</v>
      </c>
      <c r="G124" s="159" t="str">
        <f>_xlfn.XLOOKUP(ITEquipmentTable[[#This Row],[Name]], IntuneData[Device name], IntuneData[Serial number], "")</f>
        <v/>
      </c>
      <c r="H124" s="1" t="s">
        <v>318</v>
      </c>
      <c r="K124" s="154" t="s">
        <v>226</v>
      </c>
      <c r="L124" s="159" t="str">
        <f>_xlfn.LET(
_xlpm.look, _xlfn.XLOOKUP(ITEquipmentTable[[#This Row],[Name]], VNCTable[ClientName], VNCTable[IP], ""),
_xlpm.chkk, IF(ITEquipmentTable[[#This Row],[IPv4 Address]] = "N/A", "N/A", _xlpm.look),
IF(ITEquipmentTable[[#This Row],[Name]] = "", "", _xlpm.chkk))</f>
        <v/>
      </c>
      <c r="N124" s="159" t="str">
        <f>_xlfn.LET(_xlpm.emp, IF(_xlfn.XLOOKUP(ITEquipmentTable[[#This Row],[Assigned Employee]], EmployeeTable[name], EmployeeTable[Active], TRUE), "Employee", "Recover"),
IF(ITEquipmentTable[[#This Row],[Storage Location]] = "Assigned to Employee", _xlpm.emp, "N/A"))</f>
        <v>N/A</v>
      </c>
      <c r="O124" s="161" t="str" cm="1">
        <f t="array" ref="O12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12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124" s="1" t="s">
        <v>312</v>
      </c>
      <c r="T124" s="194"/>
      <c r="X124" s="1">
        <v>1078</v>
      </c>
      <c r="Y124" s="223" t="s">
        <v>762</v>
      </c>
      <c r="Z124" s="1" t="b">
        <v>0</v>
      </c>
      <c r="AA124"/>
    </row>
    <row r="125" spans="1:27" s="1" customFormat="1" x14ac:dyDescent="0.2">
      <c r="A125" s="155">
        <v>281</v>
      </c>
      <c r="B125" s="1" t="s">
        <v>304</v>
      </c>
      <c r="C125" s="1" t="s">
        <v>403</v>
      </c>
      <c r="D125" s="1" t="s">
        <v>568</v>
      </c>
      <c r="E125" s="1" t="s">
        <v>306</v>
      </c>
      <c r="F125" s="195" t="s">
        <v>1137</v>
      </c>
      <c r="G125" s="159" t="str">
        <f>_xlfn.XLOOKUP(ITEquipmentTable[[#This Row],[Name]], IntuneData[Device name], IntuneData[Serial number], "")</f>
        <v/>
      </c>
      <c r="H125" s="1" t="s">
        <v>318</v>
      </c>
      <c r="K125" s="154" t="s">
        <v>226</v>
      </c>
      <c r="L125" s="159" t="str">
        <f>_xlfn.LET(
_xlpm.look, _xlfn.XLOOKUP(ITEquipmentTable[[#This Row],[Name]], VNCTable[ClientName], VNCTable[IP], ""),
_xlpm.chkk, IF(ITEquipmentTable[[#This Row],[IPv4 Address]] = "N/A", "N/A", _xlpm.look),
IF(ITEquipmentTable[[#This Row],[Name]] = "", "", _xlpm.chkk))</f>
        <v/>
      </c>
      <c r="N125" s="159" t="str">
        <f>_xlfn.LET(_xlpm.emp, IF(_xlfn.XLOOKUP(ITEquipmentTable[[#This Row],[Assigned Employee]], EmployeeTable[name], EmployeeTable[Active], TRUE), "Employee", "Recover"),
IF(ITEquipmentTable[[#This Row],[Storage Location]] = "Assigned to Employee", _xlpm.emp, "N/A"))</f>
        <v>N/A</v>
      </c>
      <c r="O125" s="159" t="str" cm="1">
        <f t="array" ref="O12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12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125" s="1" t="s">
        <v>312</v>
      </c>
      <c r="T125" s="194"/>
      <c r="X125" s="1">
        <v>1237</v>
      </c>
      <c r="Y125" s="223" t="s">
        <v>767</v>
      </c>
      <c r="Z125" s="1" t="b">
        <v>0</v>
      </c>
      <c r="AA125"/>
    </row>
    <row r="126" spans="1:27" s="1" customFormat="1" x14ac:dyDescent="0.2">
      <c r="A126" s="155">
        <v>299</v>
      </c>
      <c r="B126" s="1" t="s">
        <v>304</v>
      </c>
      <c r="C126" s="1" t="s">
        <v>403</v>
      </c>
      <c r="D126" s="1" t="s">
        <v>568</v>
      </c>
      <c r="E126" s="1" t="s">
        <v>306</v>
      </c>
      <c r="F126" s="195" t="s">
        <v>1310</v>
      </c>
      <c r="G126" s="159" t="str">
        <f>_xlfn.XLOOKUP(ITEquipmentTable[[#This Row],[Name]], IntuneData[Device name], IntuneData[Serial number], "")</f>
        <v/>
      </c>
      <c r="H126" s="1" t="s">
        <v>318</v>
      </c>
      <c r="K126" s="154" t="s">
        <v>226</v>
      </c>
      <c r="L126" s="159" t="str">
        <f>_xlfn.LET(
_xlpm.look, _xlfn.XLOOKUP(ITEquipmentTable[[#This Row],[Name]], VNCTable[ClientName], VNCTable[IP], ""),
_xlpm.chkk, IF(ITEquipmentTable[[#This Row],[IPv4 Address]] = "N/A", "N/A", _xlpm.look),
IF(ITEquipmentTable[[#This Row],[Name]] = "", "", _xlpm.chkk))</f>
        <v/>
      </c>
      <c r="N126" s="159" t="str">
        <f>_xlfn.LET(_xlpm.emp, IF(_xlfn.XLOOKUP(ITEquipmentTable[[#This Row],[Assigned Employee]], EmployeeTable[name], EmployeeTable[Active], TRUE), "Employee", "Recover"),
IF(ITEquipmentTable[[#This Row],[Storage Location]] = "Assigned to Employee", _xlpm.emp, "N/A"))</f>
        <v>N/A</v>
      </c>
      <c r="O126" s="161" t="str" cm="1">
        <f t="array" ref="O12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12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126" s="1" t="s">
        <v>1311</v>
      </c>
      <c r="R126" s="1" t="s">
        <v>312</v>
      </c>
      <c r="S126" s="1" t="s">
        <v>1312</v>
      </c>
      <c r="T126" s="194"/>
      <c r="X126" s="1">
        <v>1240</v>
      </c>
      <c r="Y126" s="223" t="s">
        <v>771</v>
      </c>
      <c r="Z126" s="1" t="b">
        <v>0</v>
      </c>
      <c r="AA126"/>
    </row>
    <row r="127" spans="1:27" s="1" customFormat="1" hidden="1" x14ac:dyDescent="0.2">
      <c r="A127" s="155">
        <v>85</v>
      </c>
      <c r="B127" s="1" t="s">
        <v>304</v>
      </c>
      <c r="C127" s="1" t="s">
        <v>308</v>
      </c>
      <c r="D127" s="1" t="s">
        <v>309</v>
      </c>
      <c r="E127" s="1" t="s">
        <v>310</v>
      </c>
      <c r="F127" s="195" t="s">
        <v>741</v>
      </c>
      <c r="G127" s="159" t="str">
        <f>_xlfn.XLOOKUP(ITEquipmentTable[[#This Row],[Name]], IntuneData[Device name], IntuneData[Serial number], "")</f>
        <v/>
      </c>
      <c r="H127" s="1" t="s">
        <v>295</v>
      </c>
      <c r="I127" s="1" t="s">
        <v>742</v>
      </c>
      <c r="K127" s="154" t="s">
        <v>743</v>
      </c>
      <c r="L127" s="159" t="str">
        <f>_xlfn.LET(
_xlpm.look, _xlfn.XLOOKUP(ITEquipmentTable[[#This Row],[Name]], VNCTable[ClientName], VNCTable[IP], ""),
_xlpm.chkk, IF(ITEquipmentTable[[#This Row],[IPv4 Address]] = "N/A", "N/A", _xlpm.look),
IF(ITEquipmentTable[[#This Row],[Name]] = "", "", _xlpm.chkk))</f>
        <v>10.68.134.29</v>
      </c>
      <c r="M127" s="1" t="s">
        <v>744</v>
      </c>
      <c r="N127" s="159" t="str">
        <f>_xlfn.LET(_xlpm.emp, IF(_xlfn.XLOOKUP(ITEquipmentTable[[#This Row],[Assigned Employee]], EmployeeTable[name], EmployeeTable[Active], TRUE), "Employee", "Recover"),
IF(ITEquipmentTable[[#This Row],[Storage Location]] = "Assigned to Employee", _xlpm.emp, "N/A"))</f>
        <v>N/A</v>
      </c>
      <c r="O127" s="159" t="str" cm="1">
        <f t="array" ref="O12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2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127" s="189" t="s">
        <v>312</v>
      </c>
      <c r="T127" s="194"/>
      <c r="X127" s="1">
        <v>1242</v>
      </c>
      <c r="Y127" s="223" t="s">
        <v>775</v>
      </c>
      <c r="Z127" s="1" t="b">
        <v>0</v>
      </c>
      <c r="AA127"/>
    </row>
    <row r="128" spans="1:27" s="1" customFormat="1" hidden="1" x14ac:dyDescent="0.2">
      <c r="A128" s="155">
        <v>76</v>
      </c>
      <c r="B128" s="1" t="s">
        <v>304</v>
      </c>
      <c r="C128" s="1" t="s">
        <v>308</v>
      </c>
      <c r="D128" s="1" t="s">
        <v>309</v>
      </c>
      <c r="E128" s="1" t="s">
        <v>310</v>
      </c>
      <c r="F128" s="195" t="s">
        <v>2125</v>
      </c>
      <c r="G128" s="159" t="str">
        <f>_xlfn.XLOOKUP(ITEquipmentTable[[#This Row],[Name]], IntuneData[Device name], IntuneData[Serial number], "")</f>
        <v/>
      </c>
      <c r="H128" s="168" t="s">
        <v>318</v>
      </c>
      <c r="I128" s="168"/>
      <c r="J128" s="168"/>
      <c r="K128" s="223" t="s">
        <v>226</v>
      </c>
      <c r="L128" s="159" t="str">
        <f>_xlfn.LET(
_xlpm.look, _xlfn.XLOOKUP(ITEquipmentTable[[#This Row],[Name]], VNCTable[ClientName], VNCTable[IP], ""),
_xlpm.chkk, IF(ITEquipmentTable[[#This Row],[IPv4 Address]] = "N/A", "N/A", _xlpm.look),
IF(ITEquipmentTable[[#This Row],[Name]] = "", "", _xlpm.chkk))</f>
        <v>N/A</v>
      </c>
      <c r="M128" s="168" t="s">
        <v>2126</v>
      </c>
      <c r="N128" s="161" t="str">
        <f>_xlfn.LET(_xlpm.emp, IF(_xlfn.XLOOKUP(ITEquipmentTable[[#This Row],[Assigned Employee]], EmployeeTable[name], EmployeeTable[Active], TRUE), "Employee", "Recover"),
IF(ITEquipmentTable[[#This Row],[Storage Location]] = "Assigned to Employee", _xlpm.emp, "N/A"))</f>
        <v>N/A</v>
      </c>
      <c r="O128" s="161" t="str" cm="1">
        <f t="array" ref="O12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2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128" s="168" t="s">
        <v>441</v>
      </c>
      <c r="R128" s="168" t="s">
        <v>351</v>
      </c>
      <c r="T128" s="194"/>
      <c r="X128" s="1">
        <v>1313</v>
      </c>
      <c r="Y128" s="223" t="s">
        <v>778</v>
      </c>
      <c r="Z128" s="1" t="b">
        <v>0</v>
      </c>
      <c r="AA128"/>
    </row>
    <row r="129" spans="1:27" s="1" customFormat="1" hidden="1" x14ac:dyDescent="0.2">
      <c r="A129" s="155">
        <v>626</v>
      </c>
      <c r="F129" s="195"/>
      <c r="G129" s="164" t="str">
        <f>_xlfn.XLOOKUP(ITEquipmentTable[[#This Row],[Name]], IntuneData[Device name], IntuneData[Serial number], "")</f>
        <v/>
      </c>
      <c r="K129" s="154"/>
      <c r="L129" s="164" t="str">
        <f>_xlfn.LET(
_xlpm.look, _xlfn.XLOOKUP(ITEquipmentTable[[#This Row],[Name]], VNCTable[ClientName], VNCTable[IP], ""),
_xlpm.chkk, IF(ITEquipmentTable[[#This Row],[IPv4 Address]] = "N/A", "N/A", _xlpm.look),
IF(ITEquipmentTable[[#This Row],[Name]] = "", "", _xlpm.chkk))</f>
        <v/>
      </c>
      <c r="M129" s="1" t="s">
        <v>1403</v>
      </c>
      <c r="N129" s="159" t="str">
        <f>_xlfn.LET(_xlpm.emp, IF(_xlfn.XLOOKUP(ITEquipmentTable[[#This Row],[Assigned Employee]], EmployeeTable[name], EmployeeTable[Active], TRUE), "Employee", "Recover"),
IF(ITEquipmentTable[[#This Row],[Storage Location]] = "Assigned to Employee", _xlpm.emp, "N/A"))</f>
        <v>N/A</v>
      </c>
      <c r="O129" s="161" t="str" cm="1">
        <f t="array" ref="O12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12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29" s="1" t="s">
        <v>298</v>
      </c>
      <c r="T129" s="194"/>
      <c r="X129" s="1">
        <v>1516</v>
      </c>
      <c r="Y129" s="223" t="s">
        <v>783</v>
      </c>
      <c r="Z129" s="1" t="b">
        <v>0</v>
      </c>
      <c r="AA129"/>
    </row>
    <row r="130" spans="1:27" s="1" customFormat="1" hidden="1" x14ac:dyDescent="0.2">
      <c r="A130" s="155">
        <v>123</v>
      </c>
      <c r="B130" s="189" t="s">
        <v>304</v>
      </c>
      <c r="F130" s="195"/>
      <c r="G130" s="159" t="str">
        <f>_xlfn.XLOOKUP(ITEquipmentTable[[#This Row],[Name]], IntuneData[Device name], IntuneData[Serial number], "")</f>
        <v/>
      </c>
      <c r="H130" s="193" t="s">
        <v>295</v>
      </c>
      <c r="I130" s="193" t="s">
        <v>830</v>
      </c>
      <c r="J130" s="193"/>
      <c r="K130" s="225" t="s">
        <v>831</v>
      </c>
      <c r="L130" s="159" t="str">
        <f>_xlfn.LET(
_xlpm.look, _xlfn.XLOOKUP(ITEquipmentTable[[#This Row],[Name]], VNCTable[ClientName], VNCTable[IP], ""),
_xlpm.chkk, IF(ITEquipmentTable[[#This Row],[IPv4 Address]] = "N/A", "N/A", _xlpm.look),
IF(ITEquipmentTable[[#This Row],[Name]] = "", "", _xlpm.chkk))</f>
        <v>172.18.74.38</v>
      </c>
      <c r="M130" s="193" t="s">
        <v>832</v>
      </c>
      <c r="N130" s="161" t="str">
        <f>_xlfn.LET(_xlpm.emp, IF(_xlfn.XLOOKUP(ITEquipmentTable[[#This Row],[Assigned Employee]], EmployeeTable[name], EmployeeTable[Active], TRUE), "Employee", "Recover"),
IF(ITEquipmentTable[[#This Row],[Storage Location]] = "Assigned to Employee", _xlpm.emp, "N/A"))</f>
        <v>N/A</v>
      </c>
      <c r="O130" s="161" t="str" cm="1">
        <f t="array" ref="O13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3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30" s="193"/>
      <c r="R130" s="189" t="s">
        <v>312</v>
      </c>
      <c r="S130" s="189" t="s">
        <v>299</v>
      </c>
      <c r="T130" s="194"/>
      <c r="X130" s="1">
        <v>1528</v>
      </c>
      <c r="Y130" s="223" t="s">
        <v>788</v>
      </c>
      <c r="Z130" s="1" t="b">
        <v>0</v>
      </c>
      <c r="AA130"/>
    </row>
    <row r="131" spans="1:27" s="1" customFormat="1" hidden="1" x14ac:dyDescent="0.2">
      <c r="A131" s="155">
        <v>124</v>
      </c>
      <c r="B131" s="1" t="s">
        <v>294</v>
      </c>
      <c r="C131" s="1" t="s">
        <v>403</v>
      </c>
      <c r="D131" s="1" t="s">
        <v>1170</v>
      </c>
      <c r="E131" s="1" t="s">
        <v>306</v>
      </c>
      <c r="F131" s="195" t="s">
        <v>1405</v>
      </c>
      <c r="G131" s="159" t="str">
        <f>_xlfn.XLOOKUP(ITEquipmentTable[[#This Row],[Name]], IntuneData[Device name], IntuneData[Serial number], "")</f>
        <v/>
      </c>
      <c r="H131" s="168"/>
      <c r="I131" s="168"/>
      <c r="J131" s="168"/>
      <c r="K131" s="154" t="s">
        <v>508</v>
      </c>
      <c r="L131" s="159" t="str">
        <f>_xlfn.LET(
_xlpm.look, _xlfn.XLOOKUP(ITEquipmentTable[[#This Row],[Name]], VNCTable[ClientName], VNCTable[IP], ""),
_xlpm.chkk, IF(ITEquipmentTable[[#This Row],[IPv4 Address]] = "N/A", "N/A", _xlpm.look),
IF(ITEquipmentTable[[#This Row],[Name]] = "", "", _xlpm.chkk))</f>
        <v/>
      </c>
      <c r="M131" s="168" t="s">
        <v>1406</v>
      </c>
      <c r="N131" s="161" t="str">
        <f>_xlfn.LET(_xlpm.emp, IF(_xlfn.XLOOKUP(ITEquipmentTable[[#This Row],[Assigned Employee]], EmployeeTable[name], EmployeeTable[Active], TRUE), "Employee", "Recover"),
IF(ITEquipmentTable[[#This Row],[Storage Location]] = "Assigned to Employee", _xlpm.emp, "N/A"))</f>
        <v>N/A</v>
      </c>
      <c r="O131" s="161" t="str" cm="1">
        <f t="array" ref="O13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3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31" s="1" t="s">
        <v>405</v>
      </c>
      <c r="T131" s="194"/>
      <c r="X131" s="1">
        <v>1534</v>
      </c>
      <c r="Y131" s="223" t="s">
        <v>793</v>
      </c>
      <c r="Z131" s="1" t="b">
        <v>0</v>
      </c>
      <c r="AA131"/>
    </row>
    <row r="132" spans="1:27" s="1" customFormat="1" hidden="1" x14ac:dyDescent="0.2">
      <c r="A132" s="155">
        <v>125</v>
      </c>
      <c r="B132" s="1" t="s">
        <v>294</v>
      </c>
      <c r="C132" s="1" t="s">
        <v>403</v>
      </c>
      <c r="D132" s="1" t="s">
        <v>1155</v>
      </c>
      <c r="E132" s="1" t="s">
        <v>306</v>
      </c>
      <c r="F132" s="195" t="s">
        <v>1408</v>
      </c>
      <c r="G132" s="159" t="str">
        <f>_xlfn.XLOOKUP(ITEquipmentTable[[#This Row],[Name]], IntuneData[Device name], IntuneData[Serial number], "")</f>
        <v/>
      </c>
      <c r="H132" s="1" t="s">
        <v>384</v>
      </c>
      <c r="I132" s="189"/>
      <c r="J132" s="189" t="s">
        <v>655</v>
      </c>
      <c r="K132" s="154" t="s">
        <v>508</v>
      </c>
      <c r="L132" s="159" t="str">
        <f>_xlfn.LET(
_xlpm.look, _xlfn.XLOOKUP(ITEquipmentTable[[#This Row],[Name]], VNCTable[ClientName], VNCTable[IP], ""),
_xlpm.chkk, IF(ITEquipmentTable[[#This Row],[IPv4 Address]] = "N/A", "N/A", _xlpm.look),
IF(ITEquipmentTable[[#This Row],[Name]] = "", "", _xlpm.chkk))</f>
        <v/>
      </c>
      <c r="M132" s="189" t="s">
        <v>1409</v>
      </c>
      <c r="N132" s="159" t="str">
        <f>_xlfn.LET(_xlpm.emp, IF(_xlfn.XLOOKUP(ITEquipmentTable[[#This Row],[Assigned Employee]], EmployeeTable[name], EmployeeTable[Active], TRUE), "Employee", "Recover"),
IF(ITEquipmentTable[[#This Row],[Storage Location]] = "Assigned to Employee", _xlpm.emp, "N/A"))</f>
        <v>Employee</v>
      </c>
      <c r="O132" s="159" t="str" cm="1">
        <f t="array" ref="O13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3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132" s="189" t="s">
        <v>312</v>
      </c>
      <c r="T132" s="194"/>
      <c r="X132" s="1">
        <v>1542</v>
      </c>
      <c r="Y132" s="223" t="s">
        <v>796</v>
      </c>
      <c r="Z132" s="1" t="b">
        <v>0</v>
      </c>
      <c r="AA132"/>
    </row>
    <row r="133" spans="1:27" s="1" customFormat="1" hidden="1" x14ac:dyDescent="0.2">
      <c r="A133" s="155">
        <v>538</v>
      </c>
      <c r="B133" s="1" t="s">
        <v>294</v>
      </c>
      <c r="C133" s="1" t="s">
        <v>403</v>
      </c>
      <c r="E133" s="1" t="s">
        <v>306</v>
      </c>
      <c r="F133" s="195"/>
      <c r="G133" s="164" t="str">
        <f>_xlfn.XLOOKUP(ITEquipmentTable[[#This Row],[Name]], IntuneData[Device name], IntuneData[Serial number], "")</f>
        <v/>
      </c>
      <c r="K133" s="154" t="s">
        <v>508</v>
      </c>
      <c r="L133" s="164" t="str">
        <f>_xlfn.LET(
_xlpm.look, _xlfn.XLOOKUP(ITEquipmentTable[[#This Row],[Name]], VNCTable[ClientName], VNCTable[IP], ""),
_xlpm.chkk, IF(ITEquipmentTable[[#This Row],[IPv4 Address]] = "N/A", "N/A", _xlpm.look),
IF(ITEquipmentTable[[#This Row],[Name]] = "", "", _xlpm.chkk))</f>
        <v/>
      </c>
      <c r="M133" s="1" t="s">
        <v>1411</v>
      </c>
      <c r="N133" s="159" t="str">
        <f>_xlfn.LET(_xlpm.emp, IF(_xlfn.XLOOKUP(ITEquipmentTable[[#This Row],[Assigned Employee]], EmployeeTable[name], EmployeeTable[Active], TRUE), "Employee", "Recover"),
IF(ITEquipmentTable[[#This Row],[Storage Location]] = "Assigned to Employee", _xlpm.emp, "N/A"))</f>
        <v>N/A</v>
      </c>
      <c r="O133" s="159" t="str" cm="1">
        <f t="array" ref="O13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3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33" s="1" t="s">
        <v>298</v>
      </c>
      <c r="T133" s="194"/>
      <c r="X133" s="1">
        <v>1544</v>
      </c>
      <c r="Y133" s="223" t="s">
        <v>801</v>
      </c>
      <c r="Z133" s="1" t="b">
        <v>0</v>
      </c>
      <c r="AA133"/>
    </row>
    <row r="134" spans="1:27" s="1" customFormat="1" hidden="1" x14ac:dyDescent="0.2">
      <c r="A134" s="155">
        <v>627</v>
      </c>
      <c r="B134" s="1" t="s">
        <v>294</v>
      </c>
      <c r="C134" s="1" t="s">
        <v>403</v>
      </c>
      <c r="E134" s="1" t="s">
        <v>306</v>
      </c>
      <c r="F134" s="195"/>
      <c r="G134" s="164" t="str">
        <f>_xlfn.XLOOKUP(ITEquipmentTable[[#This Row],[Name]], IntuneData[Device name], IntuneData[Serial number], "")</f>
        <v/>
      </c>
      <c r="K134" s="154" t="s">
        <v>508</v>
      </c>
      <c r="L134" s="164" t="str">
        <f>_xlfn.LET(
_xlpm.look, _xlfn.XLOOKUP(ITEquipmentTable[[#This Row],[Name]], VNCTable[ClientName], VNCTable[IP], ""),
_xlpm.chkk, IF(ITEquipmentTable[[#This Row],[IPv4 Address]] = "N/A", "N/A", _xlpm.look),
IF(ITEquipmentTable[[#This Row],[Name]] = "", "", _xlpm.chkk))</f>
        <v/>
      </c>
      <c r="M134" s="1" t="s">
        <v>1413</v>
      </c>
      <c r="N134" s="159" t="str">
        <f>_xlfn.LET(_xlpm.emp, IF(_xlfn.XLOOKUP(ITEquipmentTable[[#This Row],[Assigned Employee]], EmployeeTable[name], EmployeeTable[Active], TRUE), "Employee", "Recover"),
IF(ITEquipmentTable[[#This Row],[Storage Location]] = "Assigned to Employee", _xlpm.emp, "N/A"))</f>
        <v>N/A</v>
      </c>
      <c r="O134" s="161" t="str" cm="1">
        <f t="array" ref="O13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3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34" s="1" t="s">
        <v>298</v>
      </c>
      <c r="T134" s="194"/>
      <c r="X134" s="1">
        <v>1548</v>
      </c>
      <c r="Y134" s="223" t="s">
        <v>803</v>
      </c>
      <c r="Z134" s="1" t="b">
        <v>0</v>
      </c>
      <c r="AA134"/>
    </row>
    <row r="135" spans="1:27" s="1" customFormat="1" hidden="1" x14ac:dyDescent="0.2">
      <c r="A135" s="155">
        <v>126</v>
      </c>
      <c r="B135" s="1" t="s">
        <v>294</v>
      </c>
      <c r="C135" s="1" t="s">
        <v>403</v>
      </c>
      <c r="D135" s="1" t="s">
        <v>656</v>
      </c>
      <c r="E135" s="1" t="s">
        <v>306</v>
      </c>
      <c r="F135" s="195" t="s">
        <v>1417</v>
      </c>
      <c r="G135" s="159" t="str">
        <f>_xlfn.XLOOKUP(ITEquipmentTable[[#This Row],[Name]], IntuneData[Device name], IntuneData[Serial number], "")</f>
        <v/>
      </c>
      <c r="H135" s="168"/>
      <c r="I135" s="168"/>
      <c r="J135" s="168"/>
      <c r="K135" s="154" t="s">
        <v>508</v>
      </c>
      <c r="L135" s="159" t="str">
        <f>_xlfn.LET(
_xlpm.look, _xlfn.XLOOKUP(ITEquipmentTable[[#This Row],[Name]], VNCTable[ClientName], VNCTable[IP], ""),
_xlpm.chkk, IF(ITEquipmentTable[[#This Row],[IPv4 Address]] = "N/A", "N/A", _xlpm.look),
IF(ITEquipmentTable[[#This Row],[Name]] = "", "", _xlpm.chkk))</f>
        <v/>
      </c>
      <c r="M135" s="168" t="s">
        <v>1418</v>
      </c>
      <c r="N135" s="161" t="str">
        <f>_xlfn.LET(_xlpm.emp, IF(_xlfn.XLOOKUP(ITEquipmentTable[[#This Row],[Assigned Employee]], EmployeeTable[name], EmployeeTable[Active], TRUE), "Employee", "Recover"),
IF(ITEquipmentTable[[#This Row],[Storage Location]] = "Assigned to Employee", _xlpm.emp, "N/A"))</f>
        <v>N/A</v>
      </c>
      <c r="O135" s="161" t="str" cm="1">
        <f t="array" ref="O13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3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35" s="1" t="s">
        <v>405</v>
      </c>
      <c r="T135" s="194"/>
      <c r="X135" s="1">
        <v>1553</v>
      </c>
      <c r="Y135" s="223" t="s">
        <v>807</v>
      </c>
      <c r="Z135" s="1" t="b">
        <v>0</v>
      </c>
      <c r="AA135"/>
    </row>
    <row r="136" spans="1:27" s="1" customFormat="1" hidden="1" x14ac:dyDescent="0.2">
      <c r="A136" s="155">
        <v>129</v>
      </c>
      <c r="B136" s="1" t="s">
        <v>294</v>
      </c>
      <c r="C136" s="1" t="s">
        <v>403</v>
      </c>
      <c r="D136" s="1" t="s">
        <v>1179</v>
      </c>
      <c r="E136" s="1" t="s">
        <v>306</v>
      </c>
      <c r="F136" s="195" t="s">
        <v>1424</v>
      </c>
      <c r="G136" s="159" t="str">
        <f>_xlfn.XLOOKUP(ITEquipmentTable[[#This Row],[Name]], IntuneData[Device name], IntuneData[Serial number], "")</f>
        <v>5CG6290RCD</v>
      </c>
      <c r="I136" s="189"/>
      <c r="J136" s="189"/>
      <c r="K136" s="154" t="s">
        <v>508</v>
      </c>
      <c r="L136" s="159" t="str">
        <f>_xlfn.LET(
_xlpm.look, _xlfn.XLOOKUP(ITEquipmentTable[[#This Row],[Name]], VNCTable[ClientName], VNCTable[IP], ""),
_xlpm.chkk, IF(ITEquipmentTable[[#This Row],[IPv4 Address]] = "N/A", "N/A", _xlpm.look),
IF(ITEquipmentTable[[#This Row],[Name]] = "", "", _xlpm.chkk))</f>
        <v/>
      </c>
      <c r="M136" s="1" t="s">
        <v>1425</v>
      </c>
      <c r="N136" s="159" t="str">
        <f>_xlfn.LET(_xlpm.emp, IF(_xlfn.XLOOKUP(ITEquipmentTable[[#This Row],[Assigned Employee]], EmployeeTable[name], EmployeeTable[Active], TRUE), "Employee", "Recover"),
IF(ITEquipmentTable[[#This Row],[Storage Location]] = "Assigned to Employee", _xlpm.emp, "N/A"))</f>
        <v>N/A</v>
      </c>
      <c r="O136" s="159" t="str" cm="1">
        <f t="array" ref="O13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3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136" s="189" t="s">
        <v>312</v>
      </c>
      <c r="T136" s="194"/>
      <c r="X136" s="1">
        <v>1559</v>
      </c>
      <c r="Y136" s="223" t="s">
        <v>809</v>
      </c>
      <c r="Z136" s="1" t="b">
        <v>0</v>
      </c>
      <c r="AA136"/>
    </row>
    <row r="137" spans="1:27" s="1" customFormat="1" hidden="1" x14ac:dyDescent="0.2">
      <c r="A137" s="155">
        <v>130</v>
      </c>
      <c r="B137" s="1" t="s">
        <v>294</v>
      </c>
      <c r="C137" s="1" t="s">
        <v>403</v>
      </c>
      <c r="D137" s="1" t="s">
        <v>1170</v>
      </c>
      <c r="E137" s="1" t="s">
        <v>306</v>
      </c>
      <c r="F137" s="195" t="s">
        <v>1427</v>
      </c>
      <c r="G137" s="159" t="str">
        <f>_xlfn.XLOOKUP(ITEquipmentTable[[#This Row],[Name]], IntuneData[Device name], IntuneData[Serial number], "")</f>
        <v/>
      </c>
      <c r="H137" s="168"/>
      <c r="I137" s="168"/>
      <c r="J137" s="168"/>
      <c r="K137" s="154" t="s">
        <v>508</v>
      </c>
      <c r="L137" s="159" t="str">
        <f>_xlfn.LET(
_xlpm.look, _xlfn.XLOOKUP(ITEquipmentTable[[#This Row],[Name]], VNCTable[ClientName], VNCTable[IP], ""),
_xlpm.chkk, IF(ITEquipmentTable[[#This Row],[IPv4 Address]] = "N/A", "N/A", _xlpm.look),
IF(ITEquipmentTable[[#This Row],[Name]] = "", "", _xlpm.chkk))</f>
        <v/>
      </c>
      <c r="M137" s="168" t="s">
        <v>1428</v>
      </c>
      <c r="N137" s="161" t="str">
        <f>_xlfn.LET(_xlpm.emp, IF(_xlfn.XLOOKUP(ITEquipmentTable[[#This Row],[Assigned Employee]], EmployeeTable[name], EmployeeTable[Active], TRUE), "Employee", "Recover"),
IF(ITEquipmentTable[[#This Row],[Storage Location]] = "Assigned to Employee", _xlpm.emp, "N/A"))</f>
        <v>N/A</v>
      </c>
      <c r="O137" s="161" t="str" cm="1">
        <f t="array" ref="O13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3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37" s="1" t="s">
        <v>405</v>
      </c>
      <c r="T137" s="194"/>
      <c r="X137" s="1">
        <v>1565</v>
      </c>
      <c r="Y137" s="223" t="s">
        <v>811</v>
      </c>
      <c r="Z137" s="1" t="b">
        <v>0</v>
      </c>
      <c r="AA137"/>
    </row>
    <row r="138" spans="1:27" s="1" customFormat="1" hidden="1" x14ac:dyDescent="0.2">
      <c r="A138" s="155">
        <v>629</v>
      </c>
      <c r="B138" s="1" t="s">
        <v>294</v>
      </c>
      <c r="C138" s="1" t="s">
        <v>403</v>
      </c>
      <c r="E138" s="1" t="s">
        <v>306</v>
      </c>
      <c r="F138" s="195"/>
      <c r="G138" s="164" t="str">
        <f>_xlfn.XLOOKUP(ITEquipmentTable[[#This Row],[Name]], IntuneData[Device name], IntuneData[Serial number], "")</f>
        <v/>
      </c>
      <c r="K138" s="154" t="s">
        <v>508</v>
      </c>
      <c r="L138" s="164" t="str">
        <f>_xlfn.LET(
_xlpm.look, _xlfn.XLOOKUP(ITEquipmentTable[[#This Row],[Name]], VNCTable[ClientName], VNCTable[IP], ""),
_xlpm.chkk, IF(ITEquipmentTable[[#This Row],[IPv4 Address]] = "N/A", "N/A", _xlpm.look),
IF(ITEquipmentTable[[#This Row],[Name]] = "", "", _xlpm.chkk))</f>
        <v/>
      </c>
      <c r="M138" s="1" t="s">
        <v>1430</v>
      </c>
      <c r="N138" s="159" t="str">
        <f>_xlfn.LET(_xlpm.emp, IF(_xlfn.XLOOKUP(ITEquipmentTable[[#This Row],[Assigned Employee]], EmployeeTable[name], EmployeeTable[Active], TRUE), "Employee", "Recover"),
IF(ITEquipmentTable[[#This Row],[Storage Location]] = "Assigned to Employee", _xlpm.emp, "N/A"))</f>
        <v>N/A</v>
      </c>
      <c r="O138" s="161" t="str" cm="1">
        <f t="array" ref="O13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3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38" s="1" t="s">
        <v>298</v>
      </c>
      <c r="T138" s="194"/>
      <c r="X138" s="1">
        <v>1578</v>
      </c>
      <c r="Y138" s="223" t="s">
        <v>814</v>
      </c>
      <c r="Z138" s="1" t="b">
        <v>0</v>
      </c>
      <c r="AA138"/>
    </row>
    <row r="139" spans="1:27" s="1" customFormat="1" hidden="1" x14ac:dyDescent="0.2">
      <c r="A139" s="155">
        <v>630</v>
      </c>
      <c r="B139" s="1" t="s">
        <v>294</v>
      </c>
      <c r="C139" s="1" t="s">
        <v>403</v>
      </c>
      <c r="D139" s="1" t="s">
        <v>656</v>
      </c>
      <c r="E139" s="1" t="s">
        <v>306</v>
      </c>
      <c r="F139" s="195" t="s">
        <v>1466</v>
      </c>
      <c r="G139" s="164" t="str">
        <f>_xlfn.XLOOKUP(ITEquipmentTable[[#This Row],[Name]], IntuneData[Device name], IntuneData[Serial number], "")</f>
        <v>CNU416CTB2</v>
      </c>
      <c r="K139" s="154" t="s">
        <v>508</v>
      </c>
      <c r="L139" s="164" t="str">
        <f>_xlfn.LET(
_xlpm.look, _xlfn.XLOOKUP(ITEquipmentTable[[#This Row],[Name]], VNCTable[ClientName], VNCTable[IP], ""),
_xlpm.chkk, IF(ITEquipmentTable[[#This Row],[IPv4 Address]] = "N/A", "N/A", _xlpm.look),
IF(ITEquipmentTable[[#This Row],[Name]] = "", "", _xlpm.chkk))</f>
        <v/>
      </c>
      <c r="M139" s="1" t="s">
        <v>1432</v>
      </c>
      <c r="N139" s="159" t="str">
        <f>_xlfn.LET(_xlpm.emp, IF(_xlfn.XLOOKUP(ITEquipmentTable[[#This Row],[Assigned Employee]], EmployeeTable[name], EmployeeTable[Active], TRUE), "Employee", "Recover"),
IF(ITEquipmentTable[[#This Row],[Storage Location]] = "Assigned to Employee", _xlpm.emp, "N/A"))</f>
        <v>N/A</v>
      </c>
      <c r="O139" s="161" t="str" cm="1">
        <f t="array" ref="O13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3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39" s="1" t="s">
        <v>298</v>
      </c>
      <c r="T139" s="194"/>
      <c r="X139" s="1">
        <v>1579</v>
      </c>
      <c r="Y139" s="223" t="s">
        <v>818</v>
      </c>
      <c r="Z139" s="1" t="b">
        <v>0</v>
      </c>
      <c r="AA139"/>
    </row>
    <row r="140" spans="1:27" s="1" customFormat="1" hidden="1" x14ac:dyDescent="0.2">
      <c r="A140" s="155">
        <v>631</v>
      </c>
      <c r="B140" s="1" t="s">
        <v>294</v>
      </c>
      <c r="C140" s="1" t="s">
        <v>403</v>
      </c>
      <c r="E140" s="1" t="s">
        <v>306</v>
      </c>
      <c r="F140" s="195"/>
      <c r="G140" s="164" t="str">
        <f>_xlfn.XLOOKUP(ITEquipmentTable[[#This Row],[Name]], IntuneData[Device name], IntuneData[Serial number], "")</f>
        <v/>
      </c>
      <c r="K140" s="154" t="s">
        <v>508</v>
      </c>
      <c r="L140" s="164" t="str">
        <f>_xlfn.LET(
_xlpm.look, _xlfn.XLOOKUP(ITEquipmentTable[[#This Row],[Name]], VNCTable[ClientName], VNCTable[IP], ""),
_xlpm.chkk, IF(ITEquipmentTable[[#This Row],[IPv4 Address]] = "N/A", "N/A", _xlpm.look),
IF(ITEquipmentTable[[#This Row],[Name]] = "", "", _xlpm.chkk))</f>
        <v/>
      </c>
      <c r="M140" s="1" t="s">
        <v>1434</v>
      </c>
      <c r="N140" s="159" t="str">
        <f>_xlfn.LET(_xlpm.emp, IF(_xlfn.XLOOKUP(ITEquipmentTable[[#This Row],[Assigned Employee]], EmployeeTable[name], EmployeeTable[Active], TRUE), "Employee", "Recover"),
IF(ITEquipmentTable[[#This Row],[Storage Location]] = "Assigned to Employee", _xlpm.emp, "N/A"))</f>
        <v>N/A</v>
      </c>
      <c r="O140" s="161" t="str" cm="1">
        <f t="array" ref="O14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4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40" s="1" t="s">
        <v>298</v>
      </c>
      <c r="T140" s="194"/>
      <c r="X140" s="1">
        <v>1580</v>
      </c>
      <c r="Y140" s="223" t="s">
        <v>820</v>
      </c>
      <c r="Z140" s="1" t="b">
        <v>0</v>
      </c>
      <c r="AA140"/>
    </row>
    <row r="141" spans="1:27" s="1" customFormat="1" hidden="1" x14ac:dyDescent="0.2">
      <c r="A141" s="155">
        <v>632</v>
      </c>
      <c r="B141" s="1" t="s">
        <v>294</v>
      </c>
      <c r="C141" s="1" t="s">
        <v>403</v>
      </c>
      <c r="E141" s="1" t="s">
        <v>306</v>
      </c>
      <c r="F141" s="195"/>
      <c r="G141" s="164" t="str">
        <f>_xlfn.XLOOKUP(ITEquipmentTable[[#This Row],[Name]], IntuneData[Device name], IntuneData[Serial number], "")</f>
        <v/>
      </c>
      <c r="K141" s="154" t="s">
        <v>508</v>
      </c>
      <c r="L141" s="164" t="str">
        <f>_xlfn.LET(
_xlpm.look, _xlfn.XLOOKUP(ITEquipmentTable[[#This Row],[Name]], VNCTable[ClientName], VNCTable[IP], ""),
_xlpm.chkk, IF(ITEquipmentTable[[#This Row],[IPv4 Address]] = "N/A", "N/A", _xlpm.look),
IF(ITEquipmentTable[[#This Row],[Name]] = "", "", _xlpm.chkk))</f>
        <v/>
      </c>
      <c r="M141" s="1" t="s">
        <v>1436</v>
      </c>
      <c r="N141" s="159" t="str">
        <f>_xlfn.LET(_xlpm.emp, IF(_xlfn.XLOOKUP(ITEquipmentTable[[#This Row],[Assigned Employee]], EmployeeTable[name], EmployeeTable[Active], TRUE), "Employee", "Recover"),
IF(ITEquipmentTable[[#This Row],[Storage Location]] = "Assigned to Employee", _xlpm.emp, "N/A"))</f>
        <v>N/A</v>
      </c>
      <c r="O141" s="161" t="str" cm="1">
        <f t="array" ref="O14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4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41" s="1" t="s">
        <v>298</v>
      </c>
      <c r="T141" s="194"/>
      <c r="X141" s="1">
        <v>1588</v>
      </c>
      <c r="Y141" s="223" t="s">
        <v>823</v>
      </c>
      <c r="Z141" s="1" t="b">
        <v>0</v>
      </c>
      <c r="AA141"/>
    </row>
    <row r="142" spans="1:27" s="1" customFormat="1" hidden="1" x14ac:dyDescent="0.2">
      <c r="A142" s="155">
        <v>539</v>
      </c>
      <c r="B142" s="1" t="s">
        <v>294</v>
      </c>
      <c r="C142" s="1" t="s">
        <v>403</v>
      </c>
      <c r="D142" s="1" t="s">
        <v>1179</v>
      </c>
      <c r="E142" s="1" t="s">
        <v>306</v>
      </c>
      <c r="F142" s="195" t="s">
        <v>1691</v>
      </c>
      <c r="G142" s="164" t="str">
        <f>_xlfn.XLOOKUP(ITEquipmentTable[[#This Row],[Name]], IntuneData[Device name], IntuneData[Serial number], "")</f>
        <v>5CG6122NDY</v>
      </c>
      <c r="K142" s="154" t="s">
        <v>508</v>
      </c>
      <c r="L142" s="164" t="str">
        <f>_xlfn.LET(
_xlpm.look, _xlfn.XLOOKUP(ITEquipmentTable[[#This Row],[Name]], VNCTable[ClientName], VNCTable[IP], ""),
_xlpm.chkk, IF(ITEquipmentTable[[#This Row],[IPv4 Address]] = "N/A", "N/A", _xlpm.look),
IF(ITEquipmentTable[[#This Row],[Name]] = "", "", _xlpm.chkk))</f>
        <v/>
      </c>
      <c r="M142" s="1" t="s">
        <v>1438</v>
      </c>
      <c r="N142" s="159" t="str">
        <f>_xlfn.LET(_xlpm.emp, IF(_xlfn.XLOOKUP(ITEquipmentTable[[#This Row],[Assigned Employee]], EmployeeTable[name], EmployeeTable[Active], TRUE), "Employee", "Recover"),
IF(ITEquipmentTable[[#This Row],[Storage Location]] = "Assigned to Employee", _xlpm.emp, "N/A"))</f>
        <v>N/A</v>
      </c>
      <c r="O142" s="159" t="str" cm="1">
        <f t="array" ref="O14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14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42" s="1" t="s">
        <v>298</v>
      </c>
      <c r="T142" s="194"/>
      <c r="X142" s="1">
        <v>1589</v>
      </c>
      <c r="Y142" s="223" t="s">
        <v>826</v>
      </c>
      <c r="Z142" s="1" t="b">
        <v>0</v>
      </c>
      <c r="AA142"/>
    </row>
    <row r="143" spans="1:27" s="1" customFormat="1" hidden="1" x14ac:dyDescent="0.2">
      <c r="A143" s="155">
        <v>865</v>
      </c>
      <c r="B143" s="1" t="s">
        <v>294</v>
      </c>
      <c r="C143" s="1" t="s">
        <v>403</v>
      </c>
      <c r="D143" s="1" t="s">
        <v>536</v>
      </c>
      <c r="E143" s="1" t="s">
        <v>306</v>
      </c>
      <c r="F143" s="195" t="s">
        <v>537</v>
      </c>
      <c r="G143" s="164" t="str">
        <f>_xlfn.XLOOKUP(ITEquipmentTable[[#This Row],[Name]], IntuneData[Device name], IntuneData[Serial number], "")</f>
        <v/>
      </c>
      <c r="H143" s="1" t="s">
        <v>295</v>
      </c>
      <c r="I143" s="1" t="s">
        <v>538</v>
      </c>
      <c r="K143" s="154" t="s">
        <v>508</v>
      </c>
      <c r="L143" s="164" t="str">
        <f>_xlfn.LET(
_xlpm.look, _xlfn.XLOOKUP(ITEquipmentTable[[#This Row],[Name]], VNCTable[ClientName], VNCTable[IP], ""),
_xlpm.chkk, IF(ITEquipmentTable[[#This Row],[IPv4 Address]] = "N/A", "N/A", _xlpm.look),
IF(ITEquipmentTable[[#This Row],[Name]] = "", "", _xlpm.chkk))</f>
        <v/>
      </c>
      <c r="M143" s="1" t="s">
        <v>539</v>
      </c>
      <c r="N143" s="159" t="str">
        <f>_xlfn.LET(_xlpm.emp, IF(_xlfn.XLOOKUP(ITEquipmentTable[[#This Row],[Assigned Employee]], EmployeeTable[name], EmployeeTable[Active], TRUE), "Employee", "Recover"),
IF(ITEquipmentTable[[#This Row],[Storage Location]] = "Assigned to Employee", _xlpm.emp, "N/A"))</f>
        <v>N/A</v>
      </c>
      <c r="O143" s="161" t="str" cm="1">
        <f t="array" ref="O14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14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143" s="1" t="s">
        <v>312</v>
      </c>
      <c r="T143" s="194"/>
      <c r="X143" s="1">
        <v>1618</v>
      </c>
      <c r="Y143" s="223" t="s">
        <v>829</v>
      </c>
      <c r="Z143" s="1" t="b">
        <v>0</v>
      </c>
      <c r="AA143"/>
    </row>
    <row r="144" spans="1:27" s="1" customFormat="1" hidden="1" x14ac:dyDescent="0.2">
      <c r="A144" s="155">
        <v>133</v>
      </c>
      <c r="B144" s="1" t="s">
        <v>294</v>
      </c>
      <c r="C144" s="1" t="s">
        <v>403</v>
      </c>
      <c r="D144" s="1" t="s">
        <v>1179</v>
      </c>
      <c r="E144" s="1" t="s">
        <v>306</v>
      </c>
      <c r="F144" s="195" t="s">
        <v>1444</v>
      </c>
      <c r="G144" s="159" t="str">
        <f>_xlfn.XLOOKUP(ITEquipmentTable[[#This Row],[Name]], IntuneData[Device name], IntuneData[Serial number], "")</f>
        <v/>
      </c>
      <c r="H144" s="168"/>
      <c r="I144" s="168"/>
      <c r="J144" s="168"/>
      <c r="K144" s="154" t="s">
        <v>508</v>
      </c>
      <c r="L144" s="159" t="str">
        <f>_xlfn.LET(
_xlpm.look, _xlfn.XLOOKUP(ITEquipmentTable[[#This Row],[Name]], VNCTable[ClientName], VNCTable[IP], ""),
_xlpm.chkk, IF(ITEquipmentTable[[#This Row],[IPv4 Address]] = "N/A", "N/A", _xlpm.look),
IF(ITEquipmentTable[[#This Row],[Name]] = "", "", _xlpm.chkk))</f>
        <v/>
      </c>
      <c r="M144" s="168" t="s">
        <v>1445</v>
      </c>
      <c r="N144" s="161" t="str">
        <f>_xlfn.LET(_xlpm.emp, IF(_xlfn.XLOOKUP(ITEquipmentTable[[#This Row],[Assigned Employee]], EmployeeTable[name], EmployeeTable[Active], TRUE), "Employee", "Recover"),
IF(ITEquipmentTable[[#This Row],[Storage Location]] = "Assigned to Employee", _xlpm.emp, "N/A"))</f>
        <v>N/A</v>
      </c>
      <c r="O144" s="161" t="str" cm="1">
        <f t="array" ref="O14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4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44" s="1" t="s">
        <v>405</v>
      </c>
      <c r="T144" s="194"/>
      <c r="X144" s="1">
        <v>1619</v>
      </c>
      <c r="Y144" s="223" t="s">
        <v>833</v>
      </c>
      <c r="Z144" s="1" t="b">
        <v>0</v>
      </c>
      <c r="AA144"/>
    </row>
    <row r="145" spans="1:27" s="1" customFormat="1" hidden="1" x14ac:dyDescent="0.2">
      <c r="A145" s="155">
        <v>540</v>
      </c>
      <c r="B145" s="1" t="s">
        <v>294</v>
      </c>
      <c r="C145" s="1" t="s">
        <v>403</v>
      </c>
      <c r="E145" s="1" t="s">
        <v>306</v>
      </c>
      <c r="F145" s="195" t="s">
        <v>2993</v>
      </c>
      <c r="G145" s="164" t="str">
        <f>_xlfn.XLOOKUP(ITEquipmentTable[[#This Row],[Name]], IntuneData[Device name], IntuneData[Serial number], "")</f>
        <v>5CG93692QD</v>
      </c>
      <c r="K145" s="154" t="s">
        <v>508</v>
      </c>
      <c r="L145" s="164" t="str">
        <f>_xlfn.LET(
_xlpm.look, _xlfn.XLOOKUP(ITEquipmentTable[[#This Row],[Name]], VNCTable[ClientName], VNCTable[IP], ""),
_xlpm.chkk, IF(ITEquipmentTable[[#This Row],[IPv4 Address]] = "N/A", "N/A", _xlpm.look),
IF(ITEquipmentTable[[#This Row],[Name]] = "", "", _xlpm.chkk))</f>
        <v/>
      </c>
      <c r="M145" s="1" t="s">
        <v>1447</v>
      </c>
      <c r="N145" s="159" t="str">
        <f>_xlfn.LET(_xlpm.emp, IF(_xlfn.XLOOKUP(ITEquipmentTable[[#This Row],[Assigned Employee]], EmployeeTable[name], EmployeeTable[Active], TRUE), "Employee", "Recover"),
IF(ITEquipmentTable[[#This Row],[Storage Location]] = "Assigned to Employee", _xlpm.emp, "N/A"))</f>
        <v>N/A</v>
      </c>
      <c r="O145" s="159" t="str" cm="1">
        <f t="array" ref="O14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4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45" s="1" t="s">
        <v>298</v>
      </c>
      <c r="T145" s="194"/>
      <c r="X145" s="1">
        <v>1632</v>
      </c>
      <c r="Y145" s="223" t="s">
        <v>834</v>
      </c>
      <c r="Z145" s="1" t="b">
        <v>0</v>
      </c>
      <c r="AA145"/>
    </row>
    <row r="146" spans="1:27" s="1" customFormat="1" hidden="1" x14ac:dyDescent="0.2">
      <c r="A146" s="155">
        <v>134</v>
      </c>
      <c r="B146" s="1" t="s">
        <v>294</v>
      </c>
      <c r="C146" s="1" t="s">
        <v>403</v>
      </c>
      <c r="D146" s="1" t="s">
        <v>656</v>
      </c>
      <c r="E146" s="1" t="s">
        <v>306</v>
      </c>
      <c r="F146" s="195" t="s">
        <v>1449</v>
      </c>
      <c r="G146" s="159" t="str">
        <f>_xlfn.XLOOKUP(ITEquipmentTable[[#This Row],[Name]], IntuneData[Device name], IntuneData[Serial number], "")</f>
        <v/>
      </c>
      <c r="H146" s="168"/>
      <c r="I146" s="168"/>
      <c r="J146" s="168"/>
      <c r="K146" s="154" t="s">
        <v>508</v>
      </c>
      <c r="L146" s="159" t="str">
        <f>_xlfn.LET(
_xlpm.look, _xlfn.XLOOKUP(ITEquipmentTable[[#This Row],[Name]], VNCTable[ClientName], VNCTable[IP], ""),
_xlpm.chkk, IF(ITEquipmentTable[[#This Row],[IPv4 Address]] = "N/A", "N/A", _xlpm.look),
IF(ITEquipmentTable[[#This Row],[Name]] = "", "", _xlpm.chkk))</f>
        <v/>
      </c>
      <c r="M146" s="168" t="s">
        <v>1450</v>
      </c>
      <c r="N146" s="161" t="str">
        <f>_xlfn.LET(_xlpm.emp, IF(_xlfn.XLOOKUP(ITEquipmentTable[[#This Row],[Assigned Employee]], EmployeeTable[name], EmployeeTable[Active], TRUE), "Employee", "Recover"),
IF(ITEquipmentTable[[#This Row],[Storage Location]] = "Assigned to Employee", _xlpm.emp, "N/A"))</f>
        <v>N/A</v>
      </c>
      <c r="O146" s="161" t="str" cm="1">
        <f t="array" ref="O14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4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46" s="1" t="s">
        <v>405</v>
      </c>
      <c r="T146" s="194"/>
      <c r="X146" s="1">
        <v>1679</v>
      </c>
      <c r="Y146" s="223" t="s">
        <v>839</v>
      </c>
      <c r="Z146" s="1" t="b">
        <v>0</v>
      </c>
      <c r="AA146"/>
    </row>
    <row r="147" spans="1:27" s="1" customFormat="1" hidden="1" x14ac:dyDescent="0.2">
      <c r="A147" s="155">
        <v>541</v>
      </c>
      <c r="B147" s="1" t="s">
        <v>294</v>
      </c>
      <c r="C147" s="1" t="s">
        <v>403</v>
      </c>
      <c r="E147" s="1" t="s">
        <v>306</v>
      </c>
      <c r="F147" s="195" t="s">
        <v>2997</v>
      </c>
      <c r="G147" s="164" t="str">
        <f>_xlfn.XLOOKUP(ITEquipmentTable[[#This Row],[Name]], IntuneData[Device name], IntuneData[Serial number], "")</f>
        <v>5CG01569DV</v>
      </c>
      <c r="H147" s="1" t="s">
        <v>384</v>
      </c>
      <c r="K147" s="154" t="s">
        <v>508</v>
      </c>
      <c r="L147" s="164" t="str">
        <f>_xlfn.LET(
_xlpm.look, _xlfn.XLOOKUP(ITEquipmentTable[[#This Row],[Name]], VNCTable[ClientName], VNCTable[IP], ""),
_xlpm.chkk, IF(ITEquipmentTable[[#This Row],[IPv4 Address]] = "N/A", "N/A", _xlpm.look),
IF(ITEquipmentTable[[#This Row],[Name]] = "", "", _xlpm.chkk))</f>
        <v/>
      </c>
      <c r="M147" s="1" t="s">
        <v>1452</v>
      </c>
      <c r="N147" s="159" t="str">
        <f>_xlfn.LET(_xlpm.emp, IF(_xlfn.XLOOKUP(ITEquipmentTable[[#This Row],[Assigned Employee]], EmployeeTable[name], EmployeeTable[Active], TRUE), "Employee", "Recover"),
IF(ITEquipmentTable[[#This Row],[Storage Location]] = "Assigned to Employee", _xlpm.emp, "N/A"))</f>
        <v>Employee</v>
      </c>
      <c r="O147" s="159" t="str" cm="1">
        <f t="array" ref="O14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14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47" s="1" t="s">
        <v>298</v>
      </c>
      <c r="T147" s="194"/>
      <c r="X147" s="1">
        <v>1687</v>
      </c>
      <c r="Y147" s="223" t="s">
        <v>843</v>
      </c>
      <c r="Z147" s="1" t="b">
        <v>0</v>
      </c>
      <c r="AA147"/>
    </row>
    <row r="148" spans="1:27" s="1" customFormat="1" hidden="1" x14ac:dyDescent="0.2">
      <c r="A148" s="155">
        <v>633</v>
      </c>
      <c r="B148" s="1" t="s">
        <v>294</v>
      </c>
      <c r="C148" s="1" t="s">
        <v>403</v>
      </c>
      <c r="E148" s="1" t="s">
        <v>306</v>
      </c>
      <c r="F148" s="195" t="s">
        <v>3265</v>
      </c>
      <c r="G148" s="164" t="str">
        <f>_xlfn.XLOOKUP(ITEquipmentTable[[#This Row],[Name]], IntuneData[Device name], IntuneData[Serial number], "")</f>
        <v>5CG4193FWP</v>
      </c>
      <c r="K148" s="154" t="s">
        <v>508</v>
      </c>
      <c r="L148" s="164" t="str">
        <f>_xlfn.LET(
_xlpm.look, _xlfn.XLOOKUP(ITEquipmentTable[[#This Row],[Name]], VNCTable[ClientName], VNCTable[IP], ""),
_xlpm.chkk, IF(ITEquipmentTable[[#This Row],[IPv4 Address]] = "N/A", "N/A", _xlpm.look),
IF(ITEquipmentTable[[#This Row],[Name]] = "", "", _xlpm.chkk))</f>
        <v/>
      </c>
      <c r="M148" s="1" t="s">
        <v>1454</v>
      </c>
      <c r="N148" s="159" t="str">
        <f>_xlfn.LET(_xlpm.emp, IF(_xlfn.XLOOKUP(ITEquipmentTable[[#This Row],[Assigned Employee]], EmployeeTable[name], EmployeeTable[Active], TRUE), "Employee", "Recover"),
IF(ITEquipmentTable[[#This Row],[Storage Location]] = "Assigned to Employee", _xlpm.emp, "N/A"))</f>
        <v>N/A</v>
      </c>
      <c r="O148" s="161" t="str" cm="1">
        <f t="array" ref="O14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22H2</v>
      </c>
      <c r="P14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48" s="1" t="s">
        <v>298</v>
      </c>
      <c r="T148" s="194"/>
      <c r="X148" s="1">
        <v>1690</v>
      </c>
      <c r="Y148" s="223" t="s">
        <v>846</v>
      </c>
      <c r="Z148" s="1" t="b">
        <v>0</v>
      </c>
      <c r="AA148"/>
    </row>
    <row r="149" spans="1:27" s="1" customFormat="1" hidden="1" x14ac:dyDescent="0.2">
      <c r="A149" s="155">
        <v>634</v>
      </c>
      <c r="B149" s="1" t="s">
        <v>294</v>
      </c>
      <c r="C149" s="1" t="s">
        <v>403</v>
      </c>
      <c r="E149" s="1" t="s">
        <v>306</v>
      </c>
      <c r="F149" s="195" t="s">
        <v>3005</v>
      </c>
      <c r="G149" s="164" t="str">
        <f>_xlfn.XLOOKUP(ITEquipmentTable[[#This Row],[Name]], IntuneData[Device name], IntuneData[Serial number], "")</f>
        <v>5CD30241DJ</v>
      </c>
      <c r="K149" s="154" t="s">
        <v>508</v>
      </c>
      <c r="L149" s="164" t="str">
        <f>_xlfn.LET(
_xlpm.look, _xlfn.XLOOKUP(ITEquipmentTable[[#This Row],[Name]], VNCTable[ClientName], VNCTable[IP], ""),
_xlpm.chkk, IF(ITEquipmentTable[[#This Row],[IPv4 Address]] = "N/A", "N/A", _xlpm.look),
IF(ITEquipmentTable[[#This Row],[Name]] = "", "", _xlpm.chkk))</f>
        <v/>
      </c>
      <c r="M149" s="1" t="s">
        <v>1456</v>
      </c>
      <c r="N149" s="159" t="str">
        <f>_xlfn.LET(_xlpm.emp, IF(_xlfn.XLOOKUP(ITEquipmentTable[[#This Row],[Assigned Employee]], EmployeeTable[name], EmployeeTable[Active], TRUE), "Employee", "Recover"),
IF(ITEquipmentTable[[#This Row],[Storage Location]] = "Assigned to Employee", _xlpm.emp, "N/A"))</f>
        <v>N/A</v>
      </c>
      <c r="O149" s="161" t="str" cm="1">
        <f t="array" ref="O14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14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49" s="1" t="s">
        <v>298</v>
      </c>
      <c r="T149" s="194"/>
      <c r="X149" s="1">
        <v>1724</v>
      </c>
      <c r="Y149" s="223" t="s">
        <v>848</v>
      </c>
      <c r="Z149" s="1" t="b">
        <v>0</v>
      </c>
      <c r="AA149"/>
    </row>
    <row r="150" spans="1:27" s="1" customFormat="1" hidden="1" x14ac:dyDescent="0.2">
      <c r="A150" s="155">
        <v>135</v>
      </c>
      <c r="B150" s="1" t="s">
        <v>294</v>
      </c>
      <c r="C150" s="1" t="s">
        <v>403</v>
      </c>
      <c r="D150" s="1" t="s">
        <v>1170</v>
      </c>
      <c r="E150" s="1" t="s">
        <v>306</v>
      </c>
      <c r="F150" s="195" t="s">
        <v>1458</v>
      </c>
      <c r="G150" s="159" t="str">
        <f>_xlfn.XLOOKUP(ITEquipmentTable[[#This Row],[Name]], IntuneData[Device name], IntuneData[Serial number], "")</f>
        <v>5CG9037WPB</v>
      </c>
      <c r="H150" s="168" t="s">
        <v>384</v>
      </c>
      <c r="I150" s="168"/>
      <c r="J150" s="168"/>
      <c r="K150" s="154" t="s">
        <v>508</v>
      </c>
      <c r="L150" s="159" t="str">
        <f>_xlfn.LET(
_xlpm.look, _xlfn.XLOOKUP(ITEquipmentTable[[#This Row],[Name]], VNCTable[ClientName], VNCTable[IP], ""),
_xlpm.chkk, IF(ITEquipmentTable[[#This Row],[IPv4 Address]] = "N/A", "N/A", _xlpm.look),
IF(ITEquipmentTable[[#This Row],[Name]] = "", "", _xlpm.chkk))</f>
        <v/>
      </c>
      <c r="M150" s="168" t="s">
        <v>1459</v>
      </c>
      <c r="N150" s="161" t="str">
        <f>_xlfn.LET(_xlpm.emp, IF(_xlfn.XLOOKUP(ITEquipmentTable[[#This Row],[Assigned Employee]], EmployeeTable[name], EmployeeTable[Active], TRUE), "Employee", "Recover"),
IF(ITEquipmentTable[[#This Row],[Storage Location]] = "Assigned to Employee", _xlpm.emp, "N/A"))</f>
        <v>Employee</v>
      </c>
      <c r="O150" s="161" t="str" cm="1">
        <f t="array" ref="O15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5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S150" s="1" t="s">
        <v>405</v>
      </c>
      <c r="T150" s="194"/>
      <c r="X150" s="1">
        <v>1725</v>
      </c>
      <c r="Y150" s="223" t="s">
        <v>850</v>
      </c>
      <c r="Z150" s="1" t="b">
        <v>0</v>
      </c>
      <c r="AA150"/>
    </row>
    <row r="151" spans="1:27" s="1" customFormat="1" hidden="1" x14ac:dyDescent="0.2">
      <c r="A151" s="155">
        <v>477</v>
      </c>
      <c r="B151" s="1" t="s">
        <v>294</v>
      </c>
      <c r="C151" s="1" t="s">
        <v>403</v>
      </c>
      <c r="E151" s="1" t="s">
        <v>306</v>
      </c>
      <c r="F151" s="195"/>
      <c r="G151" s="164" t="str">
        <f>_xlfn.XLOOKUP(ITEquipmentTable[[#This Row],[Name]], IntuneData[Device name], IntuneData[Serial number], "")</f>
        <v/>
      </c>
      <c r="H151" s="1" t="s">
        <v>384</v>
      </c>
      <c r="J151" s="1" t="s">
        <v>610</v>
      </c>
      <c r="K151" s="154" t="s">
        <v>508</v>
      </c>
      <c r="L151" s="164" t="str">
        <f>_xlfn.LET(
_xlpm.look, _xlfn.XLOOKUP(ITEquipmentTable[[#This Row],[Name]], VNCTable[ClientName], VNCTable[IP], ""),
_xlpm.chkk, IF(ITEquipmentTable[[#This Row],[IPv4 Address]] = "N/A", "N/A", _xlpm.look),
IF(ITEquipmentTable[[#This Row],[Name]] = "", "", _xlpm.chkk))</f>
        <v/>
      </c>
      <c r="M151" s="1" t="s">
        <v>1461</v>
      </c>
      <c r="N151" s="159" t="str">
        <f>_xlfn.LET(_xlpm.emp, IF(_xlfn.XLOOKUP(ITEquipmentTable[[#This Row],[Assigned Employee]], EmployeeTable[name], EmployeeTable[Active], TRUE), "Employee", "Recover"),
IF(ITEquipmentTable[[#This Row],[Storage Location]] = "Assigned to Employee", _xlpm.emp, "N/A"))</f>
        <v>Employee</v>
      </c>
      <c r="O151" s="159" t="str" cm="1">
        <f t="array" ref="O15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15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151" s="193" t="s">
        <v>312</v>
      </c>
      <c r="S151" s="1" t="s">
        <v>313</v>
      </c>
      <c r="T151" s="194"/>
      <c r="X151" s="1">
        <v>1764</v>
      </c>
      <c r="Y151" s="223" t="s">
        <v>852</v>
      </c>
      <c r="Z151" s="1" t="b">
        <v>0</v>
      </c>
      <c r="AA151"/>
    </row>
    <row r="152" spans="1:27" s="1" customFormat="1" hidden="1" x14ac:dyDescent="0.2">
      <c r="A152" s="155">
        <v>136</v>
      </c>
      <c r="B152" s="1" t="s">
        <v>294</v>
      </c>
      <c r="C152" s="1" t="s">
        <v>403</v>
      </c>
      <c r="D152" s="1" t="s">
        <v>1179</v>
      </c>
      <c r="E152" s="1" t="s">
        <v>306</v>
      </c>
      <c r="F152" s="195" t="s">
        <v>1463</v>
      </c>
      <c r="G152" s="159" t="str">
        <f>_xlfn.XLOOKUP(ITEquipmentTable[[#This Row],[Name]], IntuneData[Device name], IntuneData[Serial number], "")</f>
        <v/>
      </c>
      <c r="H152" s="168" t="s">
        <v>384</v>
      </c>
      <c r="I152" s="168"/>
      <c r="J152" s="168" t="s">
        <v>649</v>
      </c>
      <c r="K152" s="154" t="s">
        <v>508</v>
      </c>
      <c r="L152" s="159" t="str">
        <f>_xlfn.LET(
_xlpm.look, _xlfn.XLOOKUP(ITEquipmentTable[[#This Row],[Name]], VNCTable[ClientName], VNCTable[IP], ""),
_xlpm.chkk, IF(ITEquipmentTable[[#This Row],[IPv4 Address]] = "N/A", "N/A", _xlpm.look),
IF(ITEquipmentTable[[#This Row],[Name]] = "", "", _xlpm.chkk))</f>
        <v/>
      </c>
      <c r="M152" s="168" t="s">
        <v>1464</v>
      </c>
      <c r="N152" s="161" t="str">
        <f>_xlfn.LET(_xlpm.emp, IF(_xlfn.XLOOKUP(ITEquipmentTable[[#This Row],[Assigned Employee]], EmployeeTable[name], EmployeeTable[Active], TRUE), "Employee", "Recover"),
IF(ITEquipmentTable[[#This Row],[Storage Location]] = "Assigned to Employee", _xlpm.emp, "N/A"))</f>
        <v>Employee</v>
      </c>
      <c r="O152" s="161" t="str" cm="1">
        <f t="array" ref="O15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5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S152" s="1" t="s">
        <v>405</v>
      </c>
      <c r="T152" s="194"/>
      <c r="X152" s="1">
        <v>1773</v>
      </c>
      <c r="Y152" s="223" t="s">
        <v>854</v>
      </c>
      <c r="Z152" s="1" t="b">
        <v>0</v>
      </c>
      <c r="AA152"/>
    </row>
    <row r="153" spans="1:27" s="1" customFormat="1" hidden="1" x14ac:dyDescent="0.2">
      <c r="A153" s="155">
        <v>195</v>
      </c>
      <c r="B153" s="1" t="s">
        <v>294</v>
      </c>
      <c r="C153" s="1" t="s">
        <v>403</v>
      </c>
      <c r="D153" s="1" t="s">
        <v>1659</v>
      </c>
      <c r="E153" s="1" t="s">
        <v>306</v>
      </c>
      <c r="F153" s="195" t="s">
        <v>1660</v>
      </c>
      <c r="G153" s="159" t="str">
        <f>_xlfn.XLOOKUP(ITEquipmentTable[[#This Row],[Name]], IntuneData[Device name], IntuneData[Serial number], "")</f>
        <v/>
      </c>
      <c r="H153" s="1" t="s">
        <v>384</v>
      </c>
      <c r="J153" s="1" t="s">
        <v>414</v>
      </c>
      <c r="K153" s="154" t="s">
        <v>508</v>
      </c>
      <c r="L153" s="159" t="str">
        <f>_xlfn.LET(
_xlpm.look, _xlfn.XLOOKUP(ITEquipmentTable[[#This Row],[Name]], VNCTable[ClientName], VNCTable[IP], ""),
_xlpm.chkk, IF(ITEquipmentTable[[#This Row],[IPv4 Address]] = "N/A", "N/A", _xlpm.look),
IF(ITEquipmentTable[[#This Row],[Name]] = "", "", _xlpm.chkk))</f>
        <v/>
      </c>
      <c r="M153" s="1" t="s">
        <v>3393</v>
      </c>
      <c r="N153" s="159" t="str">
        <f>_xlfn.LET(_xlpm.emp, IF(_xlfn.XLOOKUP(ITEquipmentTable[[#This Row],[Assigned Employee]], EmployeeTable[name], EmployeeTable[Active], TRUE), "Employee", "Recover"),
IF(ITEquipmentTable[[#This Row],[Storage Location]] = "Assigned to Employee", _xlpm.emp, "N/A"))</f>
        <v>Employee</v>
      </c>
      <c r="O153" s="159" t="str" cm="1">
        <f t="array" ref="O15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15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153" s="189" t="s">
        <v>312</v>
      </c>
      <c r="T153" s="194"/>
      <c r="X153" s="1">
        <v>1774</v>
      </c>
      <c r="Y153" s="223" t="s">
        <v>858</v>
      </c>
      <c r="Z153" s="1" t="b">
        <v>0</v>
      </c>
      <c r="AA153"/>
    </row>
    <row r="154" spans="1:27" s="1" customFormat="1" hidden="1" x14ac:dyDescent="0.2">
      <c r="A154" s="155">
        <v>139</v>
      </c>
      <c r="B154" s="1" t="s">
        <v>294</v>
      </c>
      <c r="C154" s="1" t="s">
        <v>403</v>
      </c>
      <c r="D154" s="1" t="s">
        <v>1170</v>
      </c>
      <c r="E154" s="1" t="s">
        <v>306</v>
      </c>
      <c r="F154" s="195" t="s">
        <v>1468</v>
      </c>
      <c r="G154" s="159" t="str">
        <f>_xlfn.XLOOKUP(ITEquipmentTable[[#This Row],[Name]], IntuneData[Device name], IntuneData[Serial number], "")</f>
        <v/>
      </c>
      <c r="H154" s="168"/>
      <c r="I154" s="168"/>
      <c r="J154" s="168"/>
      <c r="K154" s="154" t="s">
        <v>508</v>
      </c>
      <c r="L154" s="159" t="str">
        <f>_xlfn.LET(
_xlpm.look, _xlfn.XLOOKUP(ITEquipmentTable[[#This Row],[Name]], VNCTable[ClientName], VNCTable[IP], ""),
_xlpm.chkk, IF(ITEquipmentTable[[#This Row],[IPv4 Address]] = "N/A", "N/A", _xlpm.look),
IF(ITEquipmentTable[[#This Row],[Name]] = "", "", _xlpm.chkk))</f>
        <v/>
      </c>
      <c r="M154" s="168" t="s">
        <v>1469</v>
      </c>
      <c r="N154" s="161" t="str">
        <f>_xlfn.LET(_xlpm.emp, IF(_xlfn.XLOOKUP(ITEquipmentTable[[#This Row],[Assigned Employee]], EmployeeTable[name], EmployeeTable[Active], TRUE), "Employee", "Recover"),
IF(ITEquipmentTable[[#This Row],[Storage Location]] = "Assigned to Employee", _xlpm.emp, "N/A"))</f>
        <v>N/A</v>
      </c>
      <c r="O154" s="161" t="str" cm="1">
        <f t="array" ref="O15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5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54" s="1" t="s">
        <v>405</v>
      </c>
      <c r="T154" s="194"/>
      <c r="X154" s="1">
        <v>1778</v>
      </c>
      <c r="Y154" s="223" t="s">
        <v>862</v>
      </c>
      <c r="Z154" s="1" t="b">
        <v>0</v>
      </c>
      <c r="AA154"/>
    </row>
    <row r="155" spans="1:27" s="1" customFormat="1" hidden="1" x14ac:dyDescent="0.2">
      <c r="A155" s="155">
        <v>140</v>
      </c>
      <c r="B155" s="1" t="s">
        <v>294</v>
      </c>
      <c r="C155" s="1" t="s">
        <v>403</v>
      </c>
      <c r="D155" s="1" t="s">
        <v>1175</v>
      </c>
      <c r="E155" s="1" t="s">
        <v>306</v>
      </c>
      <c r="F155" s="195" t="s">
        <v>1471</v>
      </c>
      <c r="G155" s="159" t="str">
        <f>_xlfn.XLOOKUP(ITEquipmentTable[[#This Row],[Name]], IntuneData[Device name], IntuneData[Serial number], "")</f>
        <v/>
      </c>
      <c r="H155" s="168"/>
      <c r="I155" s="168"/>
      <c r="J155" s="168"/>
      <c r="K155" s="154" t="s">
        <v>508</v>
      </c>
      <c r="L155" s="159" t="str">
        <f>_xlfn.LET(
_xlpm.look, _xlfn.XLOOKUP(ITEquipmentTable[[#This Row],[Name]], VNCTable[ClientName], VNCTable[IP], ""),
_xlpm.chkk, IF(ITEquipmentTable[[#This Row],[IPv4 Address]] = "N/A", "N/A", _xlpm.look),
IF(ITEquipmentTable[[#This Row],[Name]] = "", "", _xlpm.chkk))</f>
        <v/>
      </c>
      <c r="M155" s="168" t="s">
        <v>1472</v>
      </c>
      <c r="N155" s="161" t="str">
        <f>_xlfn.LET(_xlpm.emp, IF(_xlfn.XLOOKUP(ITEquipmentTable[[#This Row],[Assigned Employee]], EmployeeTable[name], EmployeeTable[Active], TRUE), "Employee", "Recover"),
IF(ITEquipmentTable[[#This Row],[Storage Location]] = "Assigned to Employee", _xlpm.emp, "N/A"))</f>
        <v>N/A</v>
      </c>
      <c r="O155" s="161" t="str" cm="1">
        <f t="array" ref="O15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5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55" s="1" t="s">
        <v>405</v>
      </c>
      <c r="X155" s="1">
        <v>1802</v>
      </c>
      <c r="Y155" s="223" t="s">
        <v>866</v>
      </c>
      <c r="Z155" s="1" t="b">
        <v>0</v>
      </c>
      <c r="AA155"/>
    </row>
    <row r="156" spans="1:27" s="1" customFormat="1" hidden="1" x14ac:dyDescent="0.2">
      <c r="A156" s="155">
        <v>141</v>
      </c>
      <c r="B156" s="1" t="s">
        <v>294</v>
      </c>
      <c r="C156" s="1" t="s">
        <v>403</v>
      </c>
      <c r="D156" s="1" t="s">
        <v>1170</v>
      </c>
      <c r="E156" s="1" t="s">
        <v>306</v>
      </c>
      <c r="F156" s="195" t="s">
        <v>1474</v>
      </c>
      <c r="G156" s="159" t="str">
        <f>_xlfn.XLOOKUP(ITEquipmentTable[[#This Row],[Name]], IntuneData[Device name], IntuneData[Serial number], "")</f>
        <v/>
      </c>
      <c r="H156" s="168"/>
      <c r="I156" s="168"/>
      <c r="J156" s="168"/>
      <c r="K156" s="154" t="s">
        <v>508</v>
      </c>
      <c r="L156" s="159" t="str">
        <f>_xlfn.LET(
_xlpm.look, _xlfn.XLOOKUP(ITEquipmentTable[[#This Row],[Name]], VNCTable[ClientName], VNCTable[IP], ""),
_xlpm.chkk, IF(ITEquipmentTable[[#This Row],[IPv4 Address]] = "N/A", "N/A", _xlpm.look),
IF(ITEquipmentTable[[#This Row],[Name]] = "", "", _xlpm.chkk))</f>
        <v/>
      </c>
      <c r="M156" s="168" t="s">
        <v>1475</v>
      </c>
      <c r="N156" s="161" t="str">
        <f>_xlfn.LET(_xlpm.emp, IF(_xlfn.XLOOKUP(ITEquipmentTable[[#This Row],[Assigned Employee]], EmployeeTable[name], EmployeeTable[Active], TRUE), "Employee", "Recover"),
IF(ITEquipmentTable[[#This Row],[Storage Location]] = "Assigned to Employee", _xlpm.emp, "N/A"))</f>
        <v>N/A</v>
      </c>
      <c r="O156" s="161" t="str" cm="1">
        <f t="array" ref="O15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5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56" s="1" t="s">
        <v>405</v>
      </c>
      <c r="T156" s="194"/>
      <c r="X156" s="1">
        <v>1804</v>
      </c>
      <c r="Y156" s="223" t="s">
        <v>869</v>
      </c>
      <c r="Z156" s="1" t="b">
        <v>0</v>
      </c>
      <c r="AA156"/>
    </row>
    <row r="157" spans="1:27" s="1" customFormat="1" hidden="1" x14ac:dyDescent="0.2">
      <c r="A157" s="155">
        <v>142</v>
      </c>
      <c r="B157" s="189" t="s">
        <v>294</v>
      </c>
      <c r="C157" s="189" t="s">
        <v>403</v>
      </c>
      <c r="E157" s="189" t="s">
        <v>306</v>
      </c>
      <c r="F157" s="195"/>
      <c r="G157" s="159" t="str">
        <f>_xlfn.XLOOKUP(ITEquipmentTable[[#This Row],[Name]], IntuneData[Device name], IntuneData[Serial number], "")</f>
        <v/>
      </c>
      <c r="H157" s="1" t="s">
        <v>384</v>
      </c>
      <c r="I157" s="193"/>
      <c r="J157" s="193" t="s">
        <v>354</v>
      </c>
      <c r="K157" s="154" t="s">
        <v>508</v>
      </c>
      <c r="L157" s="159" t="str">
        <f>_xlfn.LET(
_xlpm.look, _xlfn.XLOOKUP(ITEquipmentTable[[#This Row],[Name]], VNCTable[ClientName], VNCTable[IP], ""),
_xlpm.chkk, IF(ITEquipmentTable[[#This Row],[IPv4 Address]] = "N/A", "N/A", _xlpm.look),
IF(ITEquipmentTable[[#This Row],[Name]] = "", "", _xlpm.chkk))</f>
        <v/>
      </c>
      <c r="M157" s="193" t="s">
        <v>1477</v>
      </c>
      <c r="N157" s="161" t="str">
        <f>_xlfn.LET(_xlpm.emp, IF(_xlfn.XLOOKUP(ITEquipmentTable[[#This Row],[Assigned Employee]], EmployeeTable[name], EmployeeTable[Active], TRUE), "Employee", "Recover"),
IF(ITEquipmentTable[[#This Row],[Storage Location]] = "Assigned to Employee", _xlpm.emp, "N/A"))</f>
        <v>Employee</v>
      </c>
      <c r="O157" s="161" t="str" cm="1">
        <f t="array" ref="O15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5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57" s="193"/>
      <c r="R157" s="189" t="s">
        <v>312</v>
      </c>
      <c r="S157" s="189" t="s">
        <v>313</v>
      </c>
      <c r="T157" s="194"/>
      <c r="X157" s="1">
        <v>1806</v>
      </c>
      <c r="Y157" s="223" t="s">
        <v>871</v>
      </c>
      <c r="Z157" s="1" t="b">
        <v>0</v>
      </c>
      <c r="AA157"/>
    </row>
    <row r="158" spans="1:27" s="1" customFormat="1" hidden="1" x14ac:dyDescent="0.2">
      <c r="A158" s="155">
        <v>143</v>
      </c>
      <c r="B158" s="1" t="s">
        <v>294</v>
      </c>
      <c r="C158" s="1" t="s">
        <v>403</v>
      </c>
      <c r="D158" s="1" t="s">
        <v>1179</v>
      </c>
      <c r="E158" s="1" t="s">
        <v>306</v>
      </c>
      <c r="F158" s="195" t="s">
        <v>1479</v>
      </c>
      <c r="G158" s="159" t="str">
        <f>_xlfn.XLOOKUP(ITEquipmentTable[[#This Row],[Name]], IntuneData[Device name], IntuneData[Serial number], "")</f>
        <v/>
      </c>
      <c r="H158" s="168"/>
      <c r="I158" s="168"/>
      <c r="J158" s="168"/>
      <c r="K158" s="154" t="s">
        <v>508</v>
      </c>
      <c r="L158" s="159" t="str">
        <f>_xlfn.LET(
_xlpm.look, _xlfn.XLOOKUP(ITEquipmentTable[[#This Row],[Name]], VNCTable[ClientName], VNCTable[IP], ""),
_xlpm.chkk, IF(ITEquipmentTable[[#This Row],[IPv4 Address]] = "N/A", "N/A", _xlpm.look),
IF(ITEquipmentTable[[#This Row],[Name]] = "", "", _xlpm.chkk))</f>
        <v/>
      </c>
      <c r="M158" s="168" t="s">
        <v>1480</v>
      </c>
      <c r="N158" s="161" t="str">
        <f>_xlfn.LET(_xlpm.emp, IF(_xlfn.XLOOKUP(ITEquipmentTable[[#This Row],[Assigned Employee]], EmployeeTable[name], EmployeeTable[Active], TRUE), "Employee", "Recover"),
IF(ITEquipmentTable[[#This Row],[Storage Location]] = "Assigned to Employee", _xlpm.emp, "N/A"))</f>
        <v>N/A</v>
      </c>
      <c r="O158" s="161" t="str" cm="1">
        <f t="array" ref="O15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5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58" s="1" t="s">
        <v>405</v>
      </c>
      <c r="T158" s="194"/>
      <c r="X158" s="1">
        <v>1807</v>
      </c>
      <c r="Y158" s="223" t="s">
        <v>873</v>
      </c>
      <c r="Z158" s="1" t="b">
        <v>0</v>
      </c>
      <c r="AA158"/>
    </row>
    <row r="159" spans="1:27" s="1" customFormat="1" hidden="1" x14ac:dyDescent="0.2">
      <c r="A159" s="155">
        <v>144</v>
      </c>
      <c r="B159" s="1" t="s">
        <v>294</v>
      </c>
      <c r="C159" s="1" t="s">
        <v>403</v>
      </c>
      <c r="D159" s="1" t="s">
        <v>656</v>
      </c>
      <c r="E159" s="1" t="s">
        <v>306</v>
      </c>
      <c r="F159" s="195" t="s">
        <v>1482</v>
      </c>
      <c r="G159" s="159" t="str">
        <f>_xlfn.XLOOKUP(ITEquipmentTable[[#This Row],[Name]], IntuneData[Device name], IntuneData[Serial number], "")</f>
        <v/>
      </c>
      <c r="H159" s="168"/>
      <c r="I159" s="168"/>
      <c r="J159" s="168"/>
      <c r="K159" s="154" t="s">
        <v>508</v>
      </c>
      <c r="L159" s="159" t="str">
        <f>_xlfn.LET(
_xlpm.look, _xlfn.XLOOKUP(ITEquipmentTable[[#This Row],[Name]], VNCTable[ClientName], VNCTable[IP], ""),
_xlpm.chkk, IF(ITEquipmentTable[[#This Row],[IPv4 Address]] = "N/A", "N/A", _xlpm.look),
IF(ITEquipmentTable[[#This Row],[Name]] = "", "", _xlpm.chkk))</f>
        <v/>
      </c>
      <c r="M159" s="168" t="s">
        <v>1483</v>
      </c>
      <c r="N159" s="161" t="str">
        <f>_xlfn.LET(_xlpm.emp, IF(_xlfn.XLOOKUP(ITEquipmentTable[[#This Row],[Assigned Employee]], EmployeeTable[name], EmployeeTable[Active], TRUE), "Employee", "Recover"),
IF(ITEquipmentTable[[#This Row],[Storage Location]] = "Assigned to Employee", _xlpm.emp, "N/A"))</f>
        <v>N/A</v>
      </c>
      <c r="O159" s="161" t="str" cm="1">
        <f t="array" ref="O15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5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59" s="1" t="s">
        <v>405</v>
      </c>
      <c r="T159" s="194"/>
      <c r="X159" s="1">
        <v>1808</v>
      </c>
      <c r="Y159" s="223" t="s">
        <v>875</v>
      </c>
      <c r="Z159" s="1" t="b">
        <v>0</v>
      </c>
      <c r="AA159"/>
    </row>
    <row r="160" spans="1:27" s="1" customFormat="1" hidden="1" x14ac:dyDescent="0.2">
      <c r="A160" s="155">
        <v>145</v>
      </c>
      <c r="B160" s="1" t="s">
        <v>294</v>
      </c>
      <c r="C160" s="1" t="s">
        <v>403</v>
      </c>
      <c r="D160" s="1" t="s">
        <v>1179</v>
      </c>
      <c r="E160" s="1" t="s">
        <v>306</v>
      </c>
      <c r="F160" s="195" t="s">
        <v>1485</v>
      </c>
      <c r="G160" s="159" t="str">
        <f>_xlfn.XLOOKUP(ITEquipmentTable[[#This Row],[Name]], IntuneData[Device name], IntuneData[Serial number], "")</f>
        <v/>
      </c>
      <c r="H160" s="168"/>
      <c r="I160" s="168"/>
      <c r="J160" s="168"/>
      <c r="K160" s="154" t="s">
        <v>508</v>
      </c>
      <c r="L160" s="159" t="str">
        <f>_xlfn.LET(
_xlpm.look, _xlfn.XLOOKUP(ITEquipmentTable[[#This Row],[Name]], VNCTable[ClientName], VNCTable[IP], ""),
_xlpm.chkk, IF(ITEquipmentTable[[#This Row],[IPv4 Address]] = "N/A", "N/A", _xlpm.look),
IF(ITEquipmentTable[[#This Row],[Name]] = "", "", _xlpm.chkk))</f>
        <v/>
      </c>
      <c r="M160" s="168" t="s">
        <v>1486</v>
      </c>
      <c r="N160" s="161" t="str">
        <f>_xlfn.LET(_xlpm.emp, IF(_xlfn.XLOOKUP(ITEquipmentTable[[#This Row],[Assigned Employee]], EmployeeTable[name], EmployeeTable[Active], TRUE), "Employee", "Recover"),
IF(ITEquipmentTable[[#This Row],[Storage Location]] = "Assigned to Employee", _xlpm.emp, "N/A"))</f>
        <v>N/A</v>
      </c>
      <c r="O160" s="161" t="str" cm="1">
        <f t="array" ref="O16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6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60" s="1" t="s">
        <v>405</v>
      </c>
      <c r="T160" s="194"/>
      <c r="X160" s="1">
        <v>1809</v>
      </c>
      <c r="Y160" s="223" t="s">
        <v>877</v>
      </c>
      <c r="Z160" s="1" t="b">
        <v>0</v>
      </c>
      <c r="AA160"/>
    </row>
    <row r="161" spans="1:27" s="1" customFormat="1" hidden="1" x14ac:dyDescent="0.2">
      <c r="A161" s="155">
        <v>146</v>
      </c>
      <c r="B161" s="1" t="s">
        <v>294</v>
      </c>
      <c r="C161" s="1" t="s">
        <v>403</v>
      </c>
      <c r="D161" s="1" t="s">
        <v>1170</v>
      </c>
      <c r="E161" s="1" t="s">
        <v>306</v>
      </c>
      <c r="F161" s="195" t="s">
        <v>1488</v>
      </c>
      <c r="G161" s="159" t="str">
        <f>_xlfn.XLOOKUP(ITEquipmentTable[[#This Row],[Name]], IntuneData[Device name], IntuneData[Serial number], "")</f>
        <v/>
      </c>
      <c r="H161" s="1" t="s">
        <v>384</v>
      </c>
      <c r="I161" s="193"/>
      <c r="J161" s="193" t="s">
        <v>705</v>
      </c>
      <c r="K161" s="154" t="s">
        <v>508</v>
      </c>
      <c r="L161" s="159" t="str">
        <f>_xlfn.LET(
_xlpm.look, _xlfn.XLOOKUP(ITEquipmentTable[[#This Row],[Name]], VNCTable[ClientName], VNCTable[IP], ""),
_xlpm.chkk, IF(ITEquipmentTable[[#This Row],[IPv4 Address]] = "N/A", "N/A", _xlpm.look),
IF(ITEquipmentTable[[#This Row],[Name]] = "", "", _xlpm.chkk))</f>
        <v/>
      </c>
      <c r="M161" s="193" t="s">
        <v>1489</v>
      </c>
      <c r="N161" s="161" t="str">
        <f>_xlfn.LET(_xlpm.emp, IF(_xlfn.XLOOKUP(ITEquipmentTable[[#This Row],[Assigned Employee]], EmployeeTable[name], EmployeeTable[Active], TRUE), "Employee", "Recover"),
IF(ITEquipmentTable[[#This Row],[Storage Location]] = "Assigned to Employee", _xlpm.emp, "N/A"))</f>
        <v>Employee</v>
      </c>
      <c r="O161" s="161" t="str" cm="1">
        <f t="array" ref="O16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LTSB</v>
      </c>
      <c r="P16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161" s="189" t="s">
        <v>312</v>
      </c>
      <c r="T161" s="194"/>
      <c r="X161" s="1">
        <v>1810</v>
      </c>
      <c r="Y161" s="223" t="s">
        <v>878</v>
      </c>
      <c r="Z161" s="1" t="b">
        <v>0</v>
      </c>
      <c r="AA161"/>
    </row>
    <row r="162" spans="1:27" s="1" customFormat="1" hidden="1" x14ac:dyDescent="0.2">
      <c r="A162" s="155">
        <v>147</v>
      </c>
      <c r="B162" s="1" t="s">
        <v>323</v>
      </c>
      <c r="C162" s="1" t="s">
        <v>562</v>
      </c>
      <c r="D162" s="1" t="s">
        <v>563</v>
      </c>
      <c r="E162" s="1" t="s">
        <v>306</v>
      </c>
      <c r="F162" s="195" t="s">
        <v>1491</v>
      </c>
      <c r="G162" s="159" t="str">
        <f>_xlfn.XLOOKUP(ITEquipmentTable[[#This Row],[Name]], IntuneData[Device name], IntuneData[Serial number], "")</f>
        <v/>
      </c>
      <c r="H162" s="168"/>
      <c r="I162" s="168"/>
      <c r="J162" s="168"/>
      <c r="K162" s="223"/>
      <c r="L162" s="159" t="str">
        <f>_xlfn.LET(
_xlpm.look, _xlfn.XLOOKUP(ITEquipmentTable[[#This Row],[Name]], VNCTable[ClientName], VNCTable[IP], ""),
_xlpm.chkk, IF(ITEquipmentTable[[#This Row],[IPv4 Address]] = "N/A", "N/A", _xlpm.look),
IF(ITEquipmentTable[[#This Row],[Name]] = "", "", _xlpm.chkk))</f>
        <v/>
      </c>
      <c r="M162" s="168" t="s">
        <v>1492</v>
      </c>
      <c r="N162" s="161" t="str">
        <f>_xlfn.LET(_xlpm.emp, IF(_xlfn.XLOOKUP(ITEquipmentTable[[#This Row],[Assigned Employee]], EmployeeTable[name], EmployeeTable[Active], TRUE), "Employee", "Recover"),
IF(ITEquipmentTable[[#This Row],[Storage Location]] = "Assigned to Employee", _xlpm.emp, "N/A"))</f>
        <v>N/A</v>
      </c>
      <c r="O162" s="161" t="str" cm="1">
        <f t="array" ref="O16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6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62" s="168"/>
      <c r="R162" s="168"/>
      <c r="S162" s="1" t="s">
        <v>405</v>
      </c>
      <c r="T162" s="194"/>
      <c r="X162" s="1">
        <v>1814</v>
      </c>
      <c r="Y162" s="223" t="s">
        <v>879</v>
      </c>
      <c r="Z162" s="1" t="b">
        <v>0</v>
      </c>
      <c r="AA162"/>
    </row>
    <row r="163" spans="1:27" s="1" customFormat="1" hidden="1" x14ac:dyDescent="0.2">
      <c r="A163" s="155">
        <v>149</v>
      </c>
      <c r="B163" s="1" t="s">
        <v>323</v>
      </c>
      <c r="C163" s="1" t="s">
        <v>562</v>
      </c>
      <c r="D163" s="1" t="s">
        <v>563</v>
      </c>
      <c r="E163" s="1" t="s">
        <v>306</v>
      </c>
      <c r="F163" s="195" t="s">
        <v>1496</v>
      </c>
      <c r="G163" s="159" t="str">
        <f>_xlfn.XLOOKUP(ITEquipmentTable[[#This Row],[Name]], IntuneData[Device name], IntuneData[Serial number], "")</f>
        <v/>
      </c>
      <c r="H163" s="1" t="s">
        <v>295</v>
      </c>
      <c r="I163" s="189"/>
      <c r="J163" s="189"/>
      <c r="K163" s="219"/>
      <c r="L163" s="159" t="str">
        <f>_xlfn.LET(
_xlpm.look, _xlfn.XLOOKUP(ITEquipmentTable[[#This Row],[Name]], VNCTable[ClientName], VNCTable[IP], ""),
_xlpm.chkk, IF(ITEquipmentTable[[#This Row],[IPv4 Address]] = "N/A", "N/A", _xlpm.look),
IF(ITEquipmentTable[[#This Row],[Name]] = "", "", _xlpm.chkk))</f>
        <v/>
      </c>
      <c r="M163" s="1" t="s">
        <v>1497</v>
      </c>
      <c r="N163" s="159" t="str">
        <f>_xlfn.LET(_xlpm.emp, IF(_xlfn.XLOOKUP(ITEquipmentTable[[#This Row],[Assigned Employee]], EmployeeTable[name], EmployeeTable[Active], TRUE), "Employee", "Recover"),
IF(ITEquipmentTable[[#This Row],[Storage Location]] = "Assigned to Employee", _xlpm.emp, "N/A"))</f>
        <v>N/A</v>
      </c>
      <c r="O163" s="159" t="str" cm="1">
        <f t="array" ref="O16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6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63" s="1" t="s">
        <v>298</v>
      </c>
      <c r="T163" s="194"/>
      <c r="X163" s="1">
        <v>1828</v>
      </c>
      <c r="Y163" s="223" t="s">
        <v>880</v>
      </c>
      <c r="Z163" s="1" t="b">
        <v>0</v>
      </c>
      <c r="AA163"/>
    </row>
    <row r="164" spans="1:27" s="1" customFormat="1" hidden="1" x14ac:dyDescent="0.2">
      <c r="A164" s="155">
        <v>151</v>
      </c>
      <c r="B164" s="1" t="s">
        <v>323</v>
      </c>
      <c r="C164" s="1" t="s">
        <v>562</v>
      </c>
      <c r="D164" s="1" t="s">
        <v>563</v>
      </c>
      <c r="E164" s="1" t="s">
        <v>306</v>
      </c>
      <c r="F164" s="195" t="s">
        <v>1501</v>
      </c>
      <c r="G164" s="159" t="str">
        <f>_xlfn.XLOOKUP(ITEquipmentTable[[#This Row],[Name]], IntuneData[Device name], IntuneData[Serial number], "")</f>
        <v/>
      </c>
      <c r="H164" s="168"/>
      <c r="I164" s="168"/>
      <c r="J164" s="168"/>
      <c r="K164" s="223"/>
      <c r="L164" s="159" t="str">
        <f>_xlfn.LET(
_xlpm.look, _xlfn.XLOOKUP(ITEquipmentTable[[#This Row],[Name]], VNCTable[ClientName], VNCTable[IP], ""),
_xlpm.chkk, IF(ITEquipmentTable[[#This Row],[IPv4 Address]] = "N/A", "N/A", _xlpm.look),
IF(ITEquipmentTable[[#This Row],[Name]] = "", "", _xlpm.chkk))</f>
        <v/>
      </c>
      <c r="M164" s="168" t="s">
        <v>1502</v>
      </c>
      <c r="N164" s="161" t="str">
        <f>_xlfn.LET(_xlpm.emp, IF(_xlfn.XLOOKUP(ITEquipmentTable[[#This Row],[Assigned Employee]], EmployeeTable[name], EmployeeTable[Active], TRUE), "Employee", "Recover"),
IF(ITEquipmentTable[[#This Row],[Storage Location]] = "Assigned to Employee", _xlpm.emp, "N/A"))</f>
        <v>N/A</v>
      </c>
      <c r="O164" s="161" t="str" cm="1">
        <f t="array" ref="O16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6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64" s="168"/>
      <c r="R164" s="168"/>
      <c r="S164" s="1" t="s">
        <v>405</v>
      </c>
      <c r="T164" s="194"/>
      <c r="X164" s="1">
        <v>1867</v>
      </c>
      <c r="Y164" s="223" t="s">
        <v>881</v>
      </c>
      <c r="Z164" s="1" t="b">
        <v>0</v>
      </c>
      <c r="AA164"/>
    </row>
    <row r="165" spans="1:27" s="1" customFormat="1" hidden="1" x14ac:dyDescent="0.2">
      <c r="A165" s="155">
        <v>152</v>
      </c>
      <c r="B165" s="1" t="s">
        <v>323</v>
      </c>
      <c r="C165" s="1" t="s">
        <v>562</v>
      </c>
      <c r="D165" s="1" t="s">
        <v>563</v>
      </c>
      <c r="E165" s="1" t="s">
        <v>306</v>
      </c>
      <c r="F165" s="195" t="s">
        <v>1504</v>
      </c>
      <c r="G165" s="159" t="str">
        <f>_xlfn.XLOOKUP(ITEquipmentTable[[#This Row],[Name]], IntuneData[Device name], IntuneData[Serial number], "")</f>
        <v/>
      </c>
      <c r="H165" s="1" t="s">
        <v>295</v>
      </c>
      <c r="I165" s="189"/>
      <c r="J165" s="189"/>
      <c r="K165" s="219"/>
      <c r="L165" s="159" t="str">
        <f>_xlfn.LET(
_xlpm.look, _xlfn.XLOOKUP(ITEquipmentTable[[#This Row],[Name]], VNCTable[ClientName], VNCTable[IP], ""),
_xlpm.chkk, IF(ITEquipmentTable[[#This Row],[IPv4 Address]] = "N/A", "N/A", _xlpm.look),
IF(ITEquipmentTable[[#This Row],[Name]] = "", "", _xlpm.chkk))</f>
        <v/>
      </c>
      <c r="M165" s="1" t="s">
        <v>1505</v>
      </c>
      <c r="N165" s="159" t="str">
        <f>_xlfn.LET(_xlpm.emp, IF(_xlfn.XLOOKUP(ITEquipmentTable[[#This Row],[Assigned Employee]], EmployeeTable[name], EmployeeTable[Active], TRUE), "Employee", "Recover"),
IF(ITEquipmentTable[[#This Row],[Storage Location]] = "Assigned to Employee", _xlpm.emp, "N/A"))</f>
        <v>N/A</v>
      </c>
      <c r="O165" s="159" t="str" cm="1">
        <f t="array" ref="O16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6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65" s="1" t="s">
        <v>298</v>
      </c>
      <c r="T165" s="194"/>
      <c r="X165" s="1">
        <v>1868</v>
      </c>
      <c r="Y165" s="223" t="s">
        <v>884</v>
      </c>
      <c r="Z165" s="1" t="b">
        <v>0</v>
      </c>
      <c r="AA165"/>
    </row>
    <row r="166" spans="1:27" s="1" customFormat="1" hidden="1" x14ac:dyDescent="0.2">
      <c r="A166" s="155">
        <v>153</v>
      </c>
      <c r="B166" s="1" t="s">
        <v>323</v>
      </c>
      <c r="C166" s="1" t="s">
        <v>562</v>
      </c>
      <c r="D166" s="1" t="s">
        <v>1507</v>
      </c>
      <c r="E166" s="1" t="s">
        <v>306</v>
      </c>
      <c r="F166" s="195" t="s">
        <v>1508</v>
      </c>
      <c r="G166" s="159" t="str">
        <f>_xlfn.XLOOKUP(ITEquipmentTable[[#This Row],[Name]], IntuneData[Device name], IntuneData[Serial number], "")</f>
        <v/>
      </c>
      <c r="H166" s="168" t="s">
        <v>318</v>
      </c>
      <c r="I166" s="168"/>
      <c r="J166" s="168"/>
      <c r="K166" s="223" t="s">
        <v>508</v>
      </c>
      <c r="L166" s="159" t="str">
        <f>_xlfn.LET(
_xlpm.look, _xlfn.XLOOKUP(ITEquipmentTable[[#This Row],[Name]], VNCTable[ClientName], VNCTable[IP], ""),
_xlpm.chkk, IF(ITEquipmentTable[[#This Row],[IPv4 Address]] = "N/A", "N/A", _xlpm.look),
IF(ITEquipmentTable[[#This Row],[Name]] = "", "", _xlpm.chkk))</f>
        <v/>
      </c>
      <c r="M166" s="168" t="s">
        <v>1509</v>
      </c>
      <c r="N166" s="161" t="str">
        <f>_xlfn.LET(_xlpm.emp, IF(_xlfn.XLOOKUP(ITEquipmentTable[[#This Row],[Assigned Employee]], EmployeeTable[name], EmployeeTable[Active], TRUE), "Employee", "Recover"),
IF(ITEquipmentTable[[#This Row],[Storage Location]] = "Assigned to Employee", _xlpm.emp, "N/A"))</f>
        <v>N/A</v>
      </c>
      <c r="O166" s="161" t="str" cm="1">
        <f t="array" ref="O16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6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T166" s="194"/>
      <c r="X166" s="1">
        <v>1890</v>
      </c>
      <c r="Y166" s="223" t="s">
        <v>885</v>
      </c>
      <c r="Z166" s="1" t="b">
        <v>0</v>
      </c>
      <c r="AA166"/>
    </row>
    <row r="167" spans="1:27" s="1" customFormat="1" hidden="1" x14ac:dyDescent="0.2">
      <c r="A167" s="155">
        <v>635</v>
      </c>
      <c r="F167" s="195"/>
      <c r="G167" s="164" t="str">
        <f>_xlfn.XLOOKUP(ITEquipmentTable[[#This Row],[Name]], IntuneData[Device name], IntuneData[Serial number], "")</f>
        <v/>
      </c>
      <c r="K167" s="154"/>
      <c r="L167" s="164" t="str">
        <f>_xlfn.LET(
_xlpm.look, _xlfn.XLOOKUP(ITEquipmentTable[[#This Row],[Name]], VNCTable[ClientName], VNCTable[IP], ""),
_xlpm.chkk, IF(ITEquipmentTable[[#This Row],[IPv4 Address]] = "N/A", "N/A", _xlpm.look),
IF(ITEquipmentTable[[#This Row],[Name]] = "", "", _xlpm.chkk))</f>
        <v/>
      </c>
      <c r="M167" s="1" t="s">
        <v>1511</v>
      </c>
      <c r="N167" s="159" t="str">
        <f>_xlfn.LET(_xlpm.emp, IF(_xlfn.XLOOKUP(ITEquipmentTable[[#This Row],[Assigned Employee]], EmployeeTable[name], EmployeeTable[Active], TRUE), "Employee", "Recover"),
IF(ITEquipmentTable[[#This Row],[Storage Location]] = "Assigned to Employee", _xlpm.emp, "N/A"))</f>
        <v>N/A</v>
      </c>
      <c r="O167" s="161" t="str" cm="1">
        <f t="array" ref="O16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16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67" s="1" t="s">
        <v>298</v>
      </c>
      <c r="T167" s="194"/>
      <c r="X167" s="1">
        <v>1892</v>
      </c>
      <c r="Y167" s="223" t="s">
        <v>889</v>
      </c>
      <c r="Z167" s="1" t="b">
        <v>0</v>
      </c>
      <c r="AA167"/>
    </row>
    <row r="168" spans="1:27" s="1" customFormat="1" hidden="1" x14ac:dyDescent="0.2">
      <c r="A168" s="155">
        <v>155</v>
      </c>
      <c r="B168" s="1" t="s">
        <v>294</v>
      </c>
      <c r="C168" s="1" t="s">
        <v>403</v>
      </c>
      <c r="D168" s="1" t="s">
        <v>1170</v>
      </c>
      <c r="E168" s="1" t="s">
        <v>306</v>
      </c>
      <c r="F168" s="195" t="s">
        <v>1515</v>
      </c>
      <c r="G168" s="159" t="str">
        <f>_xlfn.XLOOKUP(ITEquipmentTable[[#This Row],[Name]], IntuneData[Device name], IntuneData[Serial number], "")</f>
        <v/>
      </c>
      <c r="H168" s="168"/>
      <c r="I168" s="168"/>
      <c r="J168" s="168"/>
      <c r="K168" s="154" t="s">
        <v>508</v>
      </c>
      <c r="L168" s="159" t="str">
        <f>_xlfn.LET(
_xlpm.look, _xlfn.XLOOKUP(ITEquipmentTable[[#This Row],[Name]], VNCTable[ClientName], VNCTable[IP], ""),
_xlpm.chkk, IF(ITEquipmentTable[[#This Row],[IPv4 Address]] = "N/A", "N/A", _xlpm.look),
IF(ITEquipmentTable[[#This Row],[Name]] = "", "", _xlpm.chkk))</f>
        <v/>
      </c>
      <c r="M168" s="168" t="s">
        <v>1516</v>
      </c>
      <c r="N168" s="161" t="str">
        <f>_xlfn.LET(_xlpm.emp, IF(_xlfn.XLOOKUP(ITEquipmentTable[[#This Row],[Assigned Employee]], EmployeeTable[name], EmployeeTable[Active], TRUE), "Employee", "Recover"),
IF(ITEquipmentTable[[#This Row],[Storage Location]] = "Assigned to Employee", _xlpm.emp, "N/A"))</f>
        <v>N/A</v>
      </c>
      <c r="O168" s="161" t="str" cm="1">
        <f t="array" ref="O16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6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68" s="168"/>
      <c r="R168" s="168"/>
      <c r="S168" s="1" t="s">
        <v>405</v>
      </c>
      <c r="T168" s="194"/>
      <c r="X168" s="1">
        <v>1903</v>
      </c>
      <c r="Y168" s="223" t="s">
        <v>893</v>
      </c>
      <c r="Z168" s="1" t="b">
        <v>0</v>
      </c>
      <c r="AA168"/>
    </row>
    <row r="169" spans="1:27" s="1" customFormat="1" hidden="1" x14ac:dyDescent="0.2">
      <c r="A169" s="155">
        <v>636</v>
      </c>
      <c r="B169" s="1" t="s">
        <v>323</v>
      </c>
      <c r="E169" s="1" t="s">
        <v>306</v>
      </c>
      <c r="F169" s="195"/>
      <c r="G169" s="164" t="str">
        <f>_xlfn.XLOOKUP(ITEquipmentTable[[#This Row],[Name]], IntuneData[Device name], IntuneData[Serial number], "")</f>
        <v/>
      </c>
      <c r="H169" s="1" t="s">
        <v>295</v>
      </c>
      <c r="I169" s="1" t="s">
        <v>650</v>
      </c>
      <c r="K169" s="154" t="s">
        <v>508</v>
      </c>
      <c r="L169" s="164" t="str">
        <f>_xlfn.LET(
_xlpm.look, _xlfn.XLOOKUP(ITEquipmentTable[[#This Row],[Name]], VNCTable[ClientName], VNCTable[IP], ""),
_xlpm.chkk, IF(ITEquipmentTable[[#This Row],[IPv4 Address]] = "N/A", "N/A", _xlpm.look),
IF(ITEquipmentTable[[#This Row],[Name]] = "", "", _xlpm.chkk))</f>
        <v/>
      </c>
      <c r="M169" s="1" t="s">
        <v>651</v>
      </c>
      <c r="N169" s="159" t="str">
        <f>_xlfn.LET(_xlpm.emp, IF(_xlfn.XLOOKUP(ITEquipmentTable[[#This Row],[Assigned Employee]], EmployeeTable[name], EmployeeTable[Active], TRUE), "Employee", "Recover"),
IF(ITEquipmentTable[[#This Row],[Storage Location]] = "Assigned to Employee", _xlpm.emp, "N/A"))</f>
        <v>N/A</v>
      </c>
      <c r="O169" s="161" t="str" cm="1">
        <f t="array" ref="O16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6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169" s="1" t="s">
        <v>312</v>
      </c>
      <c r="T169" s="194"/>
      <c r="X169" s="1">
        <v>1999</v>
      </c>
      <c r="Y169" s="223" t="s">
        <v>896</v>
      </c>
      <c r="Z169" s="1" t="b">
        <v>0</v>
      </c>
      <c r="AA169"/>
    </row>
    <row r="170" spans="1:27" s="1" customFormat="1" hidden="1" x14ac:dyDescent="0.2">
      <c r="A170" s="155">
        <v>158</v>
      </c>
      <c r="B170" s="1" t="s">
        <v>294</v>
      </c>
      <c r="C170" s="1" t="s">
        <v>403</v>
      </c>
      <c r="D170" s="1" t="s">
        <v>1179</v>
      </c>
      <c r="E170" s="1" t="s">
        <v>306</v>
      </c>
      <c r="F170" s="195" t="s">
        <v>1520</v>
      </c>
      <c r="G170" s="159" t="str">
        <f>_xlfn.XLOOKUP(ITEquipmentTable[[#This Row],[Name]], IntuneData[Device name], IntuneData[Serial number], "")</f>
        <v/>
      </c>
      <c r="H170" s="168"/>
      <c r="I170" s="168"/>
      <c r="J170" s="168"/>
      <c r="K170" s="154" t="s">
        <v>508</v>
      </c>
      <c r="L170" s="159" t="str">
        <f>_xlfn.LET(
_xlpm.look, _xlfn.XLOOKUP(ITEquipmentTable[[#This Row],[Name]], VNCTable[ClientName], VNCTable[IP], ""),
_xlpm.chkk, IF(ITEquipmentTable[[#This Row],[IPv4 Address]] = "N/A", "N/A", _xlpm.look),
IF(ITEquipmentTable[[#This Row],[Name]] = "", "", _xlpm.chkk))</f>
        <v/>
      </c>
      <c r="M170" s="168" t="s">
        <v>1521</v>
      </c>
      <c r="N170" s="161" t="str">
        <f>_xlfn.LET(_xlpm.emp, IF(_xlfn.XLOOKUP(ITEquipmentTable[[#This Row],[Assigned Employee]], EmployeeTable[name], EmployeeTable[Active], TRUE), "Employee", "Recover"),
IF(ITEquipmentTable[[#This Row],[Storage Location]] = "Assigned to Employee", _xlpm.emp, "N/A"))</f>
        <v>N/A</v>
      </c>
      <c r="O170" s="161" t="str" cm="1">
        <f t="array" ref="O17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17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70" s="1" t="s">
        <v>405</v>
      </c>
      <c r="T170" s="194"/>
      <c r="X170" s="1">
        <v>2002</v>
      </c>
      <c r="Y170" s="223" t="s">
        <v>898</v>
      </c>
      <c r="Z170" s="1" t="b">
        <v>0</v>
      </c>
      <c r="AA170"/>
    </row>
    <row r="171" spans="1:27" s="1" customFormat="1" hidden="1" x14ac:dyDescent="0.2">
      <c r="A171" s="155">
        <v>159</v>
      </c>
      <c r="B171" s="1" t="s">
        <v>294</v>
      </c>
      <c r="C171" s="1" t="s">
        <v>403</v>
      </c>
      <c r="D171" s="1" t="s">
        <v>1175</v>
      </c>
      <c r="E171" s="1" t="s">
        <v>306</v>
      </c>
      <c r="F171" s="195" t="s">
        <v>1523</v>
      </c>
      <c r="G171" s="159" t="str">
        <f>_xlfn.XLOOKUP(ITEquipmentTable[[#This Row],[Name]], IntuneData[Device name], IntuneData[Serial number], "")</f>
        <v/>
      </c>
      <c r="H171" s="168"/>
      <c r="I171" s="168"/>
      <c r="J171" s="168"/>
      <c r="K171" s="154" t="s">
        <v>508</v>
      </c>
      <c r="L171" s="159" t="str">
        <f>_xlfn.LET(
_xlpm.look, _xlfn.XLOOKUP(ITEquipmentTable[[#This Row],[Name]], VNCTable[ClientName], VNCTable[IP], ""),
_xlpm.chkk, IF(ITEquipmentTable[[#This Row],[IPv4 Address]] = "N/A", "N/A", _xlpm.look),
IF(ITEquipmentTable[[#This Row],[Name]] = "", "", _xlpm.chkk))</f>
        <v/>
      </c>
      <c r="M171" s="168" t="s">
        <v>1524</v>
      </c>
      <c r="N171" s="161" t="str">
        <f>_xlfn.LET(_xlpm.emp, IF(_xlfn.XLOOKUP(ITEquipmentTable[[#This Row],[Assigned Employee]], EmployeeTable[name], EmployeeTable[Active], TRUE), "Employee", "Recover"),
IF(ITEquipmentTable[[#This Row],[Storage Location]] = "Assigned to Employee", _xlpm.emp, "N/A"))</f>
        <v>N/A</v>
      </c>
      <c r="O171" s="161" t="str" cm="1">
        <f t="array" ref="O17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7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71" s="1" t="s">
        <v>405</v>
      </c>
      <c r="T171" s="194"/>
      <c r="X171" s="1">
        <v>2008</v>
      </c>
      <c r="Y171" s="223" t="s">
        <v>901</v>
      </c>
      <c r="Z171" s="1" t="b">
        <v>0</v>
      </c>
      <c r="AA171"/>
    </row>
    <row r="172" spans="1:27" s="1" customFormat="1" hidden="1" x14ac:dyDescent="0.2">
      <c r="A172" s="155">
        <v>637</v>
      </c>
      <c r="B172" s="1" t="s">
        <v>294</v>
      </c>
      <c r="C172" s="1" t="s">
        <v>403</v>
      </c>
      <c r="E172" s="1" t="s">
        <v>306</v>
      </c>
      <c r="F172" s="195"/>
      <c r="G172" s="164" t="str">
        <f>_xlfn.XLOOKUP(ITEquipmentTable[[#This Row],[Name]], IntuneData[Device name], IntuneData[Serial number], "")</f>
        <v/>
      </c>
      <c r="K172" s="154" t="s">
        <v>508</v>
      </c>
      <c r="L172" s="164" t="str">
        <f>_xlfn.LET(
_xlpm.look, _xlfn.XLOOKUP(ITEquipmentTable[[#This Row],[Name]], VNCTable[ClientName], VNCTable[IP], ""),
_xlpm.chkk, IF(ITEquipmentTable[[#This Row],[IPv4 Address]] = "N/A", "N/A", _xlpm.look),
IF(ITEquipmentTable[[#This Row],[Name]] = "", "", _xlpm.chkk))</f>
        <v/>
      </c>
      <c r="M172" s="1" t="s">
        <v>1526</v>
      </c>
      <c r="N172" s="159" t="str">
        <f>_xlfn.LET(_xlpm.emp, IF(_xlfn.XLOOKUP(ITEquipmentTable[[#This Row],[Assigned Employee]], EmployeeTable[name], EmployeeTable[Active], TRUE), "Employee", "Recover"),
IF(ITEquipmentTable[[#This Row],[Storage Location]] = "Assigned to Employee", _xlpm.emp, "N/A"))</f>
        <v>N/A</v>
      </c>
      <c r="O172" s="161" t="str" cm="1">
        <f t="array" ref="O17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7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72" s="1" t="s">
        <v>298</v>
      </c>
      <c r="T172" s="194"/>
      <c r="X172" s="1">
        <v>2009</v>
      </c>
      <c r="Y172" s="223" t="s">
        <v>903</v>
      </c>
      <c r="Z172" s="1" t="b">
        <v>0</v>
      </c>
      <c r="AA172"/>
    </row>
    <row r="173" spans="1:27" s="1" customFormat="1" hidden="1" x14ac:dyDescent="0.2">
      <c r="A173" s="155">
        <v>160</v>
      </c>
      <c r="B173" s="1" t="s">
        <v>330</v>
      </c>
      <c r="C173" s="1" t="s">
        <v>1528</v>
      </c>
      <c r="D173" s="1" t="s">
        <v>1529</v>
      </c>
      <c r="E173" s="1" t="s">
        <v>306</v>
      </c>
      <c r="F173" s="195" t="s">
        <v>1530</v>
      </c>
      <c r="G173" s="159" t="str">
        <f>_xlfn.XLOOKUP(ITEquipmentTable[[#This Row],[Name]], IntuneData[Device name], IntuneData[Serial number], "")</f>
        <v/>
      </c>
      <c r="H173" s="168"/>
      <c r="I173" s="168"/>
      <c r="J173" s="168"/>
      <c r="K173" s="223"/>
      <c r="L173" s="159" t="str">
        <f>_xlfn.LET(
_xlpm.look, _xlfn.XLOOKUP(ITEquipmentTable[[#This Row],[Name]], VNCTable[ClientName], VNCTable[IP], ""),
_xlpm.chkk, IF(ITEquipmentTable[[#This Row],[IPv4 Address]] = "N/A", "N/A", _xlpm.look),
IF(ITEquipmentTable[[#This Row],[Name]] = "", "", _xlpm.chkk))</f>
        <v/>
      </c>
      <c r="M173" s="168" t="s">
        <v>1531</v>
      </c>
      <c r="N173" s="161" t="str">
        <f>_xlfn.LET(_xlpm.emp, IF(_xlfn.XLOOKUP(ITEquipmentTable[[#This Row],[Assigned Employee]], EmployeeTable[name], EmployeeTable[Active], TRUE), "Employee", "Recover"),
IF(ITEquipmentTable[[#This Row],[Storage Location]] = "Assigned to Employee", _xlpm.emp, "N/A"))</f>
        <v>N/A</v>
      </c>
      <c r="O173" s="161" t="str" cm="1">
        <f t="array" ref="O17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17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73" s="168"/>
      <c r="R173" s="168"/>
      <c r="S173" s="1" t="s">
        <v>405</v>
      </c>
      <c r="T173" s="194"/>
      <c r="X173" s="1">
        <v>2017</v>
      </c>
      <c r="Y173" s="223" t="s">
        <v>906</v>
      </c>
      <c r="Z173" s="1" t="b">
        <v>0</v>
      </c>
      <c r="AA173"/>
    </row>
    <row r="174" spans="1:27" s="1" customFormat="1" hidden="1" x14ac:dyDescent="0.2">
      <c r="A174" s="155">
        <v>161</v>
      </c>
      <c r="B174" s="1" t="s">
        <v>330</v>
      </c>
      <c r="C174" s="1" t="s">
        <v>1528</v>
      </c>
      <c r="D174" s="1" t="s">
        <v>1529</v>
      </c>
      <c r="E174" s="1" t="s">
        <v>306</v>
      </c>
      <c r="F174" s="195" t="s">
        <v>1533</v>
      </c>
      <c r="G174" s="159" t="str">
        <f>_xlfn.XLOOKUP(ITEquipmentTable[[#This Row],[Name]], IntuneData[Device name], IntuneData[Serial number], "")</f>
        <v/>
      </c>
      <c r="H174" s="168"/>
      <c r="I174" s="168"/>
      <c r="J174" s="168"/>
      <c r="K174" s="223"/>
      <c r="L174" s="159" t="str">
        <f>_xlfn.LET(
_xlpm.look, _xlfn.XLOOKUP(ITEquipmentTable[[#This Row],[Name]], VNCTable[ClientName], VNCTable[IP], ""),
_xlpm.chkk, IF(ITEquipmentTable[[#This Row],[IPv4 Address]] = "N/A", "N/A", _xlpm.look),
IF(ITEquipmentTable[[#This Row],[Name]] = "", "", _xlpm.chkk))</f>
        <v/>
      </c>
      <c r="M174" s="168" t="s">
        <v>1534</v>
      </c>
      <c r="N174" s="161" t="str">
        <f>_xlfn.LET(_xlpm.emp, IF(_xlfn.XLOOKUP(ITEquipmentTable[[#This Row],[Assigned Employee]], EmployeeTable[name], EmployeeTable[Active], TRUE), "Employee", "Recover"),
IF(ITEquipmentTable[[#This Row],[Storage Location]] = "Assigned to Employee", _xlpm.emp, "N/A"))</f>
        <v>N/A</v>
      </c>
      <c r="O174" s="161" t="str" cm="1">
        <f t="array" ref="O17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17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74" s="168"/>
      <c r="R174" s="168"/>
      <c r="S174" s="1" t="s">
        <v>405</v>
      </c>
      <c r="T174" s="194"/>
      <c r="X174" s="1">
        <v>2021</v>
      </c>
      <c r="Y174" s="223" t="s">
        <v>908</v>
      </c>
      <c r="Z174" s="1" t="b">
        <v>0</v>
      </c>
      <c r="AA174"/>
    </row>
    <row r="175" spans="1:27" s="1" customFormat="1" hidden="1" x14ac:dyDescent="0.2">
      <c r="A175" s="155">
        <v>162</v>
      </c>
      <c r="B175" s="1" t="s">
        <v>330</v>
      </c>
      <c r="C175" s="1" t="s">
        <v>1528</v>
      </c>
      <c r="D175" s="1" t="s">
        <v>1536</v>
      </c>
      <c r="E175" s="1" t="s">
        <v>306</v>
      </c>
      <c r="F175" s="195" t="s">
        <v>1537</v>
      </c>
      <c r="G175" s="159" t="str">
        <f>_xlfn.XLOOKUP(ITEquipmentTable[[#This Row],[Name]], IntuneData[Device name], IntuneData[Serial number], "")</f>
        <v/>
      </c>
      <c r="H175" s="1" t="s">
        <v>295</v>
      </c>
      <c r="I175" s="189"/>
      <c r="J175" s="189"/>
      <c r="K175" s="219"/>
      <c r="L175" s="159" t="str">
        <f>_xlfn.LET(
_xlpm.look, _xlfn.XLOOKUP(ITEquipmentTable[[#This Row],[Name]], VNCTable[ClientName], VNCTable[IP], ""),
_xlpm.chkk, IF(ITEquipmentTable[[#This Row],[IPv4 Address]] = "N/A", "N/A", _xlpm.look),
IF(ITEquipmentTable[[#This Row],[Name]] = "", "", _xlpm.chkk))</f>
        <v/>
      </c>
      <c r="M175" s="1" t="s">
        <v>1538</v>
      </c>
      <c r="N175" s="159" t="str">
        <f>_xlfn.LET(_xlpm.emp, IF(_xlfn.XLOOKUP(ITEquipmentTable[[#This Row],[Assigned Employee]], EmployeeTable[name], EmployeeTable[Active], TRUE), "Employee", "Recover"),
IF(ITEquipmentTable[[#This Row],[Storage Location]] = "Assigned to Employee", _xlpm.emp, "N/A"))</f>
        <v>N/A</v>
      </c>
      <c r="O175" s="159" t="str" cm="1">
        <f t="array" ref="O17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17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75" s="1" t="s">
        <v>298</v>
      </c>
      <c r="T175" s="194"/>
      <c r="X175" s="1">
        <v>2041</v>
      </c>
      <c r="Y175" s="223" t="s">
        <v>910</v>
      </c>
      <c r="Z175" s="1" t="b">
        <v>0</v>
      </c>
      <c r="AA175"/>
    </row>
    <row r="176" spans="1:27" s="1" customFormat="1" hidden="1" x14ac:dyDescent="0.2">
      <c r="A176" s="155">
        <v>163</v>
      </c>
      <c r="B176" s="1" t="s">
        <v>330</v>
      </c>
      <c r="C176" s="1" t="s">
        <v>1528</v>
      </c>
      <c r="D176" s="1" t="s">
        <v>1529</v>
      </c>
      <c r="E176" s="1" t="s">
        <v>306</v>
      </c>
      <c r="F176" s="195" t="s">
        <v>1540</v>
      </c>
      <c r="G176" s="159" t="str">
        <f>_xlfn.XLOOKUP(ITEquipmentTable[[#This Row],[Name]], IntuneData[Device name], IntuneData[Serial number], "")</f>
        <v/>
      </c>
      <c r="H176" s="168"/>
      <c r="I176" s="168"/>
      <c r="J176" s="168"/>
      <c r="K176" s="223"/>
      <c r="L176" s="159" t="str">
        <f>_xlfn.LET(
_xlpm.look, _xlfn.XLOOKUP(ITEquipmentTable[[#This Row],[Name]], VNCTable[ClientName], VNCTable[IP], ""),
_xlpm.chkk, IF(ITEquipmentTable[[#This Row],[IPv4 Address]] = "N/A", "N/A", _xlpm.look),
IF(ITEquipmentTable[[#This Row],[Name]] = "", "", _xlpm.chkk))</f>
        <v/>
      </c>
      <c r="M176" s="168" t="s">
        <v>1541</v>
      </c>
      <c r="N176" s="161" t="str">
        <f>_xlfn.LET(_xlpm.emp, IF(_xlfn.XLOOKUP(ITEquipmentTable[[#This Row],[Assigned Employee]], EmployeeTable[name], EmployeeTable[Active], TRUE), "Employee", "Recover"),
IF(ITEquipmentTable[[#This Row],[Storage Location]] = "Assigned to Employee", _xlpm.emp, "N/A"))</f>
        <v>N/A</v>
      </c>
      <c r="O176" s="161" t="str" cm="1">
        <f t="array" ref="O17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17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76" s="168"/>
      <c r="R176" s="168"/>
      <c r="S176" s="1" t="s">
        <v>405</v>
      </c>
      <c r="T176" s="194"/>
      <c r="X176" s="1">
        <v>2051</v>
      </c>
      <c r="Y176" s="223" t="s">
        <v>913</v>
      </c>
      <c r="Z176" s="1" t="b">
        <v>0</v>
      </c>
      <c r="AA176"/>
    </row>
    <row r="177" spans="1:27" s="1" customFormat="1" hidden="1" x14ac:dyDescent="0.2">
      <c r="A177" s="155">
        <v>164</v>
      </c>
      <c r="B177" s="1" t="s">
        <v>330</v>
      </c>
      <c r="C177" s="1" t="s">
        <v>1528</v>
      </c>
      <c r="D177" s="1" t="s">
        <v>1529</v>
      </c>
      <c r="E177" s="1" t="s">
        <v>306</v>
      </c>
      <c r="F177" s="195" t="s">
        <v>1543</v>
      </c>
      <c r="G177" s="159" t="str">
        <f>_xlfn.XLOOKUP(ITEquipmentTable[[#This Row],[Name]], IntuneData[Device name], IntuneData[Serial number], "")</f>
        <v/>
      </c>
      <c r="H177" s="168"/>
      <c r="I177" s="168"/>
      <c r="J177" s="168"/>
      <c r="K177" s="223"/>
      <c r="L177" s="159" t="str">
        <f>_xlfn.LET(
_xlpm.look, _xlfn.XLOOKUP(ITEquipmentTable[[#This Row],[Name]], VNCTable[ClientName], VNCTable[IP], ""),
_xlpm.chkk, IF(ITEquipmentTable[[#This Row],[IPv4 Address]] = "N/A", "N/A", _xlpm.look),
IF(ITEquipmentTable[[#This Row],[Name]] = "", "", _xlpm.chkk))</f>
        <v/>
      </c>
      <c r="M177" s="168" t="s">
        <v>1544</v>
      </c>
      <c r="N177" s="161" t="str">
        <f>_xlfn.LET(_xlpm.emp, IF(_xlfn.XLOOKUP(ITEquipmentTable[[#This Row],[Assigned Employee]], EmployeeTable[name], EmployeeTable[Active], TRUE), "Employee", "Recover"),
IF(ITEquipmentTable[[#This Row],[Storage Location]] = "Assigned to Employee", _xlpm.emp, "N/A"))</f>
        <v>N/A</v>
      </c>
      <c r="O177" s="161" t="str" cm="1">
        <f t="array" ref="O17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17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77" s="168"/>
      <c r="R177" s="168"/>
      <c r="S177" s="1" t="s">
        <v>405</v>
      </c>
      <c r="T177" s="194"/>
      <c r="X177" s="1">
        <v>2055</v>
      </c>
      <c r="Y177" s="223" t="s">
        <v>918</v>
      </c>
      <c r="Z177" s="1" t="b">
        <v>0</v>
      </c>
      <c r="AA177"/>
    </row>
    <row r="178" spans="1:27" s="1" customFormat="1" hidden="1" x14ac:dyDescent="0.2">
      <c r="A178" s="155">
        <v>165</v>
      </c>
      <c r="B178" s="1" t="s">
        <v>330</v>
      </c>
      <c r="C178" s="1" t="s">
        <v>1528</v>
      </c>
      <c r="D178" s="1" t="s">
        <v>1529</v>
      </c>
      <c r="E178" s="1" t="s">
        <v>306</v>
      </c>
      <c r="F178" s="195" t="s">
        <v>1546</v>
      </c>
      <c r="G178" s="159" t="str">
        <f>_xlfn.XLOOKUP(ITEquipmentTable[[#This Row],[Name]], IntuneData[Device name], IntuneData[Serial number], "")</f>
        <v/>
      </c>
      <c r="H178" s="168"/>
      <c r="I178" s="168"/>
      <c r="J178" s="168"/>
      <c r="K178" s="223"/>
      <c r="L178" s="159" t="str">
        <f>_xlfn.LET(
_xlpm.look, _xlfn.XLOOKUP(ITEquipmentTable[[#This Row],[Name]], VNCTable[ClientName], VNCTable[IP], ""),
_xlpm.chkk, IF(ITEquipmentTable[[#This Row],[IPv4 Address]] = "N/A", "N/A", _xlpm.look),
IF(ITEquipmentTable[[#This Row],[Name]] = "", "", _xlpm.chkk))</f>
        <v/>
      </c>
      <c r="M178" s="168" t="s">
        <v>1547</v>
      </c>
      <c r="N178" s="161" t="str">
        <f>_xlfn.LET(_xlpm.emp, IF(_xlfn.XLOOKUP(ITEquipmentTable[[#This Row],[Assigned Employee]], EmployeeTable[name], EmployeeTable[Active], TRUE), "Employee", "Recover"),
IF(ITEquipmentTable[[#This Row],[Storage Location]] = "Assigned to Employee", _xlpm.emp, "N/A"))</f>
        <v>N/A</v>
      </c>
      <c r="O178" s="161" t="str" cm="1">
        <f t="array" ref="O17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17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78" s="168"/>
      <c r="R178" s="168"/>
      <c r="S178" s="1" t="s">
        <v>405</v>
      </c>
      <c r="T178" s="194"/>
      <c r="X178" s="1">
        <v>2074</v>
      </c>
      <c r="Y178" s="223" t="s">
        <v>920</v>
      </c>
      <c r="Z178" s="1" t="b">
        <v>0</v>
      </c>
      <c r="AA178"/>
    </row>
    <row r="179" spans="1:27" s="1" customFormat="1" hidden="1" x14ac:dyDescent="0.2">
      <c r="A179" s="155">
        <v>166</v>
      </c>
      <c r="B179" s="1" t="s">
        <v>330</v>
      </c>
      <c r="C179" s="1" t="s">
        <v>1528</v>
      </c>
      <c r="D179" s="1" t="s">
        <v>1529</v>
      </c>
      <c r="E179" s="1" t="s">
        <v>306</v>
      </c>
      <c r="F179" s="195" t="s">
        <v>1549</v>
      </c>
      <c r="G179" s="159" t="str">
        <f>_xlfn.XLOOKUP(ITEquipmentTable[[#This Row],[Name]], IntuneData[Device name], IntuneData[Serial number], "")</f>
        <v/>
      </c>
      <c r="H179" s="168"/>
      <c r="I179" s="168"/>
      <c r="J179" s="168"/>
      <c r="K179" s="223"/>
      <c r="L179" s="159" t="str">
        <f>_xlfn.LET(
_xlpm.look, _xlfn.XLOOKUP(ITEquipmentTable[[#This Row],[Name]], VNCTable[ClientName], VNCTable[IP], ""),
_xlpm.chkk, IF(ITEquipmentTable[[#This Row],[IPv4 Address]] = "N/A", "N/A", _xlpm.look),
IF(ITEquipmentTable[[#This Row],[Name]] = "", "", _xlpm.chkk))</f>
        <v/>
      </c>
      <c r="M179" s="168" t="s">
        <v>1550</v>
      </c>
      <c r="N179" s="161" t="str">
        <f>_xlfn.LET(_xlpm.emp, IF(_xlfn.XLOOKUP(ITEquipmentTable[[#This Row],[Assigned Employee]], EmployeeTable[name], EmployeeTable[Active], TRUE), "Employee", "Recover"),
IF(ITEquipmentTable[[#This Row],[Storage Location]] = "Assigned to Employee", _xlpm.emp, "N/A"))</f>
        <v>N/A</v>
      </c>
      <c r="O179" s="161" t="str" cm="1">
        <f t="array" ref="O17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17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79" s="168"/>
      <c r="R179" s="168"/>
      <c r="S179" s="1" t="s">
        <v>405</v>
      </c>
      <c r="T179" s="194"/>
      <c r="X179" s="1">
        <v>2077</v>
      </c>
      <c r="Y179" s="223" t="s">
        <v>923</v>
      </c>
      <c r="Z179" s="1" t="b">
        <v>0</v>
      </c>
      <c r="AA179"/>
    </row>
    <row r="180" spans="1:27" s="1" customFormat="1" hidden="1" x14ac:dyDescent="0.2">
      <c r="A180" s="155">
        <v>167</v>
      </c>
      <c r="B180" s="1" t="s">
        <v>330</v>
      </c>
      <c r="C180" s="1" t="s">
        <v>1528</v>
      </c>
      <c r="D180" s="1" t="s">
        <v>1536</v>
      </c>
      <c r="E180" s="1" t="s">
        <v>306</v>
      </c>
      <c r="F180" s="195" t="s">
        <v>1552</v>
      </c>
      <c r="G180" s="159" t="str">
        <f>_xlfn.XLOOKUP(ITEquipmentTable[[#This Row],[Name]], IntuneData[Device name], IntuneData[Serial number], "")</f>
        <v/>
      </c>
      <c r="H180" s="168"/>
      <c r="I180" s="168"/>
      <c r="J180" s="168"/>
      <c r="K180" s="223"/>
      <c r="L180" s="159" t="str">
        <f>_xlfn.LET(
_xlpm.look, _xlfn.XLOOKUP(ITEquipmentTable[[#This Row],[Name]], VNCTable[ClientName], VNCTable[IP], ""),
_xlpm.chkk, IF(ITEquipmentTable[[#This Row],[IPv4 Address]] = "N/A", "N/A", _xlpm.look),
IF(ITEquipmentTable[[#This Row],[Name]] = "", "", _xlpm.chkk))</f>
        <v/>
      </c>
      <c r="M180" s="168" t="s">
        <v>1553</v>
      </c>
      <c r="N180" s="161" t="str">
        <f>_xlfn.LET(_xlpm.emp, IF(_xlfn.XLOOKUP(ITEquipmentTable[[#This Row],[Assigned Employee]], EmployeeTable[name], EmployeeTable[Active], TRUE), "Employee", "Recover"),
IF(ITEquipmentTable[[#This Row],[Storage Location]] = "Assigned to Employee", _xlpm.emp, "N/A"))</f>
        <v>N/A</v>
      </c>
      <c r="O180" s="161" t="str" cm="1">
        <f t="array" ref="O18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18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180" s="168"/>
      <c r="R180" s="168"/>
      <c r="S180" s="1" t="s">
        <v>405</v>
      </c>
      <c r="T180" s="194"/>
      <c r="X180" s="1">
        <v>2078</v>
      </c>
      <c r="Y180" s="223" t="s">
        <v>925</v>
      </c>
      <c r="Z180" s="1" t="b">
        <v>0</v>
      </c>
      <c r="AA180"/>
    </row>
    <row r="181" spans="1:27" s="1" customFormat="1" hidden="1" x14ac:dyDescent="0.2">
      <c r="A181" s="155">
        <v>638</v>
      </c>
      <c r="B181" s="1" t="s">
        <v>294</v>
      </c>
      <c r="F181" s="195"/>
      <c r="G181" s="164" t="str">
        <f>_xlfn.XLOOKUP(ITEquipmentTable[[#This Row],[Name]], IntuneData[Device name], IntuneData[Serial number], "")</f>
        <v/>
      </c>
      <c r="H181" s="1" t="s">
        <v>295</v>
      </c>
      <c r="I181" s="1" t="s">
        <v>296</v>
      </c>
      <c r="K181" s="154"/>
      <c r="L181" s="164" t="str">
        <f>_xlfn.LET(
_xlpm.look, _xlfn.XLOOKUP(ITEquipmentTable[[#This Row],[Name]], VNCTable[ClientName], VNCTable[IP], ""),
_xlpm.chkk, IF(ITEquipmentTable[[#This Row],[IPv4 Address]] = "N/A", "N/A", _xlpm.look),
IF(ITEquipmentTable[[#This Row],[Name]] = "", "", _xlpm.chkk))</f>
        <v/>
      </c>
      <c r="M181" s="1" t="s">
        <v>297</v>
      </c>
      <c r="N181" s="159" t="str">
        <f>_xlfn.LET(_xlpm.emp, IF(_xlfn.XLOOKUP(ITEquipmentTable[[#This Row],[Assigned Employee]], EmployeeTable[name], EmployeeTable[Active], TRUE), "Employee", "Recover"),
IF(ITEquipmentTable[[#This Row],[Storage Location]] = "Assigned to Employee", _xlpm.emp, "N/A"))</f>
        <v>N/A</v>
      </c>
      <c r="O181" s="161" t="str" cm="1">
        <f t="array" ref="O18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18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81" s="1" t="s">
        <v>298</v>
      </c>
      <c r="T181" s="194"/>
      <c r="X181" s="1">
        <v>2079</v>
      </c>
      <c r="Y181" s="223" t="s">
        <v>928</v>
      </c>
      <c r="Z181" s="1" t="b">
        <v>0</v>
      </c>
      <c r="AA181"/>
    </row>
    <row r="182" spans="1:27" s="1" customFormat="1" x14ac:dyDescent="0.2">
      <c r="A182" s="155">
        <v>639</v>
      </c>
      <c r="B182" s="1" t="s">
        <v>304</v>
      </c>
      <c r="C182" s="1" t="s">
        <v>403</v>
      </c>
      <c r="D182" s="1" t="s">
        <v>914</v>
      </c>
      <c r="E182" s="1" t="s">
        <v>306</v>
      </c>
      <c r="F182" s="195" t="s">
        <v>1415</v>
      </c>
      <c r="G182" s="159" t="str">
        <f>_xlfn.XLOOKUP(ITEquipmentTable[[#This Row],[Name]], IntuneData[Device name], IntuneData[Serial number], "")</f>
        <v>MXL93045Q2</v>
      </c>
      <c r="H182" s="1" t="s">
        <v>295</v>
      </c>
      <c r="I182" s="1" t="s">
        <v>1879</v>
      </c>
      <c r="K182" s="154"/>
      <c r="L182" s="159" t="str">
        <f>_xlfn.LET(
_xlpm.look, _xlfn.XLOOKUP(ITEquipmentTable[[#This Row],[Name]], VNCTable[ClientName], VNCTable[IP], ""),
_xlpm.chkk, IF(ITEquipmentTable[[#This Row],[IPv4 Address]] = "N/A", "N/A", _xlpm.look),
IF(ITEquipmentTable[[#This Row],[Name]] = "", "", _xlpm.chkk))</f>
        <v/>
      </c>
      <c r="M182" s="1" t="s">
        <v>1880</v>
      </c>
      <c r="N182" s="159" t="str">
        <f>_xlfn.LET(_xlpm.emp, IF(_xlfn.XLOOKUP(ITEquipmentTable[[#This Row],[Assigned Employee]], EmployeeTable[name], EmployeeTable[Active], TRUE), "Employee", "Recover"),
IF(ITEquipmentTable[[#This Row],[Storage Location]] = "Assigned to Employee", _xlpm.emp, "N/A"))</f>
        <v>N/A</v>
      </c>
      <c r="O182" s="161" t="str" cm="1">
        <f t="array" ref="O18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18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182" s="1" t="s">
        <v>312</v>
      </c>
      <c r="T182" s="194"/>
      <c r="X182" s="1">
        <v>2105</v>
      </c>
      <c r="Y182" s="223" t="s">
        <v>930</v>
      </c>
      <c r="Z182" s="1" t="b">
        <v>0</v>
      </c>
      <c r="AA182"/>
    </row>
    <row r="183" spans="1:27" s="1" customFormat="1" hidden="1" x14ac:dyDescent="0.2">
      <c r="A183" s="155">
        <v>168</v>
      </c>
      <c r="B183" s="1" t="s">
        <v>294</v>
      </c>
      <c r="C183" s="1" t="s">
        <v>403</v>
      </c>
      <c r="D183" s="1" t="s">
        <v>1179</v>
      </c>
      <c r="E183" s="1" t="s">
        <v>306</v>
      </c>
      <c r="F183" s="195" t="s">
        <v>1555</v>
      </c>
      <c r="G183" s="159" t="str">
        <f>_xlfn.XLOOKUP(ITEquipmentTable[[#This Row],[Name]], IntuneData[Device name], IntuneData[Serial number], "")</f>
        <v/>
      </c>
      <c r="H183" s="168" t="s">
        <v>384</v>
      </c>
      <c r="I183" s="168"/>
      <c r="J183" s="168" t="s">
        <v>586</v>
      </c>
      <c r="K183" s="154" t="s">
        <v>508</v>
      </c>
      <c r="L183" s="159" t="str">
        <f>_xlfn.LET(
_xlpm.look, _xlfn.XLOOKUP(ITEquipmentTable[[#This Row],[Name]], VNCTable[ClientName], VNCTable[IP], ""),
_xlpm.chkk, IF(ITEquipmentTable[[#This Row],[IPv4 Address]] = "N/A", "N/A", _xlpm.look),
IF(ITEquipmentTable[[#This Row],[Name]] = "", "", _xlpm.chkk))</f>
        <v/>
      </c>
      <c r="M183" s="168" t="s">
        <v>1556</v>
      </c>
      <c r="N183" s="161" t="str">
        <f>_xlfn.LET(_xlpm.emp, IF(_xlfn.XLOOKUP(ITEquipmentTable[[#This Row],[Assigned Employee]], EmployeeTable[name], EmployeeTable[Active], TRUE), "Employee", "Recover"),
IF(ITEquipmentTable[[#This Row],[Storage Location]] = "Assigned to Employee", _xlpm.emp, "N/A"))</f>
        <v>Employee</v>
      </c>
      <c r="O183" s="161" t="str" cm="1">
        <f t="array" ref="O18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18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S183" s="1" t="s">
        <v>405</v>
      </c>
      <c r="T183" s="194"/>
      <c r="X183" s="1">
        <v>2135</v>
      </c>
      <c r="Y183" s="223" t="s">
        <v>933</v>
      </c>
      <c r="Z183" s="1" t="b">
        <v>0</v>
      </c>
      <c r="AA183"/>
    </row>
    <row r="184" spans="1:27" s="1" customFormat="1" hidden="1" x14ac:dyDescent="0.2">
      <c r="A184" s="155">
        <v>169</v>
      </c>
      <c r="B184" s="1" t="s">
        <v>294</v>
      </c>
      <c r="C184" s="1" t="s">
        <v>403</v>
      </c>
      <c r="D184" s="1" t="s">
        <v>1170</v>
      </c>
      <c r="E184" s="1" t="s">
        <v>306</v>
      </c>
      <c r="F184" s="195" t="s">
        <v>1558</v>
      </c>
      <c r="G184" s="159" t="str">
        <f>_xlfn.XLOOKUP(ITEquipmentTable[[#This Row],[Name]], IntuneData[Device name], IntuneData[Serial number], "")</f>
        <v/>
      </c>
      <c r="H184" s="168" t="s">
        <v>348</v>
      </c>
      <c r="I184" s="168"/>
      <c r="J184" s="168"/>
      <c r="K184" s="154" t="s">
        <v>226</v>
      </c>
      <c r="L184" s="159" t="str">
        <f>_xlfn.LET(
_xlpm.look, _xlfn.XLOOKUP(ITEquipmentTable[[#This Row],[Name]], VNCTable[ClientName], VNCTable[IP], ""),
_xlpm.chkk, IF(ITEquipmentTable[[#This Row],[IPv4 Address]] = "N/A", "N/A", _xlpm.look),
IF(ITEquipmentTable[[#This Row],[Name]] = "", "", _xlpm.chkk))</f>
        <v>N/A</v>
      </c>
      <c r="M184" s="168" t="s">
        <v>1559</v>
      </c>
      <c r="N184" s="161" t="str">
        <f>_xlfn.LET(_xlpm.emp, IF(_xlfn.XLOOKUP(ITEquipmentTable[[#This Row],[Assigned Employee]], EmployeeTable[name], EmployeeTable[Active], TRUE), "Employee", "Recover"),
IF(ITEquipmentTable[[#This Row],[Storage Location]] = "Assigned to Employee", _xlpm.emp, "N/A"))</f>
        <v>N/A</v>
      </c>
      <c r="O184" s="161" t="str" cm="1">
        <f t="array" ref="O18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8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184" s="1" t="s">
        <v>1191</v>
      </c>
      <c r="R184" s="1" t="s">
        <v>351</v>
      </c>
      <c r="T184" s="194"/>
      <c r="X184" s="1">
        <v>2151</v>
      </c>
      <c r="Y184" s="223" t="s">
        <v>936</v>
      </c>
      <c r="Z184" s="1" t="b">
        <v>0</v>
      </c>
      <c r="AA184"/>
    </row>
    <row r="185" spans="1:27" s="1" customFormat="1" hidden="1" x14ac:dyDescent="0.2">
      <c r="A185" s="155">
        <v>542</v>
      </c>
      <c r="B185" s="1" t="s">
        <v>294</v>
      </c>
      <c r="C185" s="1" t="s">
        <v>403</v>
      </c>
      <c r="E185" s="1" t="s">
        <v>306</v>
      </c>
      <c r="F185" s="195"/>
      <c r="G185" s="164" t="str">
        <f>_xlfn.XLOOKUP(ITEquipmentTable[[#This Row],[Name]], IntuneData[Device name], IntuneData[Serial number], "")</f>
        <v/>
      </c>
      <c r="K185" s="154" t="s">
        <v>508</v>
      </c>
      <c r="L185" s="164" t="str">
        <f>_xlfn.LET(
_xlpm.look, _xlfn.XLOOKUP(ITEquipmentTable[[#This Row],[Name]], VNCTable[ClientName], VNCTable[IP], ""),
_xlpm.chkk, IF(ITEquipmentTable[[#This Row],[IPv4 Address]] = "N/A", "N/A", _xlpm.look),
IF(ITEquipmentTable[[#This Row],[Name]] = "", "", _xlpm.chkk))</f>
        <v/>
      </c>
      <c r="M185" s="1" t="s">
        <v>1561</v>
      </c>
      <c r="N185" s="159" t="str">
        <f>_xlfn.LET(_xlpm.emp, IF(_xlfn.XLOOKUP(ITEquipmentTable[[#This Row],[Assigned Employee]], EmployeeTable[name], EmployeeTable[Active], TRUE), "Employee", "Recover"),
IF(ITEquipmentTable[[#This Row],[Storage Location]] = "Assigned to Employee", _xlpm.emp, "N/A"))</f>
        <v>N/A</v>
      </c>
      <c r="O185" s="159" t="str" cm="1">
        <f t="array" ref="O18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8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85" s="1" t="s">
        <v>298</v>
      </c>
      <c r="T185" s="194"/>
      <c r="X185" s="1">
        <v>2152</v>
      </c>
      <c r="Y185" s="223" t="s">
        <v>939</v>
      </c>
      <c r="Z185" s="1" t="b">
        <v>0</v>
      </c>
      <c r="AA185"/>
    </row>
    <row r="186" spans="1:27" s="1" customFormat="1" hidden="1" x14ac:dyDescent="0.2">
      <c r="A186" s="155">
        <v>170</v>
      </c>
      <c r="B186" s="1" t="s">
        <v>294</v>
      </c>
      <c r="C186" s="1" t="s">
        <v>403</v>
      </c>
      <c r="D186" s="1" t="s">
        <v>656</v>
      </c>
      <c r="E186" s="1" t="s">
        <v>306</v>
      </c>
      <c r="F186" s="195" t="s">
        <v>1563</v>
      </c>
      <c r="G186" s="159" t="str">
        <f>_xlfn.XLOOKUP(ITEquipmentTable[[#This Row],[Name]], IntuneData[Device name], IntuneData[Serial number], "")</f>
        <v/>
      </c>
      <c r="H186" s="168"/>
      <c r="I186" s="168"/>
      <c r="J186" s="168"/>
      <c r="K186" s="154" t="s">
        <v>508</v>
      </c>
      <c r="L186" s="159" t="str">
        <f>_xlfn.LET(
_xlpm.look, _xlfn.XLOOKUP(ITEquipmentTable[[#This Row],[Name]], VNCTable[ClientName], VNCTable[IP], ""),
_xlpm.chkk, IF(ITEquipmentTable[[#This Row],[IPv4 Address]] = "N/A", "N/A", _xlpm.look),
IF(ITEquipmentTable[[#This Row],[Name]] = "", "", _xlpm.chkk))</f>
        <v/>
      </c>
      <c r="M186" s="168" t="s">
        <v>1564</v>
      </c>
      <c r="N186" s="161" t="str">
        <f>_xlfn.LET(_xlpm.emp, IF(_xlfn.XLOOKUP(ITEquipmentTable[[#This Row],[Assigned Employee]], EmployeeTable[name], EmployeeTable[Active], TRUE), "Employee", "Recover"),
IF(ITEquipmentTable[[#This Row],[Storage Location]] = "Assigned to Employee", _xlpm.emp, "N/A"))</f>
        <v>N/A</v>
      </c>
      <c r="O186" s="161" t="str" cm="1">
        <f t="array" ref="O18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8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86" s="1" t="s">
        <v>405</v>
      </c>
      <c r="T186" s="194"/>
      <c r="X186" s="1">
        <v>2155</v>
      </c>
      <c r="Y186" s="223" t="s">
        <v>943</v>
      </c>
      <c r="Z186" s="1" t="b">
        <v>0</v>
      </c>
      <c r="AA186"/>
    </row>
    <row r="187" spans="1:27" s="1" customFormat="1" hidden="1" x14ac:dyDescent="0.2">
      <c r="A187" s="155">
        <v>640</v>
      </c>
      <c r="B187" s="1" t="s">
        <v>323</v>
      </c>
      <c r="E187" s="1" t="s">
        <v>306</v>
      </c>
      <c r="F187" s="195"/>
      <c r="G187" s="164" t="str">
        <f>_xlfn.XLOOKUP(ITEquipmentTable[[#This Row],[Name]], IntuneData[Device name], IntuneData[Serial number], "")</f>
        <v/>
      </c>
      <c r="K187" s="154"/>
      <c r="L187" s="164" t="str">
        <f>_xlfn.LET(
_xlpm.look, _xlfn.XLOOKUP(ITEquipmentTable[[#This Row],[Name]], VNCTable[ClientName], VNCTable[IP], ""),
_xlpm.chkk, IF(ITEquipmentTable[[#This Row],[IPv4 Address]] = "N/A", "N/A", _xlpm.look),
IF(ITEquipmentTable[[#This Row],[Name]] = "", "", _xlpm.chkk))</f>
        <v/>
      </c>
      <c r="M187" s="1" t="s">
        <v>1566</v>
      </c>
      <c r="N187" s="159" t="str">
        <f>_xlfn.LET(_xlpm.emp, IF(_xlfn.XLOOKUP(ITEquipmentTable[[#This Row],[Assigned Employee]], EmployeeTable[name], EmployeeTable[Active], TRUE), "Employee", "Recover"),
IF(ITEquipmentTable[[#This Row],[Storage Location]] = "Assigned to Employee", _xlpm.emp, "N/A"))</f>
        <v>N/A</v>
      </c>
      <c r="O187" s="161" t="str" cm="1">
        <f t="array" ref="O18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18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87" s="1" t="s">
        <v>298</v>
      </c>
      <c r="T187" s="194"/>
      <c r="X187" s="1">
        <v>2167</v>
      </c>
      <c r="Y187" s="223" t="s">
        <v>946</v>
      </c>
      <c r="Z187" s="1" t="b">
        <v>0</v>
      </c>
      <c r="AA187"/>
    </row>
    <row r="188" spans="1:27" s="1" customFormat="1" hidden="1" x14ac:dyDescent="0.2">
      <c r="A188" s="155">
        <v>171</v>
      </c>
      <c r="B188" s="1" t="s">
        <v>294</v>
      </c>
      <c r="C188" s="1" t="s">
        <v>403</v>
      </c>
      <c r="D188" s="1" t="s">
        <v>1155</v>
      </c>
      <c r="E188" s="1" t="s">
        <v>306</v>
      </c>
      <c r="F188" s="195" t="s">
        <v>1568</v>
      </c>
      <c r="G188" s="159" t="str">
        <f>_xlfn.XLOOKUP(ITEquipmentTable[[#This Row],[Name]], IntuneData[Device name], IntuneData[Serial number], "")</f>
        <v/>
      </c>
      <c r="H188" s="168"/>
      <c r="I188" s="168"/>
      <c r="J188" s="168"/>
      <c r="K188" s="154" t="s">
        <v>508</v>
      </c>
      <c r="L188" s="159" t="str">
        <f>_xlfn.LET(
_xlpm.look, _xlfn.XLOOKUP(ITEquipmentTable[[#This Row],[Name]], VNCTable[ClientName], VNCTable[IP], ""),
_xlpm.chkk, IF(ITEquipmentTable[[#This Row],[IPv4 Address]] = "N/A", "N/A", _xlpm.look),
IF(ITEquipmentTable[[#This Row],[Name]] = "", "", _xlpm.chkk))</f>
        <v/>
      </c>
      <c r="M188" s="168" t="s">
        <v>1569</v>
      </c>
      <c r="N188" s="161" t="str">
        <f>_xlfn.LET(_xlpm.emp, IF(_xlfn.XLOOKUP(ITEquipmentTable[[#This Row],[Assigned Employee]], EmployeeTable[name], EmployeeTable[Active], TRUE), "Employee", "Recover"),
IF(ITEquipmentTable[[#This Row],[Storage Location]] = "Assigned to Employee", _xlpm.emp, "N/A"))</f>
        <v>N/A</v>
      </c>
      <c r="O188" s="161" t="str" cm="1">
        <f t="array" ref="O18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8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88" s="1" t="s">
        <v>405</v>
      </c>
      <c r="T188" s="194"/>
      <c r="X188" s="1">
        <v>2189</v>
      </c>
      <c r="Y188" s="223" t="s">
        <v>948</v>
      </c>
      <c r="Z188" s="1" t="b">
        <v>0</v>
      </c>
      <c r="AA188"/>
    </row>
    <row r="189" spans="1:27" s="1" customFormat="1" hidden="1" x14ac:dyDescent="0.2">
      <c r="A189" s="155">
        <v>172</v>
      </c>
      <c r="B189" s="1" t="s">
        <v>294</v>
      </c>
      <c r="C189" s="1" t="s">
        <v>403</v>
      </c>
      <c r="D189" s="1" t="s">
        <v>1170</v>
      </c>
      <c r="E189" s="1" t="s">
        <v>306</v>
      </c>
      <c r="F189" s="195" t="s">
        <v>1571</v>
      </c>
      <c r="G189" s="159" t="str">
        <f>_xlfn.XLOOKUP(ITEquipmentTable[[#This Row],[Name]], IntuneData[Device name], IntuneData[Serial number], "")</f>
        <v/>
      </c>
      <c r="H189" s="168"/>
      <c r="I189" s="168"/>
      <c r="J189" s="168"/>
      <c r="K189" s="154" t="s">
        <v>508</v>
      </c>
      <c r="L189" s="159" t="str">
        <f>_xlfn.LET(
_xlpm.look, _xlfn.XLOOKUP(ITEquipmentTable[[#This Row],[Name]], VNCTable[ClientName], VNCTable[IP], ""),
_xlpm.chkk, IF(ITEquipmentTable[[#This Row],[IPv4 Address]] = "N/A", "N/A", _xlpm.look),
IF(ITEquipmentTable[[#This Row],[Name]] = "", "", _xlpm.chkk))</f>
        <v/>
      </c>
      <c r="M189" s="168" t="s">
        <v>1572</v>
      </c>
      <c r="N189" s="161" t="str">
        <f>_xlfn.LET(_xlpm.emp, IF(_xlfn.XLOOKUP(ITEquipmentTable[[#This Row],[Assigned Employee]], EmployeeTable[name], EmployeeTable[Active], TRUE), "Employee", "Recover"),
IF(ITEquipmentTable[[#This Row],[Storage Location]] = "Assigned to Employee", _xlpm.emp, "N/A"))</f>
        <v>N/A</v>
      </c>
      <c r="O189" s="161" t="str" cm="1">
        <f t="array" ref="O18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8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89" s="1" t="s">
        <v>405</v>
      </c>
      <c r="T189" s="194"/>
      <c r="X189" s="1">
        <v>2214</v>
      </c>
      <c r="Y189" s="223" t="s">
        <v>952</v>
      </c>
      <c r="Z189" s="1" t="b">
        <v>0</v>
      </c>
      <c r="AA189"/>
    </row>
    <row r="190" spans="1:27" s="1" customFormat="1" hidden="1" x14ac:dyDescent="0.2">
      <c r="A190" s="155">
        <v>479</v>
      </c>
      <c r="B190" s="1" t="s">
        <v>304</v>
      </c>
      <c r="F190" s="195"/>
      <c r="G190" s="159" t="str">
        <f>_xlfn.XLOOKUP(ITEquipmentTable[[#This Row],[Name]], IntuneData[Device name], IntuneData[Serial number], "")</f>
        <v/>
      </c>
      <c r="H190" s="1" t="s">
        <v>295</v>
      </c>
      <c r="I190" s="1" t="s">
        <v>1757</v>
      </c>
      <c r="K190" s="154"/>
      <c r="L190" s="159" t="str">
        <f>_xlfn.LET(
_xlpm.look, _xlfn.XLOOKUP(ITEquipmentTable[[#This Row],[Name]], VNCTable[ClientName], VNCTable[IP], ""),
_xlpm.chkk, IF(ITEquipmentTable[[#This Row],[IPv4 Address]] = "N/A", "N/A", _xlpm.look),
IF(ITEquipmentTable[[#This Row],[Name]] = "", "", _xlpm.chkk))</f>
        <v/>
      </c>
      <c r="M190" s="1" t="s">
        <v>1758</v>
      </c>
      <c r="N190" s="159" t="str">
        <f>_xlfn.LET(_xlpm.emp, IF(_xlfn.XLOOKUP(ITEquipmentTable[[#This Row],[Assigned Employee]], EmployeeTable[name], EmployeeTable[Active], TRUE), "Employee", "Recover"),
IF(ITEquipmentTable[[#This Row],[Storage Location]] = "Assigned to Employee", _xlpm.emp, "N/A"))</f>
        <v>N/A</v>
      </c>
      <c r="O190" s="159" t="str" cm="1">
        <f t="array" ref="O19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9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190" s="193" t="s">
        <v>312</v>
      </c>
      <c r="S190" s="1" t="s">
        <v>299</v>
      </c>
      <c r="T190" s="194"/>
      <c r="X190" s="1">
        <v>2231</v>
      </c>
      <c r="Y190" s="223" t="s">
        <v>956</v>
      </c>
      <c r="Z190" s="1" t="b">
        <v>0</v>
      </c>
      <c r="AA190"/>
    </row>
    <row r="191" spans="1:27" s="1" customFormat="1" x14ac:dyDescent="0.2">
      <c r="A191" s="155">
        <v>173</v>
      </c>
      <c r="B191" s="1" t="s">
        <v>304</v>
      </c>
      <c r="C191" s="1" t="s">
        <v>403</v>
      </c>
      <c r="D191" s="1" t="s">
        <v>914</v>
      </c>
      <c r="E191" s="1" t="s">
        <v>306</v>
      </c>
      <c r="F191" s="195" t="s">
        <v>915</v>
      </c>
      <c r="G191" s="159" t="str">
        <f>_xlfn.XLOOKUP(ITEquipmentTable[[#This Row],[Name]], IntuneData[Device name], IntuneData[Serial number], "")</f>
        <v/>
      </c>
      <c r="H191" s="1" t="s">
        <v>335</v>
      </c>
      <c r="I191" s="1" t="s">
        <v>916</v>
      </c>
      <c r="K191" s="154"/>
      <c r="L191" s="159" t="str">
        <f>_xlfn.LET(
_xlpm.look, _xlfn.XLOOKUP(ITEquipmentTable[[#This Row],[Name]], VNCTable[ClientName], VNCTable[IP], ""),
_xlpm.chkk, IF(ITEquipmentTable[[#This Row],[IPv4 Address]] = "N/A", "N/A", _xlpm.look),
IF(ITEquipmentTable[[#This Row],[Name]] = "", "", _xlpm.chkk))</f>
        <v/>
      </c>
      <c r="M191" s="189" t="s">
        <v>917</v>
      </c>
      <c r="N191" s="159" t="str">
        <f>_xlfn.LET(_xlpm.emp, IF(_xlfn.XLOOKUP(ITEquipmentTable[[#This Row],[Assigned Employee]], EmployeeTable[name], EmployeeTable[Active], TRUE), "Employee", "Recover"),
IF(ITEquipmentTable[[#This Row],[Storage Location]] = "Assigned to Employee", _xlpm.emp, "N/A"))</f>
        <v>N/A</v>
      </c>
      <c r="O191" s="159" t="str" cm="1">
        <f t="array" ref="O19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9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191" s="1" t="s">
        <v>312</v>
      </c>
      <c r="T191" s="194"/>
      <c r="X191" s="1">
        <v>2236</v>
      </c>
      <c r="Y191" s="223" t="s">
        <v>959</v>
      </c>
      <c r="Z191" s="1" t="b">
        <v>0</v>
      </c>
      <c r="AA191"/>
    </row>
    <row r="192" spans="1:27" s="1" customFormat="1" hidden="1" x14ac:dyDescent="0.2">
      <c r="A192" s="155">
        <v>174</v>
      </c>
      <c r="B192" s="1" t="s">
        <v>323</v>
      </c>
      <c r="C192" s="1" t="s">
        <v>562</v>
      </c>
      <c r="D192" s="1" t="s">
        <v>563</v>
      </c>
      <c r="E192" s="1" t="s">
        <v>306</v>
      </c>
      <c r="F192" s="195" t="s">
        <v>564</v>
      </c>
      <c r="G192" s="159" t="str">
        <f>_xlfn.XLOOKUP(ITEquipmentTable[[#This Row],[Name]], IntuneData[Device name], IntuneData[Serial number], "")</f>
        <v/>
      </c>
      <c r="H192" s="1" t="s">
        <v>295</v>
      </c>
      <c r="I192" s="1" t="s">
        <v>565</v>
      </c>
      <c r="K192" s="154"/>
      <c r="L192" s="159" t="str">
        <f>_xlfn.LET(
_xlpm.look, _xlfn.XLOOKUP(ITEquipmentTable[[#This Row],[Name]], VNCTable[ClientName], VNCTable[IP], ""),
_xlpm.chkk, IF(ITEquipmentTable[[#This Row],[IPv4 Address]] = "N/A", "N/A", _xlpm.look),
IF(ITEquipmentTable[[#This Row],[Name]] = "", "", _xlpm.chkk))</f>
        <v/>
      </c>
      <c r="M192" s="1" t="s">
        <v>566</v>
      </c>
      <c r="N192" s="159" t="str">
        <f>_xlfn.LET(_xlpm.emp, IF(_xlfn.XLOOKUP(ITEquipmentTable[[#This Row],[Assigned Employee]], EmployeeTable[name], EmployeeTable[Active], TRUE), "Employee", "Recover"),
IF(ITEquipmentTable[[#This Row],[Storage Location]] = "Assigned to Employee", _xlpm.emp, "N/A"))</f>
        <v>N/A</v>
      </c>
      <c r="O192" s="159" t="str" cm="1">
        <f t="array" ref="O19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9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192" s="189" t="s">
        <v>312</v>
      </c>
      <c r="S192" s="189"/>
      <c r="T192" s="194"/>
      <c r="X192" s="1">
        <v>2341</v>
      </c>
      <c r="Y192" s="223" t="s">
        <v>961</v>
      </c>
      <c r="Z192" s="1" t="b">
        <v>0</v>
      </c>
      <c r="AA192"/>
    </row>
    <row r="193" spans="1:27" s="1" customFormat="1" hidden="1" x14ac:dyDescent="0.2">
      <c r="A193" s="155">
        <v>863</v>
      </c>
      <c r="B193" s="1" t="s">
        <v>340</v>
      </c>
      <c r="C193" s="1" t="s">
        <v>403</v>
      </c>
      <c r="D193" s="1" t="s">
        <v>603</v>
      </c>
      <c r="E193" s="1" t="s">
        <v>306</v>
      </c>
      <c r="F193" s="195" t="s">
        <v>604</v>
      </c>
      <c r="G193" s="164" t="str">
        <f>_xlfn.XLOOKUP(ITEquipmentTable[[#This Row],[Name]], IntuneData[Device name], IntuneData[Serial number], "")</f>
        <v/>
      </c>
      <c r="H193" s="1" t="s">
        <v>295</v>
      </c>
      <c r="I193" s="1" t="s">
        <v>605</v>
      </c>
      <c r="K193" s="154" t="s">
        <v>606</v>
      </c>
      <c r="L193" s="164" t="str">
        <f>_xlfn.LET(
_xlpm.look, _xlfn.XLOOKUP(ITEquipmentTable[[#This Row],[Name]], VNCTable[ClientName], VNCTable[IP], ""),
_xlpm.chkk, IF(ITEquipmentTable[[#This Row],[IPv4 Address]] = "N/A", "N/A", _xlpm.look),
IF(ITEquipmentTable[[#This Row],[Name]] = "", "", _xlpm.chkk))</f>
        <v/>
      </c>
      <c r="M193" s="1" t="s">
        <v>607</v>
      </c>
      <c r="N193" s="159" t="str">
        <f>_xlfn.LET(_xlpm.emp, IF(_xlfn.XLOOKUP(ITEquipmentTable[[#This Row],[Assigned Employee]], EmployeeTable[name], EmployeeTable[Active], TRUE), "Employee", "Recover"),
IF(ITEquipmentTable[[#This Row],[Storage Location]] = "Assigned to Employee", _xlpm.emp, "N/A"))</f>
        <v>N/A</v>
      </c>
      <c r="O193" s="161" t="str" cm="1">
        <f t="array" ref="O19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19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193" s="1" t="s">
        <v>312</v>
      </c>
      <c r="T193" s="194"/>
      <c r="X193" s="1">
        <v>2349</v>
      </c>
      <c r="Y193" s="223" t="s">
        <v>964</v>
      </c>
      <c r="Z193" s="1" t="b">
        <v>0</v>
      </c>
      <c r="AA193"/>
    </row>
    <row r="194" spans="1:27" s="1" customFormat="1" x14ac:dyDescent="0.2">
      <c r="A194" s="155">
        <v>175</v>
      </c>
      <c r="B194" s="1" t="s">
        <v>304</v>
      </c>
      <c r="C194" s="1" t="s">
        <v>403</v>
      </c>
      <c r="D194" s="1" t="s">
        <v>914</v>
      </c>
      <c r="E194" s="1" t="s">
        <v>306</v>
      </c>
      <c r="F194" s="195" t="s">
        <v>921</v>
      </c>
      <c r="G194" s="159" t="str">
        <f>_xlfn.XLOOKUP(ITEquipmentTable[[#This Row],[Name]], IntuneData[Device name], IntuneData[Serial number], "")</f>
        <v>MXL9304845</v>
      </c>
      <c r="H194" s="1" t="s">
        <v>295</v>
      </c>
      <c r="I194" s="1" t="s">
        <v>565</v>
      </c>
      <c r="K194" s="154"/>
      <c r="L194" s="159" t="str">
        <f>_xlfn.LET(
_xlpm.look, _xlfn.XLOOKUP(ITEquipmentTable[[#This Row],[Name]], VNCTable[ClientName], VNCTable[IP], ""),
_xlpm.chkk, IF(ITEquipmentTable[[#This Row],[IPv4 Address]] = "N/A", "N/A", _xlpm.look),
IF(ITEquipmentTable[[#This Row],[Name]] = "", "", _xlpm.chkk))</f>
        <v>DHCP</v>
      </c>
      <c r="M194" s="1" t="s">
        <v>922</v>
      </c>
      <c r="N194" s="159" t="str">
        <f>_xlfn.LET(_xlpm.emp, IF(_xlfn.XLOOKUP(ITEquipmentTable[[#This Row],[Assigned Employee]], EmployeeTable[name], EmployeeTable[Active], TRUE), "Employee", "Recover"),
IF(ITEquipmentTable[[#This Row],[Storage Location]] = "Assigned to Employee", _xlpm.emp, "N/A"))</f>
        <v>N/A</v>
      </c>
      <c r="O194" s="159" t="str" cm="1">
        <f t="array" ref="O19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9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194" s="189" t="s">
        <v>312</v>
      </c>
      <c r="S194" s="189"/>
      <c r="T194" s="194"/>
      <c r="X194" s="1">
        <v>2350</v>
      </c>
      <c r="Y194" s="223" t="s">
        <v>966</v>
      </c>
      <c r="Z194" s="1" t="b">
        <v>0</v>
      </c>
      <c r="AA194"/>
    </row>
    <row r="195" spans="1:27" s="1" customFormat="1" hidden="1" x14ac:dyDescent="0.2">
      <c r="A195" s="155">
        <v>90</v>
      </c>
      <c r="B195" s="1" t="s">
        <v>304</v>
      </c>
      <c r="C195" s="1" t="s">
        <v>308</v>
      </c>
      <c r="D195" s="1" t="s">
        <v>309</v>
      </c>
      <c r="E195" s="1" t="s">
        <v>310</v>
      </c>
      <c r="F195" s="195" t="s">
        <v>776</v>
      </c>
      <c r="G195" s="159" t="str">
        <f>_xlfn.XLOOKUP(ITEquipmentTable[[#This Row],[Name]], IntuneData[Device name], IntuneData[Serial number], "")</f>
        <v/>
      </c>
      <c r="H195" s="168"/>
      <c r="I195" s="168"/>
      <c r="J195" s="168"/>
      <c r="K195" s="223" t="s">
        <v>226</v>
      </c>
      <c r="L195" s="159" t="str">
        <f>_xlfn.LET(
_xlpm.look, _xlfn.XLOOKUP(ITEquipmentTable[[#This Row],[Name]], VNCTable[ClientName], VNCTable[IP], ""),
_xlpm.chkk, IF(ITEquipmentTable[[#This Row],[IPv4 Address]] = "N/A", "N/A", _xlpm.look),
IF(ITEquipmentTable[[#This Row],[Name]] = "", "", _xlpm.chkk))</f>
        <v>N/A</v>
      </c>
      <c r="M195" s="168" t="s">
        <v>777</v>
      </c>
      <c r="N195" s="161" t="str">
        <f>_xlfn.LET(_xlpm.emp, IF(_xlfn.XLOOKUP(ITEquipmentTable[[#This Row],[Assigned Employee]], EmployeeTable[name], EmployeeTable[Active], TRUE), "Employee", "Recover"),
IF(ITEquipmentTable[[#This Row],[Storage Location]] = "Assigned to Employee", _xlpm.emp, "N/A"))</f>
        <v>N/A</v>
      </c>
      <c r="O195" s="161" t="str" cm="1">
        <f t="array" ref="O19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9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95" s="1" t="s">
        <v>405</v>
      </c>
      <c r="T195" s="194"/>
      <c r="X195" s="1">
        <v>2387</v>
      </c>
      <c r="Y195" s="223" t="s">
        <v>971</v>
      </c>
      <c r="Z195" s="1" t="b">
        <v>0</v>
      </c>
      <c r="AA195"/>
    </row>
    <row r="196" spans="1:27" s="1" customFormat="1" hidden="1" x14ac:dyDescent="0.2">
      <c r="A196" s="155">
        <v>176</v>
      </c>
      <c r="B196" s="1" t="s">
        <v>294</v>
      </c>
      <c r="C196" s="1" t="s">
        <v>403</v>
      </c>
      <c r="D196" s="1" t="s">
        <v>1179</v>
      </c>
      <c r="E196" s="1" t="s">
        <v>306</v>
      </c>
      <c r="F196" s="195" t="s">
        <v>1574</v>
      </c>
      <c r="G196" s="159" t="str">
        <f>_xlfn.XLOOKUP(ITEquipmentTable[[#This Row],[Name]], IntuneData[Device name], IntuneData[Serial number], "")</f>
        <v/>
      </c>
      <c r="H196" s="168"/>
      <c r="I196" s="168"/>
      <c r="J196" s="168"/>
      <c r="K196" s="154" t="s">
        <v>508</v>
      </c>
      <c r="L196" s="159" t="str">
        <f>_xlfn.LET(
_xlpm.look, _xlfn.XLOOKUP(ITEquipmentTable[[#This Row],[Name]], VNCTable[ClientName], VNCTable[IP], ""),
_xlpm.chkk, IF(ITEquipmentTable[[#This Row],[IPv4 Address]] = "N/A", "N/A", _xlpm.look),
IF(ITEquipmentTable[[#This Row],[Name]] = "", "", _xlpm.chkk))</f>
        <v/>
      </c>
      <c r="M196" s="168" t="s">
        <v>1575</v>
      </c>
      <c r="N196" s="161" t="str">
        <f>_xlfn.LET(_xlpm.emp, IF(_xlfn.XLOOKUP(ITEquipmentTable[[#This Row],[Assigned Employee]], EmployeeTable[name], EmployeeTable[Active], TRUE), "Employee", "Recover"),
IF(ITEquipmentTable[[#This Row],[Storage Location]] = "Assigned to Employee", _xlpm.emp, "N/A"))</f>
        <v>N/A</v>
      </c>
      <c r="O196" s="161" t="str" cm="1">
        <f t="array" ref="O19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9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96" s="1" t="s">
        <v>405</v>
      </c>
      <c r="T196" s="194"/>
      <c r="X196" s="1">
        <v>2393</v>
      </c>
      <c r="Y196" s="223" t="s">
        <v>974</v>
      </c>
      <c r="Z196" s="1" t="b">
        <v>0</v>
      </c>
      <c r="AA196"/>
    </row>
    <row r="197" spans="1:27" s="1" customFormat="1" hidden="1" x14ac:dyDescent="0.2">
      <c r="A197" s="155">
        <v>522</v>
      </c>
      <c r="B197" s="1" t="s">
        <v>294</v>
      </c>
      <c r="C197" s="1" t="s">
        <v>403</v>
      </c>
      <c r="E197" s="1" t="s">
        <v>306</v>
      </c>
      <c r="F197" s="195"/>
      <c r="G197" s="164" t="str">
        <f>_xlfn.XLOOKUP(ITEquipmentTable[[#This Row],[Name]], IntuneData[Device name], IntuneData[Serial number], "")</f>
        <v/>
      </c>
      <c r="K197" s="154" t="s">
        <v>508</v>
      </c>
      <c r="L197" s="164" t="str">
        <f>_xlfn.LET(
_xlpm.look, _xlfn.XLOOKUP(ITEquipmentTable[[#This Row],[Name]], VNCTable[ClientName], VNCTable[IP], ""),
_xlpm.chkk, IF(ITEquipmentTable[[#This Row],[IPv4 Address]] = "N/A", "N/A", _xlpm.look),
IF(ITEquipmentTable[[#This Row],[Name]] = "", "", _xlpm.chkk))</f>
        <v/>
      </c>
      <c r="M197" s="1" t="s">
        <v>1577</v>
      </c>
      <c r="N197" s="159" t="str">
        <f>_xlfn.LET(_xlpm.emp, IF(_xlfn.XLOOKUP(ITEquipmentTable[[#This Row],[Assigned Employee]], EmployeeTable[name], EmployeeTable[Active], TRUE), "Employee", "Recover"),
IF(ITEquipmentTable[[#This Row],[Storage Location]] = "Assigned to Employee", _xlpm.emp, "N/A"))</f>
        <v>N/A</v>
      </c>
      <c r="O197" s="159" t="str" cm="1">
        <f t="array" ref="O19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19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97" s="1" t="s">
        <v>298</v>
      </c>
      <c r="T197" s="194"/>
      <c r="X197" s="1">
        <v>2394</v>
      </c>
      <c r="Y197" s="223" t="s">
        <v>978</v>
      </c>
      <c r="Z197" s="1" t="b">
        <v>0</v>
      </c>
      <c r="AA197"/>
    </row>
    <row r="198" spans="1:27" s="1" customFormat="1" hidden="1" x14ac:dyDescent="0.2">
      <c r="A198" s="155">
        <v>177</v>
      </c>
      <c r="B198" s="1" t="s">
        <v>294</v>
      </c>
      <c r="C198" s="1" t="s">
        <v>403</v>
      </c>
      <c r="D198" s="1" t="s">
        <v>1179</v>
      </c>
      <c r="E198" s="1" t="s">
        <v>306</v>
      </c>
      <c r="F198" s="195" t="s">
        <v>1579</v>
      </c>
      <c r="G198" s="159" t="str">
        <f>_xlfn.XLOOKUP(ITEquipmentTable[[#This Row],[Name]], IntuneData[Device name], IntuneData[Serial number], "")</f>
        <v/>
      </c>
      <c r="H198" s="168"/>
      <c r="I198" s="168"/>
      <c r="J198" s="168"/>
      <c r="K198" s="154" t="s">
        <v>508</v>
      </c>
      <c r="L198" s="159" t="str">
        <f>_xlfn.LET(
_xlpm.look, _xlfn.XLOOKUP(ITEquipmentTable[[#This Row],[Name]], VNCTable[ClientName], VNCTable[IP], ""),
_xlpm.chkk, IF(ITEquipmentTable[[#This Row],[IPv4 Address]] = "N/A", "N/A", _xlpm.look),
IF(ITEquipmentTable[[#This Row],[Name]] = "", "", _xlpm.chkk))</f>
        <v/>
      </c>
      <c r="M198" s="168" t="s">
        <v>1580</v>
      </c>
      <c r="N198" s="161" t="str">
        <f>_xlfn.LET(_xlpm.emp, IF(_xlfn.XLOOKUP(ITEquipmentTable[[#This Row],[Assigned Employee]], EmployeeTable[name], EmployeeTable[Active], TRUE), "Employee", "Recover"),
IF(ITEquipmentTable[[#This Row],[Storage Location]] = "Assigned to Employee", _xlpm.emp, "N/A"))</f>
        <v>N/A</v>
      </c>
      <c r="O198" s="161" t="str" cm="1">
        <f t="array" ref="O19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9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198" s="1" t="s">
        <v>405</v>
      </c>
      <c r="T198" s="194"/>
      <c r="X198" s="1">
        <v>3001</v>
      </c>
      <c r="Y198" s="223" t="s">
        <v>980</v>
      </c>
      <c r="Z198" s="1" t="b">
        <v>0</v>
      </c>
      <c r="AA198"/>
    </row>
    <row r="199" spans="1:27" s="1" customFormat="1" x14ac:dyDescent="0.2">
      <c r="A199" s="155">
        <v>178</v>
      </c>
      <c r="B199" s="1" t="s">
        <v>304</v>
      </c>
      <c r="C199" s="1" t="s">
        <v>403</v>
      </c>
      <c r="D199" s="1" t="s">
        <v>914</v>
      </c>
      <c r="E199" s="1" t="s">
        <v>306</v>
      </c>
      <c r="F199" s="195" t="s">
        <v>926</v>
      </c>
      <c r="G199" s="159" t="str">
        <f>_xlfn.XLOOKUP(ITEquipmentTable[[#This Row],[Name]], IntuneData[Device name], IntuneData[Serial number], "")</f>
        <v/>
      </c>
      <c r="H199" s="168"/>
      <c r="I199" s="168"/>
      <c r="J199" s="168"/>
      <c r="K199" s="223"/>
      <c r="L199" s="159" t="str">
        <f>_xlfn.LET(
_xlpm.look, _xlfn.XLOOKUP(ITEquipmentTable[[#This Row],[Name]], VNCTable[ClientName], VNCTable[IP], ""),
_xlpm.chkk, IF(ITEquipmentTable[[#This Row],[IPv4 Address]] = "N/A", "N/A", _xlpm.look),
IF(ITEquipmentTable[[#This Row],[Name]] = "", "", _xlpm.chkk))</f>
        <v/>
      </c>
      <c r="M199" s="168" t="s">
        <v>927</v>
      </c>
      <c r="N199" s="161" t="str">
        <f>_xlfn.LET(_xlpm.emp, IF(_xlfn.XLOOKUP(ITEquipmentTable[[#This Row],[Assigned Employee]], EmployeeTable[name], EmployeeTable[Active], TRUE), "Employee", "Recover"),
IF(ITEquipmentTable[[#This Row],[Storage Location]] = "Assigned to Employee", _xlpm.emp, "N/A"))</f>
        <v>N/A</v>
      </c>
      <c r="O199" s="161" t="str" cm="1">
        <f t="array" ref="O19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19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X199" s="1">
        <v>3002</v>
      </c>
      <c r="Y199" s="223" t="s">
        <v>985</v>
      </c>
      <c r="Z199" s="1" t="b">
        <v>0</v>
      </c>
      <c r="AA199"/>
    </row>
    <row r="200" spans="1:27" s="1" customFormat="1" hidden="1" x14ac:dyDescent="0.2">
      <c r="A200" s="155">
        <v>909</v>
      </c>
      <c r="B200" s="189" t="s">
        <v>304</v>
      </c>
      <c r="C200" s="189" t="s">
        <v>308</v>
      </c>
      <c r="D200" s="1" t="s">
        <v>309</v>
      </c>
      <c r="E200" s="189" t="s">
        <v>310</v>
      </c>
      <c r="F200" s="201" t="s">
        <v>2131</v>
      </c>
      <c r="G200" s="159" t="str">
        <f>_xlfn.XLOOKUP(ITEquipmentTable[[#This Row],[Name]], IntuneData[Device name], IntuneData[Serial number], "")</f>
        <v/>
      </c>
      <c r="H200" s="189" t="s">
        <v>318</v>
      </c>
      <c r="I200" s="189"/>
      <c r="J200" s="189"/>
      <c r="K200" s="154" t="s">
        <v>226</v>
      </c>
      <c r="L200" s="159" t="str">
        <f>_xlfn.LET(
_xlpm.look, _xlfn.XLOOKUP(ITEquipmentTable[[#This Row],[Name]], VNCTable[ClientName], VNCTable[IP], ""),
_xlpm.chkk, IF(ITEquipmentTable[[#This Row],[IPv4 Address]] = "N/A", "N/A", _xlpm.look),
IF(ITEquipmentTable[[#This Row],[Name]] = "", "", _xlpm.chkk))</f>
        <v>N/A</v>
      </c>
      <c r="M200" s="189" t="s">
        <v>2132</v>
      </c>
      <c r="N200" s="161" t="str">
        <f>_xlfn.LET(_xlpm.emp, IF(_xlfn.XLOOKUP(ITEquipmentTable[[#This Row],[Assigned Employee]], EmployeeTable[name], EmployeeTable[Active], TRUE), "Employee", "Recover"),
IF(ITEquipmentTable[[#This Row],[Storage Location]] = "Assigned to Employee", _xlpm.emp, "N/A"))</f>
        <v>N/A</v>
      </c>
      <c r="O200" s="161" t="str" cm="1">
        <f t="array" ref="O20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0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200" s="189" t="s">
        <v>441</v>
      </c>
      <c r="R200" s="189" t="s">
        <v>351</v>
      </c>
      <c r="S200" s="189"/>
      <c r="X200" s="1">
        <v>3003</v>
      </c>
      <c r="Y200" s="223" t="s">
        <v>987</v>
      </c>
      <c r="Z200" s="1" t="b">
        <v>0</v>
      </c>
      <c r="AA200"/>
    </row>
    <row r="201" spans="1:27" s="1" customFormat="1" hidden="1" x14ac:dyDescent="0.2">
      <c r="A201" s="155">
        <v>906</v>
      </c>
      <c r="B201" s="189" t="s">
        <v>304</v>
      </c>
      <c r="C201" s="189" t="s">
        <v>308</v>
      </c>
      <c r="D201" s="1" t="s">
        <v>309</v>
      </c>
      <c r="E201" s="189" t="s">
        <v>310</v>
      </c>
      <c r="F201" s="201" t="s">
        <v>855</v>
      </c>
      <c r="G201" s="159" t="str">
        <f>_xlfn.XLOOKUP(ITEquipmentTable[[#This Row],[Name]], IntuneData[Device name], IntuneData[Serial number], "")</f>
        <v/>
      </c>
      <c r="H201" s="189" t="s">
        <v>295</v>
      </c>
      <c r="I201" s="189" t="s">
        <v>856</v>
      </c>
      <c r="J201" s="189"/>
      <c r="K201" s="154" t="s">
        <v>226</v>
      </c>
      <c r="L201" s="159" t="str">
        <f>_xlfn.LET(
_xlpm.look, _xlfn.XLOOKUP(ITEquipmentTable[[#This Row],[Name]], VNCTable[ClientName], VNCTable[IP], ""),
_xlpm.chkk, IF(ITEquipmentTable[[#This Row],[IPv4 Address]] = "N/A", "N/A", _xlpm.look),
IF(ITEquipmentTable[[#This Row],[Name]] = "", "", _xlpm.chkk))</f>
        <v>N/A</v>
      </c>
      <c r="M201" s="189" t="s">
        <v>857</v>
      </c>
      <c r="N201" s="159" t="str">
        <f>_xlfn.LET(_xlpm.emp, IF(_xlfn.XLOOKUP(ITEquipmentTable[[#This Row],[Assigned Employee]], EmployeeTable[name], EmployeeTable[Active], TRUE), "Employee", "Recover"),
IF(ITEquipmentTable[[#This Row],[Storage Location]] = "Assigned to Employee", _xlpm.emp, "N/A"))</f>
        <v>N/A</v>
      </c>
      <c r="O201" s="159" t="str" cm="1">
        <f t="array" ref="O20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0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201" s="189" t="s">
        <v>441</v>
      </c>
      <c r="R201" s="189" t="s">
        <v>351</v>
      </c>
      <c r="S201" s="189"/>
      <c r="T201" s="194"/>
      <c r="X201" s="1">
        <v>3004</v>
      </c>
      <c r="Y201" s="223" t="s">
        <v>990</v>
      </c>
      <c r="Z201" s="1" t="b">
        <v>0</v>
      </c>
      <c r="AA201"/>
    </row>
    <row r="202" spans="1:27" s="1" customFormat="1" hidden="1" x14ac:dyDescent="0.2">
      <c r="A202" s="155">
        <v>544</v>
      </c>
      <c r="B202" s="1" t="s">
        <v>294</v>
      </c>
      <c r="C202" s="1" t="s">
        <v>403</v>
      </c>
      <c r="E202" s="1" t="s">
        <v>306</v>
      </c>
      <c r="F202" s="195" t="s">
        <v>3042</v>
      </c>
      <c r="G202" s="164" t="str">
        <f>_xlfn.XLOOKUP(ITEquipmentTable[[#This Row],[Name]], IntuneData[Device name], IntuneData[Serial number], "")</f>
        <v>5CG01574W7</v>
      </c>
      <c r="H202" s="1" t="s">
        <v>384</v>
      </c>
      <c r="J202" s="1" t="s">
        <v>1585</v>
      </c>
      <c r="K202" s="154" t="s">
        <v>508</v>
      </c>
      <c r="L202" s="164" t="str">
        <f>_xlfn.LET(
_xlpm.look, _xlfn.XLOOKUP(ITEquipmentTable[[#This Row],[Name]], VNCTable[ClientName], VNCTable[IP], ""),
_xlpm.chkk, IF(ITEquipmentTable[[#This Row],[IPv4 Address]] = "N/A", "N/A", _xlpm.look),
IF(ITEquipmentTable[[#This Row],[Name]] = "", "", _xlpm.chkk))</f>
        <v/>
      </c>
      <c r="M202" s="1" t="s">
        <v>1586</v>
      </c>
      <c r="N202" s="159" t="str">
        <f>_xlfn.LET(_xlpm.emp, IF(_xlfn.XLOOKUP(ITEquipmentTable[[#This Row],[Assigned Employee]], EmployeeTable[name], EmployeeTable[Active], TRUE), "Employee", "Recover"),
IF(ITEquipmentTable[[#This Row],[Storage Location]] = "Assigned to Employee", _xlpm.emp, "N/A"))</f>
        <v>Employee</v>
      </c>
      <c r="O202" s="159" t="str" cm="1">
        <f t="array" ref="O20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0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02" s="1" t="s">
        <v>298</v>
      </c>
      <c r="T202" s="194"/>
      <c r="X202" s="1">
        <v>3033</v>
      </c>
      <c r="Y202" s="223" t="s">
        <v>994</v>
      </c>
      <c r="Z202" s="1" t="b">
        <v>0</v>
      </c>
      <c r="AA202"/>
    </row>
    <row r="203" spans="1:27" s="1" customFormat="1" hidden="1" x14ac:dyDescent="0.2">
      <c r="A203" s="217">
        <v>181</v>
      </c>
      <c r="B203" s="189" t="s">
        <v>294</v>
      </c>
      <c r="C203" s="189" t="s">
        <v>403</v>
      </c>
      <c r="E203" s="189" t="s">
        <v>306</v>
      </c>
      <c r="F203" s="195" t="s">
        <v>3046</v>
      </c>
      <c r="G203" s="159" t="str">
        <f>_xlfn.XLOOKUP(ITEquipmentTable[[#This Row],[Name]], IntuneData[Device name], IntuneData[Serial number], "")</f>
        <v>5CD047RBPL</v>
      </c>
      <c r="H203" s="1" t="s">
        <v>384</v>
      </c>
      <c r="I203" s="189"/>
      <c r="J203" s="189" t="s">
        <v>452</v>
      </c>
      <c r="K203" s="154" t="s">
        <v>508</v>
      </c>
      <c r="L203" s="159" t="str">
        <f>_xlfn.LET(
_xlpm.look, _xlfn.XLOOKUP(ITEquipmentTable[[#This Row],[Name]], VNCTable[ClientName], VNCTable[IP], ""),
_xlpm.chkk, IF(ITEquipmentTable[[#This Row],[IPv4 Address]] = "N/A", "N/A", _xlpm.look),
IF(ITEquipmentTable[[#This Row],[Name]] = "", "", _xlpm.chkk))</f>
        <v/>
      </c>
      <c r="M203" s="189" t="s">
        <v>1587</v>
      </c>
      <c r="N203" s="159" t="str">
        <f>_xlfn.LET(_xlpm.emp, IF(_xlfn.XLOOKUP(ITEquipmentTable[[#This Row],[Assigned Employee]], EmployeeTable[name], EmployeeTable[Active], TRUE), "Employee", "Recover"),
IF(ITEquipmentTable[[#This Row],[Storage Location]] = "Assigned to Employee", _xlpm.emp, "N/A"))</f>
        <v>Employee</v>
      </c>
      <c r="O203" s="159" t="str" cm="1">
        <f t="array" ref="O20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0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03" s="193"/>
      <c r="R203" s="189" t="s">
        <v>312</v>
      </c>
      <c r="S203" s="189" t="s">
        <v>313</v>
      </c>
      <c r="T203" s="194"/>
      <c r="X203" s="1">
        <v>3034</v>
      </c>
      <c r="Y203" s="223" t="s">
        <v>997</v>
      </c>
      <c r="Z203" s="1" t="b">
        <v>0</v>
      </c>
      <c r="AA203"/>
    </row>
    <row r="204" spans="1:27" s="1" customFormat="1" hidden="1" x14ac:dyDescent="0.2">
      <c r="A204" s="155">
        <v>545</v>
      </c>
      <c r="B204" s="1" t="s">
        <v>294</v>
      </c>
      <c r="C204" s="1" t="s">
        <v>403</v>
      </c>
      <c r="E204" s="1" t="s">
        <v>306</v>
      </c>
      <c r="F204" s="195"/>
      <c r="G204" s="164" t="str">
        <f>_xlfn.XLOOKUP(ITEquipmentTable[[#This Row],[Name]], IntuneData[Device name], IntuneData[Serial number], "")</f>
        <v/>
      </c>
      <c r="H204" s="1" t="s">
        <v>384</v>
      </c>
      <c r="J204" s="1" t="s">
        <v>629</v>
      </c>
      <c r="K204" s="154" t="s">
        <v>508</v>
      </c>
      <c r="L204" s="164" t="str">
        <f>_xlfn.LET(
_xlpm.look, _xlfn.XLOOKUP(ITEquipmentTable[[#This Row],[Name]], VNCTable[ClientName], VNCTable[IP], ""),
_xlpm.chkk, IF(ITEquipmentTable[[#This Row],[IPv4 Address]] = "N/A", "N/A", _xlpm.look),
IF(ITEquipmentTable[[#This Row],[Name]] = "", "", _xlpm.chkk))</f>
        <v/>
      </c>
      <c r="M204" s="1" t="s">
        <v>1588</v>
      </c>
      <c r="N204" s="159" t="str">
        <f>_xlfn.LET(_xlpm.emp, IF(_xlfn.XLOOKUP(ITEquipmentTable[[#This Row],[Assigned Employee]], EmployeeTable[name], EmployeeTable[Active], TRUE), "Employee", "Recover"),
IF(ITEquipmentTable[[#This Row],[Storage Location]] = "Assigned to Employee", _xlpm.emp, "N/A"))</f>
        <v>Employee</v>
      </c>
      <c r="O204" s="159" t="str" cm="1">
        <f t="array" ref="O20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0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204" s="1" t="s">
        <v>312</v>
      </c>
      <c r="S204" s="1" t="s">
        <v>298</v>
      </c>
      <c r="T204" s="194"/>
      <c r="X204" s="1">
        <v>3333</v>
      </c>
      <c r="Y204" s="223" t="s">
        <v>1000</v>
      </c>
      <c r="Z204" s="1" t="b">
        <v>0</v>
      </c>
      <c r="AA204"/>
    </row>
    <row r="205" spans="1:27" s="1" customFormat="1" hidden="1" x14ac:dyDescent="0.2">
      <c r="A205" s="155">
        <v>546</v>
      </c>
      <c r="B205" s="1" t="s">
        <v>294</v>
      </c>
      <c r="C205" s="1" t="s">
        <v>403</v>
      </c>
      <c r="E205" s="1" t="s">
        <v>306</v>
      </c>
      <c r="F205" s="195" t="s">
        <v>3050</v>
      </c>
      <c r="G205" s="164" t="str">
        <f>_xlfn.XLOOKUP(ITEquipmentTable[[#This Row],[Name]], IntuneData[Device name], IntuneData[Serial number], "")</f>
        <v>5CD116V8GZ</v>
      </c>
      <c r="H205" s="1" t="s">
        <v>384</v>
      </c>
      <c r="J205" s="1" t="s">
        <v>586</v>
      </c>
      <c r="K205" s="154" t="s">
        <v>508</v>
      </c>
      <c r="L205" s="164" t="str">
        <f>_xlfn.LET(
_xlpm.look, _xlfn.XLOOKUP(ITEquipmentTable[[#This Row],[Name]], VNCTable[ClientName], VNCTable[IP], ""),
_xlpm.chkk, IF(ITEquipmentTable[[#This Row],[IPv4 Address]] = "N/A", "N/A", _xlpm.look),
IF(ITEquipmentTable[[#This Row],[Name]] = "", "", _xlpm.chkk))</f>
        <v/>
      </c>
      <c r="M205" s="1" t="s">
        <v>1589</v>
      </c>
      <c r="N205" s="159" t="str">
        <f>_xlfn.LET(_xlpm.emp, IF(_xlfn.XLOOKUP(ITEquipmentTable[[#This Row],[Assigned Employee]], EmployeeTable[name], EmployeeTable[Active], TRUE), "Employee", "Recover"),
IF(ITEquipmentTable[[#This Row],[Storage Location]] = "Assigned to Employee", _xlpm.emp, "N/A"))</f>
        <v>Employee</v>
      </c>
      <c r="O205" s="159" t="str" cm="1">
        <f t="array" ref="O20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20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205" s="1" t="s">
        <v>312</v>
      </c>
      <c r="X205" s="1">
        <v>4000</v>
      </c>
      <c r="Y205" s="223" t="s">
        <v>1004</v>
      </c>
      <c r="Z205" s="1" t="b">
        <v>0</v>
      </c>
      <c r="AA205"/>
    </row>
    <row r="206" spans="1:27" s="1" customFormat="1" hidden="1" x14ac:dyDescent="0.2">
      <c r="A206" s="155">
        <v>182</v>
      </c>
      <c r="B206" s="189" t="s">
        <v>294</v>
      </c>
      <c r="C206" s="189" t="s">
        <v>403</v>
      </c>
      <c r="E206" s="189" t="s">
        <v>306</v>
      </c>
      <c r="F206" s="195"/>
      <c r="G206" s="159" t="str">
        <f>_xlfn.XLOOKUP(ITEquipmentTable[[#This Row],[Name]], IntuneData[Device name], IntuneData[Serial number], "")</f>
        <v/>
      </c>
      <c r="H206" s="1" t="s">
        <v>384</v>
      </c>
      <c r="I206" s="189"/>
      <c r="J206" s="189"/>
      <c r="K206" s="154" t="s">
        <v>508</v>
      </c>
      <c r="L206" s="159" t="str">
        <f>_xlfn.LET(
_xlpm.look, _xlfn.XLOOKUP(ITEquipmentTable[[#This Row],[Name]], VNCTable[ClientName], VNCTable[IP], ""),
_xlpm.chkk, IF(ITEquipmentTable[[#This Row],[IPv4 Address]] = "N/A", "N/A", _xlpm.look),
IF(ITEquipmentTable[[#This Row],[Name]] = "", "", _xlpm.chkk))</f>
        <v/>
      </c>
      <c r="M206" s="189" t="s">
        <v>1591</v>
      </c>
      <c r="N206" s="159" t="str">
        <f>_xlfn.LET(_xlpm.emp, IF(_xlfn.XLOOKUP(ITEquipmentTable[[#This Row],[Assigned Employee]], EmployeeTable[name], EmployeeTable[Active], TRUE), "Employee", "Recover"),
IF(ITEquipmentTable[[#This Row],[Storage Location]] = "Assigned to Employee", _xlpm.emp, "N/A"))</f>
        <v>Employee</v>
      </c>
      <c r="O206" s="159" t="str" cm="1">
        <f t="array" ref="O20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WinSer 2019 / LTSC</v>
      </c>
      <c r="P20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06" s="193"/>
      <c r="R206" s="189" t="s">
        <v>312</v>
      </c>
      <c r="S206" s="189" t="s">
        <v>298</v>
      </c>
      <c r="T206" s="194"/>
      <c r="X206" s="1">
        <v>5001</v>
      </c>
      <c r="Y206" s="223" t="s">
        <v>1008</v>
      </c>
      <c r="Z206" s="1" t="b">
        <v>0</v>
      </c>
      <c r="AA206"/>
    </row>
    <row r="207" spans="1:27" s="1" customFormat="1" hidden="1" x14ac:dyDescent="0.2">
      <c r="A207" s="155">
        <v>519</v>
      </c>
      <c r="B207" s="1" t="s">
        <v>294</v>
      </c>
      <c r="C207" s="189" t="s">
        <v>403</v>
      </c>
      <c r="E207" s="189" t="s">
        <v>306</v>
      </c>
      <c r="F207" s="195"/>
      <c r="G207" s="164" t="str">
        <f>_xlfn.XLOOKUP(ITEquipmentTable[[#This Row],[Name]], IntuneData[Device name], IntuneData[Serial number], "")</f>
        <v/>
      </c>
      <c r="K207" s="154" t="s">
        <v>508</v>
      </c>
      <c r="L207" s="164" t="str">
        <f>_xlfn.LET(
_xlpm.look, _xlfn.XLOOKUP(ITEquipmentTable[[#This Row],[Name]], VNCTable[ClientName], VNCTable[IP], ""),
_xlpm.chkk, IF(ITEquipmentTable[[#This Row],[IPv4 Address]] = "N/A", "N/A", _xlpm.look),
IF(ITEquipmentTable[[#This Row],[Name]] = "", "", _xlpm.chkk))</f>
        <v/>
      </c>
      <c r="M207" s="189" t="s">
        <v>1592</v>
      </c>
      <c r="N207" s="159" t="str">
        <f>_xlfn.LET(_xlpm.emp, IF(_xlfn.XLOOKUP(ITEquipmentTable[[#This Row],[Assigned Employee]], EmployeeTable[name], EmployeeTable[Active], TRUE), "Employee", "Recover"),
IF(ITEquipmentTable[[#This Row],[Storage Location]] = "Assigned to Employee", _xlpm.emp, "N/A"))</f>
        <v>N/A</v>
      </c>
      <c r="O207" s="159" t="str" cm="1">
        <f t="array" ref="O20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0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07" s="189"/>
      <c r="R207" s="189"/>
      <c r="S207" s="189" t="s">
        <v>298</v>
      </c>
      <c r="T207" s="194"/>
      <c r="X207" s="1">
        <v>5002</v>
      </c>
      <c r="Y207" s="223" t="s">
        <v>1011</v>
      </c>
      <c r="Z207" s="1" t="b">
        <v>0</v>
      </c>
      <c r="AA207"/>
    </row>
    <row r="208" spans="1:27" s="1" customFormat="1" hidden="1" x14ac:dyDescent="0.2">
      <c r="A208" s="155">
        <v>183</v>
      </c>
      <c r="B208" s="1" t="s">
        <v>294</v>
      </c>
      <c r="C208" s="1" t="s">
        <v>403</v>
      </c>
      <c r="D208" s="1" t="s">
        <v>1593</v>
      </c>
      <c r="E208" s="1" t="s">
        <v>306</v>
      </c>
      <c r="F208" s="195" t="s">
        <v>1594</v>
      </c>
      <c r="G208" s="159" t="str">
        <f>_xlfn.XLOOKUP(ITEquipmentTable[[#This Row],[Name]], IntuneData[Device name], IntuneData[Serial number], "")</f>
        <v/>
      </c>
      <c r="H208" s="1" t="s">
        <v>384</v>
      </c>
      <c r="K208" s="154" t="s">
        <v>508</v>
      </c>
      <c r="L208" s="159" t="str">
        <f>_xlfn.LET(
_xlpm.look, _xlfn.XLOOKUP(ITEquipmentTable[[#This Row],[Name]], VNCTable[ClientName], VNCTable[IP], ""),
_xlpm.chkk, IF(ITEquipmentTable[[#This Row],[IPv4 Address]] = "N/A", "N/A", _xlpm.look),
IF(ITEquipmentTable[[#This Row],[Name]] = "", "", _xlpm.chkk))</f>
        <v/>
      </c>
      <c r="M208" s="1" t="s">
        <v>1595</v>
      </c>
      <c r="N208" s="159" t="str">
        <f>_xlfn.LET(_xlpm.emp, IF(_xlfn.XLOOKUP(ITEquipmentTable[[#This Row],[Assigned Employee]], EmployeeTable[name], EmployeeTable[Active], TRUE), "Employee", "Recover"),
IF(ITEquipmentTable[[#This Row],[Storage Location]] = "Assigned to Employee", _xlpm.emp, "N/A"))</f>
        <v>Employee</v>
      </c>
      <c r="O208" s="159" t="str" cm="1">
        <f t="array" ref="O20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20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208" s="189" t="s">
        <v>312</v>
      </c>
      <c r="T208" s="194"/>
      <c r="X208" s="1">
        <v>5003</v>
      </c>
      <c r="Y208" s="223" t="s">
        <v>1015</v>
      </c>
      <c r="Z208" s="1" t="b">
        <v>0</v>
      </c>
      <c r="AA208"/>
    </row>
    <row r="209" spans="1:27" s="1" customFormat="1" hidden="1" x14ac:dyDescent="0.2">
      <c r="A209" s="155">
        <v>38</v>
      </c>
      <c r="B209" s="1" t="s">
        <v>294</v>
      </c>
      <c r="C209" s="1" t="s">
        <v>403</v>
      </c>
      <c r="D209" s="1" t="s">
        <v>1155</v>
      </c>
      <c r="E209" s="1" t="s">
        <v>306</v>
      </c>
      <c r="F209" s="195" t="s">
        <v>1596</v>
      </c>
      <c r="G209" s="159" t="str">
        <f>_xlfn.XLOOKUP(ITEquipmentTable[[#This Row],[Name]], IntuneData[Device name], IntuneData[Serial number], "")</f>
        <v>5CG91525JP</v>
      </c>
      <c r="H209" s="168" t="s">
        <v>384</v>
      </c>
      <c r="I209" s="168"/>
      <c r="J209" s="168" t="s">
        <v>663</v>
      </c>
      <c r="K209" s="154" t="s">
        <v>508</v>
      </c>
      <c r="L209" s="159" t="str">
        <f>_xlfn.LET(
_xlpm.look, _xlfn.XLOOKUP(ITEquipmentTable[[#This Row],[Name]], VNCTable[ClientName], VNCTable[IP], ""),
_xlpm.chkk, IF(ITEquipmentTable[[#This Row],[IPv4 Address]] = "N/A", "N/A", _xlpm.look),
IF(ITEquipmentTable[[#This Row],[Name]] = "", "", _xlpm.chkk))</f>
        <v/>
      </c>
      <c r="M209" s="168" t="s">
        <v>1597</v>
      </c>
      <c r="N209" s="161" t="str">
        <f>_xlfn.LET(_xlpm.emp, IF(_xlfn.XLOOKUP(ITEquipmentTable[[#This Row],[Assigned Employee]], EmployeeTable[name], EmployeeTable[Active], TRUE), "Employee", "Recover"),
IF(ITEquipmentTable[[#This Row],[Storage Location]] = "Assigned to Employee", _xlpm.emp, "N/A"))</f>
        <v>Employee</v>
      </c>
      <c r="O209" s="161" t="str" cm="1">
        <f t="array" ref="O20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0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209" s="168"/>
      <c r="R209" s="168" t="s">
        <v>312</v>
      </c>
      <c r="T209" s="194"/>
      <c r="X209" s="1">
        <v>5005</v>
      </c>
      <c r="Y209" s="223" t="s">
        <v>1018</v>
      </c>
      <c r="Z209" s="1" t="b">
        <v>0</v>
      </c>
      <c r="AA209"/>
    </row>
    <row r="210" spans="1:27" s="1" customFormat="1" hidden="1" x14ac:dyDescent="0.2">
      <c r="A210" s="155">
        <v>543</v>
      </c>
      <c r="B210" s="1" t="s">
        <v>294</v>
      </c>
      <c r="C210" s="1" t="s">
        <v>403</v>
      </c>
      <c r="E210" s="1" t="s">
        <v>306</v>
      </c>
      <c r="F210" s="195" t="s">
        <v>3037</v>
      </c>
      <c r="G210" s="164" t="str">
        <f>_xlfn.XLOOKUP(ITEquipmentTable[[#This Row],[Name]], IntuneData[Device name], IntuneData[Serial number], "")</f>
        <v>5CG9152LZ0</v>
      </c>
      <c r="H210" s="1" t="s">
        <v>295</v>
      </c>
      <c r="I210" s="1" t="s">
        <v>507</v>
      </c>
      <c r="K210" s="154" t="s">
        <v>508</v>
      </c>
      <c r="L210" s="164" t="str">
        <f>_xlfn.LET(
_xlpm.look, _xlfn.XLOOKUP(ITEquipmentTable[[#This Row],[Name]], VNCTable[ClientName], VNCTable[IP], ""),
_xlpm.chkk, IF(ITEquipmentTable[[#This Row],[IPv4 Address]] = "N/A", "N/A", _xlpm.look),
IF(ITEquipmentTable[[#This Row],[Name]] = "", "", _xlpm.chkk))</f>
        <v/>
      </c>
      <c r="M210" s="1" t="s">
        <v>509</v>
      </c>
      <c r="N210" s="159" t="str">
        <f>_xlfn.LET(_xlpm.emp, IF(_xlfn.XLOOKUP(ITEquipmentTable[[#This Row],[Assigned Employee]], EmployeeTable[name], EmployeeTable[Active], TRUE), "Employee", "Recover"),
IF(ITEquipmentTable[[#This Row],[Storage Location]] = "Assigned to Employee", _xlpm.emp, "N/A"))</f>
        <v>N/A</v>
      </c>
      <c r="O210" s="159" t="str" cm="1">
        <f t="array" ref="O21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1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10" s="1" t="s">
        <v>298</v>
      </c>
      <c r="T210" s="194"/>
      <c r="X210" s="1">
        <v>5006</v>
      </c>
      <c r="Y210" s="223" t="s">
        <v>1022</v>
      </c>
      <c r="Z210" s="1" t="b">
        <v>0</v>
      </c>
      <c r="AA210"/>
    </row>
    <row r="211" spans="1:27" s="1" customFormat="1" hidden="1" x14ac:dyDescent="0.2">
      <c r="A211" s="155">
        <v>549</v>
      </c>
      <c r="B211" s="1" t="s">
        <v>294</v>
      </c>
      <c r="C211" s="1" t="s">
        <v>403</v>
      </c>
      <c r="E211" s="1" t="s">
        <v>306</v>
      </c>
      <c r="F211" s="195" t="s">
        <v>3058</v>
      </c>
      <c r="G211" s="164" t="str">
        <f>_xlfn.XLOOKUP(ITEquipmentTable[[#This Row],[Name]], IntuneData[Device name], IntuneData[Serial number], "")</f>
        <v>5CD047RBP4</v>
      </c>
      <c r="H211" s="1" t="s">
        <v>384</v>
      </c>
      <c r="J211" s="1" t="s">
        <v>383</v>
      </c>
      <c r="K211" s="154" t="s">
        <v>508</v>
      </c>
      <c r="L211" s="164" t="str">
        <f>_xlfn.LET(
_xlpm.look, _xlfn.XLOOKUP(ITEquipmentTable[[#This Row],[Name]], VNCTable[ClientName], VNCTable[IP], ""),
_xlpm.chkk, IF(ITEquipmentTable[[#This Row],[IPv4 Address]] = "N/A", "N/A", _xlpm.look),
IF(ITEquipmentTable[[#This Row],[Name]] = "", "", _xlpm.chkk))</f>
        <v/>
      </c>
      <c r="M211" s="1" t="s">
        <v>1598</v>
      </c>
      <c r="N211" s="159" t="str">
        <f>_xlfn.LET(_xlpm.emp, IF(_xlfn.XLOOKUP(ITEquipmentTable[[#This Row],[Assigned Employee]], EmployeeTable[name], EmployeeTable[Active], TRUE), "Employee", "Recover"),
IF(ITEquipmentTable[[#This Row],[Storage Location]] = "Assigned to Employee", _xlpm.emp, "N/A"))</f>
        <v>Employee</v>
      </c>
      <c r="O211" s="159" t="str" cm="1">
        <f t="array" ref="O21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1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211" s="1" t="s">
        <v>312</v>
      </c>
      <c r="S211" s="1" t="s">
        <v>313</v>
      </c>
      <c r="T211" s="194"/>
      <c r="X211" s="1">
        <v>5011</v>
      </c>
      <c r="Y211" s="223" t="s">
        <v>1025</v>
      </c>
      <c r="Z211" s="1" t="b">
        <v>0</v>
      </c>
      <c r="AA211"/>
    </row>
    <row r="212" spans="1:27" s="1" customFormat="1" hidden="1" x14ac:dyDescent="0.2">
      <c r="A212" s="155">
        <v>499</v>
      </c>
      <c r="B212" s="189" t="s">
        <v>294</v>
      </c>
      <c r="C212" s="189" t="s">
        <v>403</v>
      </c>
      <c r="E212" s="189" t="s">
        <v>306</v>
      </c>
      <c r="F212" s="195" t="s">
        <v>3066</v>
      </c>
      <c r="G212" s="164" t="str">
        <f>_xlfn.XLOOKUP(ITEquipmentTable[[#This Row],[Name]], IntuneData[Device name], IntuneData[Serial number], "")</f>
        <v>5CG7151DN8</v>
      </c>
      <c r="H212" s="1" t="s">
        <v>384</v>
      </c>
      <c r="I212" s="189"/>
      <c r="J212" s="189" t="s">
        <v>674</v>
      </c>
      <c r="K212" s="154" t="s">
        <v>508</v>
      </c>
      <c r="L212" s="188" t="str">
        <f>_xlfn.LET(
_xlpm.look, _xlfn.XLOOKUP(ITEquipmentTable[[#This Row],[Name]], VNCTable[ClientName], VNCTable[IP], ""),
_xlpm.chkk, IF(ITEquipmentTable[[#This Row],[IPv4 Address]] = "N/A", "N/A", _xlpm.look),
IF(ITEquipmentTable[[#This Row],[Name]] = "", "", _xlpm.chkk))</f>
        <v/>
      </c>
      <c r="M212" s="189" t="s">
        <v>1600</v>
      </c>
      <c r="N212" s="159" t="str">
        <f>_xlfn.LET(_xlpm.emp, IF(_xlfn.XLOOKUP(ITEquipmentTable[[#This Row],[Assigned Employee]], EmployeeTable[name], EmployeeTable[Active], TRUE), "Employee", "Recover"),
IF(ITEquipmentTable[[#This Row],[Storage Location]] = "Assigned to Employee", _xlpm.emp, "N/A"))</f>
        <v>Employee</v>
      </c>
      <c r="O212" s="159" t="str" cm="1">
        <f t="array" ref="O21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1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12" s="193"/>
      <c r="R212" s="193" t="s">
        <v>312</v>
      </c>
      <c r="S212" s="189" t="s">
        <v>313</v>
      </c>
      <c r="T212" s="194"/>
      <c r="X212" s="1">
        <v>5014</v>
      </c>
      <c r="Y212" s="223" t="s">
        <v>1028</v>
      </c>
      <c r="Z212" s="1" t="b">
        <v>0</v>
      </c>
      <c r="AA212"/>
    </row>
    <row r="213" spans="1:27" s="1" customFormat="1" hidden="1" x14ac:dyDescent="0.2">
      <c r="A213" s="155">
        <v>98</v>
      </c>
      <c r="B213" s="1" t="s">
        <v>294</v>
      </c>
      <c r="C213" s="1" t="s">
        <v>403</v>
      </c>
      <c r="D213" s="1" t="s">
        <v>1175</v>
      </c>
      <c r="E213" s="1" t="s">
        <v>306</v>
      </c>
      <c r="F213" s="195" t="s">
        <v>1601</v>
      </c>
      <c r="G213" s="159" t="str">
        <f>_xlfn.XLOOKUP(ITEquipmentTable[[#This Row],[Name]], IntuneData[Device name], IntuneData[Serial number], "")</f>
        <v/>
      </c>
      <c r="H213" s="168" t="s">
        <v>348</v>
      </c>
      <c r="I213" s="168"/>
      <c r="J213" s="168"/>
      <c r="K213" s="154" t="s">
        <v>226</v>
      </c>
      <c r="L213" s="159" t="str">
        <f>_xlfn.LET(
_xlpm.look, _xlfn.XLOOKUP(ITEquipmentTable[[#This Row],[Name]], VNCTable[ClientName], VNCTable[IP], ""),
_xlpm.chkk, IF(ITEquipmentTable[[#This Row],[IPv4 Address]] = "N/A", "N/A", _xlpm.look),
IF(ITEquipmentTable[[#This Row],[Name]] = "", "", _xlpm.chkk))</f>
        <v>N/A</v>
      </c>
      <c r="M213" s="168" t="s">
        <v>1602</v>
      </c>
      <c r="N213" s="161" t="str">
        <f>_xlfn.LET(_xlpm.emp, IF(_xlfn.XLOOKUP(ITEquipmentTable[[#This Row],[Assigned Employee]], EmployeeTable[name], EmployeeTable[Active], TRUE), "Employee", "Recover"),
IF(ITEquipmentTable[[#This Row],[Storage Location]] = "Assigned to Employee", _xlpm.emp, "N/A"))</f>
        <v>N/A</v>
      </c>
      <c r="O213" s="161" t="str" cm="1">
        <f t="array" ref="O21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21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213" s="189" t="s">
        <v>312</v>
      </c>
      <c r="T213" s="194"/>
      <c r="X213" s="1">
        <v>6015</v>
      </c>
      <c r="Y213" s="223" t="s">
        <v>1031</v>
      </c>
      <c r="Z213" s="1" t="b">
        <v>0</v>
      </c>
      <c r="AA213"/>
    </row>
    <row r="214" spans="1:27" s="1" customFormat="1" hidden="1" x14ac:dyDescent="0.2">
      <c r="A214" s="155">
        <v>580</v>
      </c>
      <c r="B214" s="1" t="s">
        <v>294</v>
      </c>
      <c r="C214" s="1" t="s">
        <v>403</v>
      </c>
      <c r="E214" s="1" t="s">
        <v>306</v>
      </c>
      <c r="F214" s="195" t="s">
        <v>3070</v>
      </c>
      <c r="G214" s="164" t="str">
        <f>_xlfn.XLOOKUP(ITEquipmentTable[[#This Row],[Name]], IntuneData[Device name], IntuneData[Serial number], "")</f>
        <v>5CD116V7W9</v>
      </c>
      <c r="H214" s="1" t="s">
        <v>384</v>
      </c>
      <c r="J214" s="1" t="s">
        <v>918</v>
      </c>
      <c r="K214" s="154" t="s">
        <v>508</v>
      </c>
      <c r="L214" s="164" t="str">
        <f>_xlfn.LET(
_xlpm.look, _xlfn.XLOOKUP(ITEquipmentTable[[#This Row],[Name]], VNCTable[ClientName], VNCTable[IP], ""),
_xlpm.chkk, IF(ITEquipmentTable[[#This Row],[IPv4 Address]] = "N/A", "N/A", _xlpm.look),
IF(ITEquipmentTable[[#This Row],[Name]] = "", "", _xlpm.chkk))</f>
        <v/>
      </c>
      <c r="M214" s="1" t="s">
        <v>1603</v>
      </c>
      <c r="N214" s="159" t="str">
        <f>_xlfn.LET(_xlpm.emp, IF(_xlfn.XLOOKUP(ITEquipmentTable[[#This Row],[Assigned Employee]], EmployeeTable[name], EmployeeTable[Active], TRUE), "Employee", "Recover"),
IF(ITEquipmentTable[[#This Row],[Storage Location]] = "Assigned to Employee", _xlpm.emp, "N/A"))</f>
        <v>Recover</v>
      </c>
      <c r="O214" s="159" t="str" cm="1">
        <f t="array" ref="O21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1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14" s="189" t="s">
        <v>313</v>
      </c>
      <c r="T214" s="194"/>
      <c r="X214" s="1">
        <v>6017</v>
      </c>
      <c r="Y214" s="223" t="s">
        <v>1035</v>
      </c>
      <c r="Z214" s="1" t="b">
        <v>0</v>
      </c>
      <c r="AA214"/>
    </row>
    <row r="215" spans="1:27" s="1" customFormat="1" hidden="1" x14ac:dyDescent="0.2">
      <c r="A215" s="155">
        <v>550</v>
      </c>
      <c r="B215" s="1" t="s">
        <v>294</v>
      </c>
      <c r="C215" s="1" t="s">
        <v>403</v>
      </c>
      <c r="D215" s="1" t="s">
        <v>1155</v>
      </c>
      <c r="E215" s="1" t="s">
        <v>306</v>
      </c>
      <c r="F215" s="195" t="s">
        <v>1442</v>
      </c>
      <c r="G215" s="164" t="str">
        <f>_xlfn.XLOOKUP(ITEquipmentTable[[#This Row],[Name]], IntuneData[Device name], IntuneData[Serial number], "")</f>
        <v>5CG9152MLM</v>
      </c>
      <c r="H215" s="1" t="s">
        <v>384</v>
      </c>
      <c r="J215" s="1" t="s">
        <v>625</v>
      </c>
      <c r="K215" s="154" t="s">
        <v>508</v>
      </c>
      <c r="L215" s="164" t="str">
        <f>_xlfn.LET(
_xlpm.look, _xlfn.XLOOKUP(ITEquipmentTable[[#This Row],[Name]], VNCTable[ClientName], VNCTable[IP], ""),
_xlpm.chkk, IF(ITEquipmentTable[[#This Row],[IPv4 Address]] = "N/A", "N/A", _xlpm.look),
IF(ITEquipmentTable[[#This Row],[Name]] = "", "", _xlpm.chkk))</f>
        <v/>
      </c>
      <c r="M215" s="1" t="s">
        <v>1604</v>
      </c>
      <c r="N215" s="159" t="str">
        <f>_xlfn.LET(_xlpm.emp, IF(_xlfn.XLOOKUP(ITEquipmentTable[[#This Row],[Assigned Employee]], EmployeeTable[name], EmployeeTable[Active], TRUE), "Employee", "Recover"),
IF(ITEquipmentTable[[#This Row],[Storage Location]] = "Assigned to Employee", _xlpm.emp, "N/A"))</f>
        <v>Employee</v>
      </c>
      <c r="O215" s="159" t="str" cm="1">
        <f t="array" ref="O21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1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215" s="1" t="s">
        <v>312</v>
      </c>
      <c r="T215" s="194"/>
      <c r="X215" s="1">
        <v>8645</v>
      </c>
      <c r="Y215" s="223" t="s">
        <v>1038</v>
      </c>
      <c r="Z215" s="1" t="b">
        <v>0</v>
      </c>
      <c r="AA215"/>
    </row>
    <row r="216" spans="1:27" s="1" customFormat="1" hidden="1" x14ac:dyDescent="0.2">
      <c r="A216" s="155">
        <v>551</v>
      </c>
      <c r="B216" s="1" t="s">
        <v>294</v>
      </c>
      <c r="C216" s="1" t="s">
        <v>403</v>
      </c>
      <c r="E216" s="1" t="s">
        <v>306</v>
      </c>
      <c r="F216" s="195" t="s">
        <v>3288</v>
      </c>
      <c r="G216" s="164" t="str">
        <f>_xlfn.XLOOKUP(ITEquipmentTable[[#This Row],[Name]], IntuneData[Device name], IntuneData[Serial number], "")</f>
        <v>5CD116V7DW</v>
      </c>
      <c r="H216" s="1" t="s">
        <v>384</v>
      </c>
      <c r="J216" s="1" t="s">
        <v>1605</v>
      </c>
      <c r="K216" s="154" t="s">
        <v>508</v>
      </c>
      <c r="L216" s="164" t="str">
        <f>_xlfn.LET(
_xlpm.look, _xlfn.XLOOKUP(ITEquipmentTable[[#This Row],[Name]], VNCTable[ClientName], VNCTable[IP], ""),
_xlpm.chkk, IF(ITEquipmentTable[[#This Row],[IPv4 Address]] = "N/A", "N/A", _xlpm.look),
IF(ITEquipmentTable[[#This Row],[Name]] = "", "", _xlpm.chkk))</f>
        <v/>
      </c>
      <c r="M216" s="1" t="s">
        <v>1606</v>
      </c>
      <c r="N216" s="159" t="str">
        <f>_xlfn.LET(_xlpm.emp, IF(_xlfn.XLOOKUP(ITEquipmentTable[[#This Row],[Assigned Employee]], EmployeeTable[name], EmployeeTable[Active], TRUE), "Employee", "Recover"),
IF(ITEquipmentTable[[#This Row],[Storage Location]] = "Assigned to Employee", _xlpm.emp, "N/A"))</f>
        <v>Employee</v>
      </c>
      <c r="O216" s="159" t="str" cm="1">
        <f t="array" ref="O21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1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16" s="1" t="s">
        <v>298</v>
      </c>
      <c r="T216" s="194"/>
      <c r="X216" s="1">
        <v>8646</v>
      </c>
      <c r="Y216" s="223" t="s">
        <v>928</v>
      </c>
      <c r="Z216" s="1" t="b">
        <v>0</v>
      </c>
      <c r="AA216"/>
    </row>
    <row r="217" spans="1:27" s="1" customFormat="1" hidden="1" x14ac:dyDescent="0.2">
      <c r="A217" s="217">
        <v>581</v>
      </c>
      <c r="B217" s="189" t="s">
        <v>294</v>
      </c>
      <c r="C217" s="189" t="s">
        <v>403</v>
      </c>
      <c r="E217" s="189" t="s">
        <v>306</v>
      </c>
      <c r="F217" s="195" t="s">
        <v>3078</v>
      </c>
      <c r="G217" s="164" t="str">
        <f>_xlfn.XLOOKUP(ITEquipmentTable[[#This Row],[Name]], IntuneData[Device name], IntuneData[Serial number], "")</f>
        <v>5CD116V91K</v>
      </c>
      <c r="H217" s="1" t="s">
        <v>384</v>
      </c>
      <c r="I217" s="189"/>
      <c r="J217" s="189" t="s">
        <v>360</v>
      </c>
      <c r="K217" s="154" t="s">
        <v>508</v>
      </c>
      <c r="L217" s="164" t="str">
        <f>_xlfn.LET(
_xlpm.look, _xlfn.XLOOKUP(ITEquipmentTable[[#This Row],[Name]], VNCTable[ClientName], VNCTable[IP], ""),
_xlpm.chkk, IF(ITEquipmentTable[[#This Row],[IPv4 Address]] = "N/A", "N/A", _xlpm.look),
IF(ITEquipmentTable[[#This Row],[Name]] = "", "", _xlpm.chkk))</f>
        <v/>
      </c>
      <c r="M217" s="189" t="s">
        <v>1607</v>
      </c>
      <c r="N217" s="159" t="str">
        <f>_xlfn.LET(_xlpm.emp, IF(_xlfn.XLOOKUP(ITEquipmentTable[[#This Row],[Assigned Employee]], EmployeeTable[name], EmployeeTable[Active], TRUE), "Employee", "Recover"),
IF(ITEquipmentTable[[#This Row],[Storage Location]] = "Assigned to Employee", _xlpm.emp, "N/A"))</f>
        <v>Employee</v>
      </c>
      <c r="O217" s="159" t="str" cm="1">
        <f t="array" ref="O21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1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17" s="193"/>
      <c r="R217" s="193" t="s">
        <v>312</v>
      </c>
      <c r="S217" s="1" t="s">
        <v>313</v>
      </c>
      <c r="T217" s="194"/>
      <c r="X217" s="1">
        <v>8647</v>
      </c>
      <c r="Y217" s="223" t="s">
        <v>1040</v>
      </c>
      <c r="Z217" s="1" t="b">
        <v>0</v>
      </c>
      <c r="AA217"/>
    </row>
    <row r="218" spans="1:27" s="1" customFormat="1" hidden="1" x14ac:dyDescent="0.2">
      <c r="A218" s="155">
        <v>548</v>
      </c>
      <c r="B218" s="1" t="s">
        <v>294</v>
      </c>
      <c r="C218" s="1" t="s">
        <v>403</v>
      </c>
      <c r="E218" s="1" t="s">
        <v>306</v>
      </c>
      <c r="F218" s="195" t="s">
        <v>3054</v>
      </c>
      <c r="G218" s="164" t="str">
        <f>_xlfn.XLOOKUP(ITEquipmentTable[[#This Row],[Name]], IntuneData[Device name], IntuneData[Serial number], "")</f>
        <v>5CD143F75K</v>
      </c>
      <c r="H218" s="1" t="s">
        <v>384</v>
      </c>
      <c r="J218" s="1" t="s">
        <v>1051</v>
      </c>
      <c r="K218" s="154" t="s">
        <v>508</v>
      </c>
      <c r="L218" s="164" t="str">
        <f>_xlfn.LET(
_xlpm.look, _xlfn.XLOOKUP(ITEquipmentTable[[#This Row],[Name]], VNCTable[ClientName], VNCTable[IP], ""),
_xlpm.chkk, IF(ITEquipmentTable[[#This Row],[IPv4 Address]] = "N/A", "N/A", _xlpm.look),
IF(ITEquipmentTable[[#This Row],[Name]] = "", "", _xlpm.chkk))</f>
        <v/>
      </c>
      <c r="M218" s="1" t="s">
        <v>1608</v>
      </c>
      <c r="N218" s="159" t="str">
        <f>_xlfn.LET(_xlpm.emp, IF(_xlfn.XLOOKUP(ITEquipmentTable[[#This Row],[Assigned Employee]], EmployeeTable[name], EmployeeTable[Active], TRUE), "Employee", "Recover"),
IF(ITEquipmentTable[[#This Row],[Storage Location]] = "Assigned to Employee", _xlpm.emp, "N/A"))</f>
        <v>Recover</v>
      </c>
      <c r="O218" s="159" t="str" cm="1">
        <f t="array" ref="O21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1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18" s="1" t="s">
        <v>298</v>
      </c>
      <c r="T218" s="194"/>
      <c r="X218" s="1">
        <v>8648</v>
      </c>
      <c r="Y218" s="223" t="s">
        <v>1044</v>
      </c>
      <c r="Z218" s="1" t="b">
        <v>0</v>
      </c>
      <c r="AA218"/>
    </row>
    <row r="219" spans="1:27" s="1" customFormat="1" hidden="1" x14ac:dyDescent="0.2">
      <c r="A219" s="217">
        <v>486</v>
      </c>
      <c r="B219" s="189" t="s">
        <v>294</v>
      </c>
      <c r="C219" s="189" t="s">
        <v>403</v>
      </c>
      <c r="E219" s="1" t="s">
        <v>306</v>
      </c>
      <c r="F219" s="195" t="s">
        <v>3086</v>
      </c>
      <c r="G219" s="164" t="str">
        <f>_xlfn.XLOOKUP(ITEquipmentTable[[#This Row],[Name]], IntuneData[Device name], IntuneData[Serial number], "")</f>
        <v>5CG95279W0</v>
      </c>
      <c r="H219" s="1" t="s">
        <v>384</v>
      </c>
      <c r="I219" s="189"/>
      <c r="J219" s="189" t="s">
        <v>486</v>
      </c>
      <c r="K219" s="154" t="s">
        <v>508</v>
      </c>
      <c r="L219" s="164" t="str">
        <f>_xlfn.LET(
_xlpm.look, _xlfn.XLOOKUP(ITEquipmentTable[[#This Row],[Name]], VNCTable[ClientName], VNCTable[IP], ""),
_xlpm.chkk, IF(ITEquipmentTable[[#This Row],[IPv4 Address]] = "N/A", "N/A", _xlpm.look),
IF(ITEquipmentTable[[#This Row],[Name]] = "", "", _xlpm.chkk))</f>
        <v/>
      </c>
      <c r="M219" s="1" t="s">
        <v>1609</v>
      </c>
      <c r="N219" s="159" t="str">
        <f>_xlfn.LET(_xlpm.emp, IF(_xlfn.XLOOKUP(ITEquipmentTable[[#This Row],[Assigned Employee]], EmployeeTable[name], EmployeeTable[Active], TRUE), "Employee", "Recover"),
IF(ITEquipmentTable[[#This Row],[Storage Location]] = "Assigned to Employee", _xlpm.emp, "N/A"))</f>
        <v>Employee</v>
      </c>
      <c r="O219" s="159" t="str" cm="1">
        <f t="array" ref="O21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1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19" s="189"/>
      <c r="R219" s="193" t="s">
        <v>312</v>
      </c>
      <c r="S219" s="1" t="s">
        <v>313</v>
      </c>
      <c r="T219" s="194"/>
      <c r="X219" s="1">
        <v>8649</v>
      </c>
      <c r="Y219" s="223" t="s">
        <v>1047</v>
      </c>
      <c r="Z219" s="1" t="b">
        <v>0</v>
      </c>
      <c r="AA219"/>
    </row>
    <row r="220" spans="1:27" s="1" customFormat="1" hidden="1" x14ac:dyDescent="0.2">
      <c r="A220" s="155">
        <v>552</v>
      </c>
      <c r="B220" s="1" t="s">
        <v>294</v>
      </c>
      <c r="C220" s="1" t="s">
        <v>403</v>
      </c>
      <c r="E220" s="1" t="s">
        <v>306</v>
      </c>
      <c r="F220" s="195"/>
      <c r="G220" s="164" t="str">
        <f>_xlfn.XLOOKUP(ITEquipmentTable[[#This Row],[Name]], IntuneData[Device name], IntuneData[Serial number], "")</f>
        <v/>
      </c>
      <c r="H220" s="1" t="s">
        <v>384</v>
      </c>
      <c r="J220" s="1" t="s">
        <v>1610</v>
      </c>
      <c r="K220" s="154" t="s">
        <v>508</v>
      </c>
      <c r="L220" s="164" t="str">
        <f>_xlfn.LET(
_xlpm.look, _xlfn.XLOOKUP(ITEquipmentTable[[#This Row],[Name]], VNCTable[ClientName], VNCTable[IP], ""),
_xlpm.chkk, IF(ITEquipmentTable[[#This Row],[IPv4 Address]] = "N/A", "N/A", _xlpm.look),
IF(ITEquipmentTable[[#This Row],[Name]] = "", "", _xlpm.chkk))</f>
        <v/>
      </c>
      <c r="M220" s="1" t="s">
        <v>1611</v>
      </c>
      <c r="N220" s="159" t="str">
        <f>_xlfn.LET(_xlpm.emp, IF(_xlfn.XLOOKUP(ITEquipmentTable[[#This Row],[Assigned Employee]], EmployeeTable[name], EmployeeTable[Active], TRUE), "Employee", "Recover"),
IF(ITEquipmentTable[[#This Row],[Storage Location]] = "Assigned to Employee", _xlpm.emp, "N/A"))</f>
        <v>Employee</v>
      </c>
      <c r="O220" s="159" t="str" cm="1">
        <f t="array" ref="O22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WinSer 2019 / LTSC</v>
      </c>
      <c r="P22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20" s="1" t="s">
        <v>298</v>
      </c>
      <c r="T220" s="194"/>
      <c r="X220" s="1">
        <v>8650</v>
      </c>
      <c r="Y220" s="223" t="s">
        <v>1049</v>
      </c>
      <c r="Z220" s="1" t="b">
        <v>0</v>
      </c>
      <c r="AA220"/>
    </row>
    <row r="221" spans="1:27" s="1" customFormat="1" hidden="1" x14ac:dyDescent="0.2">
      <c r="A221" s="217">
        <v>583</v>
      </c>
      <c r="B221" s="189" t="s">
        <v>294</v>
      </c>
      <c r="C221" s="189" t="s">
        <v>403</v>
      </c>
      <c r="D221" s="1" t="s">
        <v>1179</v>
      </c>
      <c r="E221" s="189" t="s">
        <v>306</v>
      </c>
      <c r="F221" s="195" t="s">
        <v>1422</v>
      </c>
      <c r="G221" s="164" t="str">
        <f>_xlfn.XLOOKUP(ITEquipmentTable[[#This Row],[Name]], IntuneData[Device name], IntuneData[Serial number], "")</f>
        <v>5CG6120LS6</v>
      </c>
      <c r="H221" s="1" t="s">
        <v>384</v>
      </c>
      <c r="I221" s="189"/>
      <c r="J221" s="189" t="s">
        <v>629</v>
      </c>
      <c r="K221" s="154" t="s">
        <v>508</v>
      </c>
      <c r="L221" s="164" t="str">
        <f>_xlfn.LET(
_xlpm.look, _xlfn.XLOOKUP(ITEquipmentTable[[#This Row],[Name]], VNCTable[ClientName], VNCTable[IP], ""),
_xlpm.chkk, IF(ITEquipmentTable[[#This Row],[IPv4 Address]] = "N/A", "N/A", _xlpm.look),
IF(ITEquipmentTable[[#This Row],[Name]] = "", "", _xlpm.chkk))</f>
        <v/>
      </c>
      <c r="M221" s="189" t="s">
        <v>1612</v>
      </c>
      <c r="N221" s="159" t="str">
        <f>_xlfn.LET(_xlpm.emp, IF(_xlfn.XLOOKUP(ITEquipmentTable[[#This Row],[Assigned Employee]], EmployeeTable[name], EmployeeTable[Active], TRUE), "Employee", "Recover"),
IF(ITEquipmentTable[[#This Row],[Storage Location]] = "Assigned to Employee", _xlpm.emp, "N/A"))</f>
        <v>Employee</v>
      </c>
      <c r="O221" s="159" t="str" cm="1">
        <f t="array" ref="O22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2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221" s="193"/>
      <c r="R221" s="193" t="s">
        <v>312</v>
      </c>
      <c r="T221" s="194"/>
      <c r="X221" s="1">
        <v>8651</v>
      </c>
      <c r="Y221" s="223" t="s">
        <v>1051</v>
      </c>
      <c r="Z221" s="1" t="b">
        <v>0</v>
      </c>
      <c r="AA221"/>
    </row>
    <row r="222" spans="1:27" s="1" customFormat="1" hidden="1" x14ac:dyDescent="0.2">
      <c r="A222" s="155">
        <v>584</v>
      </c>
      <c r="B222" s="189" t="s">
        <v>294</v>
      </c>
      <c r="C222" s="189" t="s">
        <v>403</v>
      </c>
      <c r="E222" s="189" t="s">
        <v>306</v>
      </c>
      <c r="F222" s="195" t="s">
        <v>3093</v>
      </c>
      <c r="G222" s="164" t="str">
        <f>_xlfn.XLOOKUP(ITEquipmentTable[[#This Row],[Name]], IntuneData[Device name], IntuneData[Serial number], "")</f>
        <v>5CD116V74B</v>
      </c>
      <c r="H222" s="1" t="s">
        <v>384</v>
      </c>
      <c r="I222" s="189"/>
      <c r="J222" s="189" t="s">
        <v>491</v>
      </c>
      <c r="K222" s="154" t="s">
        <v>508</v>
      </c>
      <c r="L222" s="164" t="str">
        <f>_xlfn.LET(
_xlpm.look, _xlfn.XLOOKUP(ITEquipmentTable[[#This Row],[Name]], VNCTable[ClientName], VNCTable[IP], ""),
_xlpm.chkk, IF(ITEquipmentTable[[#This Row],[IPv4 Address]] = "N/A", "N/A", _xlpm.look),
IF(ITEquipmentTable[[#This Row],[Name]] = "", "", _xlpm.chkk))</f>
        <v/>
      </c>
      <c r="M222" s="189" t="s">
        <v>1613</v>
      </c>
      <c r="N222" s="159" t="str">
        <f>_xlfn.LET(_xlpm.emp, IF(_xlfn.XLOOKUP(ITEquipmentTable[[#This Row],[Assigned Employee]], EmployeeTable[name], EmployeeTable[Active], TRUE), "Employee", "Recover"),
IF(ITEquipmentTable[[#This Row],[Storage Location]] = "Assigned to Employee", _xlpm.emp, "N/A"))</f>
        <v>Employee</v>
      </c>
      <c r="O222" s="159" t="str" cm="1">
        <f t="array" ref="O22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2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22" s="193"/>
      <c r="R222" s="193" t="s">
        <v>312</v>
      </c>
      <c r="S222" s="1" t="s">
        <v>313</v>
      </c>
      <c r="T222" s="194"/>
      <c r="X222" s="1">
        <v>8652</v>
      </c>
      <c r="Y222" s="223" t="s">
        <v>1054</v>
      </c>
      <c r="Z222" s="1" t="b">
        <v>0</v>
      </c>
      <c r="AA222"/>
    </row>
    <row r="223" spans="1:27" s="1" customFormat="1" hidden="1" x14ac:dyDescent="0.2">
      <c r="A223" s="155">
        <v>187</v>
      </c>
      <c r="B223" s="1" t="s">
        <v>294</v>
      </c>
      <c r="C223" s="1" t="s">
        <v>403</v>
      </c>
      <c r="D223" s="1" t="s">
        <v>1593</v>
      </c>
      <c r="E223" s="1" t="s">
        <v>306</v>
      </c>
      <c r="F223" s="195" t="s">
        <v>1614</v>
      </c>
      <c r="G223" s="159" t="str">
        <f>_xlfn.XLOOKUP(ITEquipmentTable[[#This Row],[Name]], IntuneData[Device name], IntuneData[Serial number], "")</f>
        <v>5CD116V9PT</v>
      </c>
      <c r="H223" s="1" t="s">
        <v>384</v>
      </c>
      <c r="J223" s="1" t="s">
        <v>369</v>
      </c>
      <c r="K223" s="154" t="s">
        <v>508</v>
      </c>
      <c r="L223" s="159" t="str">
        <f>_xlfn.LET(
_xlpm.look, _xlfn.XLOOKUP(ITEquipmentTable[[#This Row],[Name]], VNCTable[ClientName], VNCTable[IP], ""),
_xlpm.chkk, IF(ITEquipmentTable[[#This Row],[IPv4 Address]] = "N/A", "N/A", _xlpm.look),
IF(ITEquipmentTable[[#This Row],[Name]] = "", "", _xlpm.chkk))</f>
        <v/>
      </c>
      <c r="M223" s="1" t="s">
        <v>1615</v>
      </c>
      <c r="N223" s="159" t="str">
        <f>_xlfn.LET(_xlpm.emp, IF(_xlfn.XLOOKUP(ITEquipmentTable[[#This Row],[Assigned Employee]], EmployeeTable[name], EmployeeTable[Active], TRUE), "Employee", "Recover"),
IF(ITEquipmentTable[[#This Row],[Storage Location]] = "Assigned to Employee", _xlpm.emp, "N/A"))</f>
        <v>Employee</v>
      </c>
      <c r="O223" s="159" t="str" cm="1">
        <f t="array" ref="O22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2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223" s="189" t="s">
        <v>312</v>
      </c>
      <c r="T223" s="194"/>
      <c r="X223" s="1">
        <v>8653</v>
      </c>
      <c r="Y223" s="223" t="s">
        <v>1057</v>
      </c>
      <c r="Z223" s="1" t="b">
        <v>0</v>
      </c>
      <c r="AA223"/>
    </row>
    <row r="224" spans="1:27" s="1" customFormat="1" hidden="1" x14ac:dyDescent="0.2">
      <c r="A224" s="155">
        <v>188</v>
      </c>
      <c r="B224" s="189" t="s">
        <v>294</v>
      </c>
      <c r="C224" s="189" t="s">
        <v>403</v>
      </c>
      <c r="E224" s="189" t="s">
        <v>306</v>
      </c>
      <c r="F224" s="195" t="s">
        <v>3101</v>
      </c>
      <c r="G224" s="159" t="str">
        <f>_xlfn.XLOOKUP(ITEquipmentTable[[#This Row],[Name]], IntuneData[Device name], IntuneData[Serial number], "")</f>
        <v>5CD1171BJV</v>
      </c>
      <c r="H224" s="1" t="s">
        <v>384</v>
      </c>
      <c r="I224" s="189"/>
      <c r="J224" s="189" t="s">
        <v>465</v>
      </c>
      <c r="K224" s="154" t="s">
        <v>508</v>
      </c>
      <c r="L224" s="159" t="str">
        <f>_xlfn.LET(
_xlpm.look, _xlfn.XLOOKUP(ITEquipmentTable[[#This Row],[Name]], VNCTable[ClientName], VNCTable[IP], ""),
_xlpm.chkk, IF(ITEquipmentTable[[#This Row],[IPv4 Address]] = "N/A", "N/A", _xlpm.look),
IF(ITEquipmentTable[[#This Row],[Name]] = "", "", _xlpm.chkk))</f>
        <v/>
      </c>
      <c r="M224" s="189" t="s">
        <v>1616</v>
      </c>
      <c r="N224" s="159" t="str">
        <f>_xlfn.LET(_xlpm.emp, IF(_xlfn.XLOOKUP(ITEquipmentTable[[#This Row],[Assigned Employee]], EmployeeTable[name], EmployeeTable[Active], TRUE), "Employee", "Recover"),
IF(ITEquipmentTable[[#This Row],[Storage Location]] = "Assigned to Employee", _xlpm.emp, "N/A"))</f>
        <v>Employee</v>
      </c>
      <c r="O224" s="159" t="str" cm="1">
        <f t="array" ref="O22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2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24" s="193"/>
      <c r="R224" s="189" t="s">
        <v>312</v>
      </c>
      <c r="S224" s="189" t="s">
        <v>313</v>
      </c>
      <c r="T224" s="194"/>
      <c r="X224" s="1">
        <v>8654</v>
      </c>
      <c r="Y224" s="223" t="s">
        <v>1059</v>
      </c>
      <c r="Z224" s="1" t="b">
        <v>0</v>
      </c>
      <c r="AA224"/>
    </row>
    <row r="225" spans="1:27" s="1" customFormat="1" hidden="1" x14ac:dyDescent="0.2">
      <c r="A225" s="155">
        <v>553</v>
      </c>
      <c r="B225" s="1" t="s">
        <v>294</v>
      </c>
      <c r="C225" s="1" t="s">
        <v>403</v>
      </c>
      <c r="E225" s="1" t="s">
        <v>306</v>
      </c>
      <c r="F225" s="195" t="s">
        <v>3292</v>
      </c>
      <c r="G225" s="164" t="str">
        <f>_xlfn.XLOOKUP(ITEquipmentTable[[#This Row],[Name]], IntuneData[Device name], IntuneData[Serial number], "")</f>
        <v>5CD116V8PG</v>
      </c>
      <c r="H225" s="1" t="s">
        <v>384</v>
      </c>
      <c r="J225" s="1" t="s">
        <v>391</v>
      </c>
      <c r="K225" s="154" t="s">
        <v>508</v>
      </c>
      <c r="L225" s="164" t="str">
        <f>_xlfn.LET(
_xlpm.look, _xlfn.XLOOKUP(ITEquipmentTable[[#This Row],[Name]], VNCTable[ClientName], VNCTable[IP], ""),
_xlpm.chkk, IF(ITEquipmentTable[[#This Row],[IPv4 Address]] = "N/A", "N/A", _xlpm.look),
IF(ITEquipmentTable[[#This Row],[Name]] = "", "", _xlpm.chkk))</f>
        <v/>
      </c>
      <c r="M225" s="1" t="s">
        <v>1617</v>
      </c>
      <c r="N225" s="159" t="str">
        <f>_xlfn.LET(_xlpm.emp, IF(_xlfn.XLOOKUP(ITEquipmentTable[[#This Row],[Assigned Employee]], EmployeeTable[name], EmployeeTable[Active], TRUE), "Employee", "Recover"),
IF(ITEquipmentTable[[#This Row],[Storage Location]] = "Assigned to Employee", _xlpm.emp, "N/A"))</f>
        <v>Employee</v>
      </c>
      <c r="O225" s="159" t="str" cm="1">
        <f t="array" ref="O22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2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25" s="1" t="s">
        <v>298</v>
      </c>
      <c r="T225" s="194"/>
      <c r="X225" s="1">
        <v>8655</v>
      </c>
      <c r="Y225" s="223" t="s">
        <v>1061</v>
      </c>
      <c r="Z225" s="1" t="b">
        <v>0</v>
      </c>
      <c r="AA225"/>
    </row>
    <row r="226" spans="1:27" s="1" customFormat="1" hidden="1" x14ac:dyDescent="0.2">
      <c r="A226" s="217">
        <v>524</v>
      </c>
      <c r="B226" s="189" t="s">
        <v>294</v>
      </c>
      <c r="C226" s="189" t="s">
        <v>403</v>
      </c>
      <c r="E226" s="1" t="s">
        <v>306</v>
      </c>
      <c r="F226" s="195" t="s">
        <v>3103</v>
      </c>
      <c r="G226" s="164" t="str">
        <f>_xlfn.XLOOKUP(ITEquipmentTable[[#This Row],[Name]], IntuneData[Device name], IntuneData[Serial number], "")</f>
        <v>5CD116V8DR</v>
      </c>
      <c r="H226" s="1" t="s">
        <v>384</v>
      </c>
      <c r="J226" s="1" t="s">
        <v>477</v>
      </c>
      <c r="K226" s="154" t="s">
        <v>508</v>
      </c>
      <c r="L226" s="164" t="str">
        <f>_xlfn.LET(
_xlpm.look, _xlfn.XLOOKUP(ITEquipmentTable[[#This Row],[Name]], VNCTable[ClientName], VNCTable[IP], ""),
_xlpm.chkk, IF(ITEquipmentTable[[#This Row],[IPv4 Address]] = "N/A", "N/A", _xlpm.look),
IF(ITEquipmentTable[[#This Row],[Name]] = "", "", _xlpm.chkk))</f>
        <v/>
      </c>
      <c r="M226" s="1" t="s">
        <v>1618</v>
      </c>
      <c r="N226" s="159" t="str">
        <f>_xlfn.LET(_xlpm.emp, IF(_xlfn.XLOOKUP(ITEquipmentTable[[#This Row],[Assigned Employee]], EmployeeTable[name], EmployeeTable[Active], TRUE), "Employee", "Recover"),
IF(ITEquipmentTable[[#This Row],[Storage Location]] = "Assigned to Employee", _xlpm.emp, "N/A"))</f>
        <v>Employee</v>
      </c>
      <c r="O226" s="159" t="str" cm="1">
        <f t="array" ref="O22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2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226" s="1" t="s">
        <v>312</v>
      </c>
      <c r="S226" s="1" t="s">
        <v>313</v>
      </c>
      <c r="T226" s="194"/>
      <c r="X226" s="1">
        <v>8657</v>
      </c>
      <c r="Y226" s="223" t="s">
        <v>1065</v>
      </c>
      <c r="Z226" s="1" t="b">
        <v>0</v>
      </c>
      <c r="AA226"/>
    </row>
    <row r="227" spans="1:27" s="1" customFormat="1" hidden="1" x14ac:dyDescent="0.2">
      <c r="A227" s="155">
        <v>554</v>
      </c>
      <c r="B227" s="1" t="s">
        <v>294</v>
      </c>
      <c r="C227" s="1" t="s">
        <v>403</v>
      </c>
      <c r="E227" s="1" t="s">
        <v>306</v>
      </c>
      <c r="F227" s="195" t="s">
        <v>3107</v>
      </c>
      <c r="G227" s="164" t="str">
        <f>_xlfn.XLOOKUP(ITEquipmentTable[[#This Row],[Name]], IntuneData[Device name], IntuneData[Serial number], "")</f>
        <v>5CD116V8Q0</v>
      </c>
      <c r="K227" s="154" t="s">
        <v>508</v>
      </c>
      <c r="L227" s="164" t="str">
        <f>_xlfn.LET(
_xlpm.look, _xlfn.XLOOKUP(ITEquipmentTable[[#This Row],[Name]], VNCTable[ClientName], VNCTable[IP], ""),
_xlpm.chkk, IF(ITEquipmentTable[[#This Row],[IPv4 Address]] = "N/A", "N/A", _xlpm.look),
IF(ITEquipmentTable[[#This Row],[Name]] = "", "", _xlpm.chkk))</f>
        <v/>
      </c>
      <c r="M227" s="1" t="s">
        <v>1619</v>
      </c>
      <c r="N227" s="159" t="str">
        <f>_xlfn.LET(_xlpm.emp, IF(_xlfn.XLOOKUP(ITEquipmentTable[[#This Row],[Assigned Employee]], EmployeeTable[name], EmployeeTable[Active], TRUE), "Employee", "Recover"),
IF(ITEquipmentTable[[#This Row],[Storage Location]] = "Assigned to Employee", _xlpm.emp, "N/A"))</f>
        <v>N/A</v>
      </c>
      <c r="O227" s="159" t="str" cm="1">
        <f t="array" ref="O22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2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27" s="1" t="s">
        <v>298</v>
      </c>
      <c r="T227" s="194"/>
      <c r="X227" s="1">
        <v>8658</v>
      </c>
      <c r="Y227" s="223" t="s">
        <v>1068</v>
      </c>
      <c r="Z227" s="1" t="b">
        <v>0</v>
      </c>
      <c r="AA227"/>
    </row>
    <row r="228" spans="1:27" s="1" customFormat="1" hidden="1" x14ac:dyDescent="0.2">
      <c r="A228" s="155">
        <v>582</v>
      </c>
      <c r="B228" s="189" t="s">
        <v>294</v>
      </c>
      <c r="C228" s="189" t="s">
        <v>403</v>
      </c>
      <c r="E228" s="189" t="s">
        <v>306</v>
      </c>
      <c r="F228" s="195" t="s">
        <v>3082</v>
      </c>
      <c r="G228" s="164" t="str">
        <f>_xlfn.XLOOKUP(ITEquipmentTable[[#This Row],[Name]], IntuneData[Device name], IntuneData[Serial number], "")</f>
        <v>5CD224JF6Z</v>
      </c>
      <c r="H228" s="1" t="s">
        <v>384</v>
      </c>
      <c r="I228" s="189"/>
      <c r="J228" s="189" t="s">
        <v>695</v>
      </c>
      <c r="K228" s="154" t="s">
        <v>508</v>
      </c>
      <c r="L228" s="164" t="str">
        <f>_xlfn.LET(
_xlpm.look, _xlfn.XLOOKUP(ITEquipmentTable[[#This Row],[Name]], VNCTable[ClientName], VNCTable[IP], ""),
_xlpm.chkk, IF(ITEquipmentTable[[#This Row],[IPv4 Address]] = "N/A", "N/A", _xlpm.look),
IF(ITEquipmentTable[[#This Row],[Name]] = "", "", _xlpm.chkk))</f>
        <v/>
      </c>
      <c r="M228" s="1" t="s">
        <v>1620</v>
      </c>
      <c r="N228" s="159" t="str">
        <f>_xlfn.LET(_xlpm.emp, IF(_xlfn.XLOOKUP(ITEquipmentTable[[#This Row],[Assigned Employee]], EmployeeTable[name], EmployeeTable[Active], TRUE), "Employee", "Recover"),
IF(ITEquipmentTable[[#This Row],[Storage Location]] = "Assigned to Employee", _xlpm.emp, "N/A"))</f>
        <v>Employee</v>
      </c>
      <c r="O228" s="159" t="str" cm="1">
        <f t="array" ref="O22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2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28" s="193"/>
      <c r="R228" s="193"/>
      <c r="S228" s="1" t="s">
        <v>298</v>
      </c>
      <c r="T228" s="194"/>
      <c r="X228" s="1">
        <v>8659</v>
      </c>
      <c r="Y228" s="223" t="s">
        <v>1069</v>
      </c>
      <c r="Z228" s="1" t="b">
        <v>0</v>
      </c>
      <c r="AA228"/>
    </row>
    <row r="229" spans="1:27" s="1" customFormat="1" hidden="1" x14ac:dyDescent="0.2">
      <c r="A229" s="155">
        <v>585</v>
      </c>
      <c r="B229" s="189" t="s">
        <v>294</v>
      </c>
      <c r="C229" s="189" t="s">
        <v>403</v>
      </c>
      <c r="E229" s="189" t="s">
        <v>306</v>
      </c>
      <c r="F229" s="195" t="s">
        <v>3111</v>
      </c>
      <c r="G229" s="164" t="str">
        <f>_xlfn.XLOOKUP(ITEquipmentTable[[#This Row],[Name]], IntuneData[Device name], IntuneData[Serial number], "")</f>
        <v>5CD1171BXN</v>
      </c>
      <c r="H229" s="1" t="s">
        <v>384</v>
      </c>
      <c r="I229" s="189"/>
      <c r="J229" s="189" t="s">
        <v>483</v>
      </c>
      <c r="K229" s="154" t="s">
        <v>508</v>
      </c>
      <c r="L229" s="164" t="str">
        <f>_xlfn.LET(
_xlpm.look, _xlfn.XLOOKUP(ITEquipmentTable[[#This Row],[Name]], VNCTable[ClientName], VNCTable[IP], ""),
_xlpm.chkk, IF(ITEquipmentTable[[#This Row],[IPv4 Address]] = "N/A", "N/A", _xlpm.look),
IF(ITEquipmentTable[[#This Row],[Name]] = "", "", _xlpm.chkk))</f>
        <v/>
      </c>
      <c r="M229" s="189" t="s">
        <v>1621</v>
      </c>
      <c r="N229" s="159" t="str">
        <f>_xlfn.LET(_xlpm.emp, IF(_xlfn.XLOOKUP(ITEquipmentTable[[#This Row],[Assigned Employee]], EmployeeTable[name], EmployeeTable[Active], TRUE), "Employee", "Recover"),
IF(ITEquipmentTable[[#This Row],[Storage Location]] = "Assigned to Employee", _xlpm.emp, "N/A"))</f>
        <v>Employee</v>
      </c>
      <c r="O229" s="159" t="str" cm="1">
        <f t="array" ref="O22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2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29" s="193"/>
      <c r="R229" s="193"/>
      <c r="S229" s="1" t="s">
        <v>298</v>
      </c>
      <c r="T229" s="194"/>
      <c r="X229" s="1">
        <v>8660</v>
      </c>
      <c r="Y229" s="223" t="s">
        <v>1070</v>
      </c>
      <c r="Z229" s="1" t="b">
        <v>0</v>
      </c>
      <c r="AA229"/>
    </row>
    <row r="230" spans="1:27" s="1" customFormat="1" hidden="1" x14ac:dyDescent="0.2">
      <c r="A230" s="155">
        <v>556</v>
      </c>
      <c r="B230" s="1" t="s">
        <v>294</v>
      </c>
      <c r="C230" s="1" t="s">
        <v>403</v>
      </c>
      <c r="E230" s="1" t="s">
        <v>306</v>
      </c>
      <c r="F230" s="195"/>
      <c r="G230" s="164" t="str">
        <f>_xlfn.XLOOKUP(ITEquipmentTable[[#This Row],[Name]], IntuneData[Device name], IntuneData[Serial number], "")</f>
        <v/>
      </c>
      <c r="K230" s="154" t="s">
        <v>508</v>
      </c>
      <c r="L230" s="164" t="str">
        <f>_xlfn.LET(
_xlpm.look, _xlfn.XLOOKUP(ITEquipmentTable[[#This Row],[Name]], VNCTable[ClientName], VNCTable[IP], ""),
_xlpm.chkk, IF(ITEquipmentTable[[#This Row],[IPv4 Address]] = "N/A", "N/A", _xlpm.look),
IF(ITEquipmentTable[[#This Row],[Name]] = "", "", _xlpm.chkk))</f>
        <v/>
      </c>
      <c r="M230" s="1" t="s">
        <v>1623</v>
      </c>
      <c r="N230" s="159" t="str">
        <f>_xlfn.LET(_xlpm.emp, IF(_xlfn.XLOOKUP(ITEquipmentTable[[#This Row],[Assigned Employee]], EmployeeTable[name], EmployeeTable[Active], TRUE), "Employee", "Recover"),
IF(ITEquipmentTable[[#This Row],[Storage Location]] = "Assigned to Employee", _xlpm.emp, "N/A"))</f>
        <v>N/A</v>
      </c>
      <c r="O230" s="159" t="str" cm="1">
        <f t="array" ref="O23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3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30" s="1" t="s">
        <v>298</v>
      </c>
      <c r="T230" s="194"/>
      <c r="X230" s="1">
        <v>8662</v>
      </c>
      <c r="Y230" s="223" t="s">
        <v>1074</v>
      </c>
      <c r="Z230" s="1" t="b">
        <v>0</v>
      </c>
      <c r="AA230"/>
    </row>
    <row r="231" spans="1:27" s="1" customFormat="1" hidden="1" x14ac:dyDescent="0.2">
      <c r="A231" s="155">
        <v>189</v>
      </c>
      <c r="B231" s="1" t="s">
        <v>294</v>
      </c>
      <c r="C231" s="1" t="s">
        <v>403</v>
      </c>
      <c r="D231" s="1" t="s">
        <v>1624</v>
      </c>
      <c r="E231" s="1" t="s">
        <v>306</v>
      </c>
      <c r="F231" s="195" t="s">
        <v>1625</v>
      </c>
      <c r="G231" s="159" t="str">
        <f>_xlfn.XLOOKUP(ITEquipmentTable[[#This Row],[Name]], IntuneData[Device name], IntuneData[Serial number], "")</f>
        <v>5CG02543NH</v>
      </c>
      <c r="H231" s="1" t="s">
        <v>302</v>
      </c>
      <c r="I231" s="189"/>
      <c r="J231" s="189"/>
      <c r="K231" s="154" t="s">
        <v>226</v>
      </c>
      <c r="L231" s="159" t="str">
        <f>_xlfn.LET(
_xlpm.look, _xlfn.XLOOKUP(ITEquipmentTable[[#This Row],[Name]], VNCTable[ClientName], VNCTable[IP], ""),
_xlpm.chkk, IF(ITEquipmentTable[[#This Row],[IPv4 Address]] = "N/A", "N/A", _xlpm.look),
IF(ITEquipmentTable[[#This Row],[Name]] = "", "", _xlpm.chkk))</f>
        <v>N/A</v>
      </c>
      <c r="M231" s="1" t="s">
        <v>1626</v>
      </c>
      <c r="N231" s="159" t="str">
        <f>_xlfn.LET(_xlpm.emp, IF(_xlfn.XLOOKUP(ITEquipmentTable[[#This Row],[Assigned Employee]], EmployeeTable[name], EmployeeTable[Active], TRUE), "Employee", "Recover"),
IF(ITEquipmentTable[[#This Row],[Storage Location]] = "Assigned to Employee", _xlpm.emp, "N/A"))</f>
        <v>N/A</v>
      </c>
      <c r="O231" s="159" t="str" cm="1">
        <f t="array" ref="O23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23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231" s="193"/>
      <c r="R231" s="189" t="s">
        <v>312</v>
      </c>
      <c r="T231" s="194"/>
      <c r="X231" s="1">
        <v>8664</v>
      </c>
      <c r="Y231" s="223" t="s">
        <v>1077</v>
      </c>
      <c r="Z231" s="1" t="b">
        <v>0</v>
      </c>
      <c r="AA231"/>
    </row>
    <row r="232" spans="1:27" s="1" customFormat="1" hidden="1" x14ac:dyDescent="0.2">
      <c r="A232" s="155">
        <v>558</v>
      </c>
      <c r="B232" s="1" t="s">
        <v>294</v>
      </c>
      <c r="C232" s="1" t="s">
        <v>403</v>
      </c>
      <c r="D232" s="1" t="s">
        <v>1170</v>
      </c>
      <c r="E232" s="1" t="s">
        <v>306</v>
      </c>
      <c r="F232" s="195" t="s">
        <v>1628</v>
      </c>
      <c r="G232" s="164" t="str">
        <f>_xlfn.XLOOKUP(ITEquipmentTable[[#This Row],[Name]], IntuneData[Device name], IntuneData[Serial number], "")</f>
        <v>5CG7386T8J</v>
      </c>
      <c r="H232" s="1" t="s">
        <v>384</v>
      </c>
      <c r="J232" s="1" t="s">
        <v>434</v>
      </c>
      <c r="K232" s="154" t="s">
        <v>508</v>
      </c>
      <c r="L232" s="164" t="str">
        <f>_xlfn.LET(
_xlpm.look, _xlfn.XLOOKUP(ITEquipmentTable[[#This Row],[Name]], VNCTable[ClientName], VNCTable[IP], ""),
_xlpm.chkk, IF(ITEquipmentTable[[#This Row],[IPv4 Address]] = "N/A", "N/A", _xlpm.look),
IF(ITEquipmentTable[[#This Row],[Name]] = "", "", _xlpm.chkk))</f>
        <v/>
      </c>
      <c r="M232" s="1" t="s">
        <v>1629</v>
      </c>
      <c r="N232" s="161" t="str">
        <f>_xlfn.LET(_xlpm.emp, IF(_xlfn.XLOOKUP(ITEquipmentTable[[#This Row],[Assigned Employee]], EmployeeTable[name], EmployeeTable[Active], TRUE), "Employee", "Recover"),
IF(ITEquipmentTable[[#This Row],[Storage Location]] = "Assigned to Employee", _xlpm.emp, "N/A"))</f>
        <v>Employee</v>
      </c>
      <c r="O232" s="161" t="str" cm="1">
        <f t="array" ref="O23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3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232" s="1" t="s">
        <v>312</v>
      </c>
      <c r="T232" s="194"/>
      <c r="X232" s="1">
        <v>8668</v>
      </c>
      <c r="Y232" s="223" t="s">
        <v>1079</v>
      </c>
      <c r="Z232" s="1" t="b">
        <v>0</v>
      </c>
      <c r="AA232"/>
    </row>
    <row r="233" spans="1:27" s="1" customFormat="1" hidden="1" x14ac:dyDescent="0.2">
      <c r="A233" s="155">
        <v>191</v>
      </c>
      <c r="B233" s="1" t="s">
        <v>294</v>
      </c>
      <c r="C233" s="1" t="s">
        <v>403</v>
      </c>
      <c r="D233" s="1" t="s">
        <v>1175</v>
      </c>
      <c r="E233" s="1" t="s">
        <v>306</v>
      </c>
      <c r="F233" s="195" t="s">
        <v>1630</v>
      </c>
      <c r="G233" s="159" t="str">
        <f>_xlfn.XLOOKUP(ITEquipmentTable[[#This Row],[Name]], IntuneData[Device name], IntuneData[Serial number], "")</f>
        <v/>
      </c>
      <c r="H233" s="1" t="s">
        <v>302</v>
      </c>
      <c r="K233" s="154" t="s">
        <v>226</v>
      </c>
      <c r="L233" s="159" t="str">
        <f>_xlfn.LET(
_xlpm.look, _xlfn.XLOOKUP(ITEquipmentTable[[#This Row],[Name]], VNCTable[ClientName], VNCTable[IP], ""),
_xlpm.chkk, IF(ITEquipmentTable[[#This Row],[IPv4 Address]] = "N/A", "N/A", _xlpm.look),
IF(ITEquipmentTable[[#This Row],[Name]] = "", "", _xlpm.chkk))</f>
        <v>N/A</v>
      </c>
      <c r="M233" s="1" t="s">
        <v>1631</v>
      </c>
      <c r="N233" s="159" t="str">
        <f>_xlfn.LET(_xlpm.emp, IF(_xlfn.XLOOKUP(ITEquipmentTable[[#This Row],[Assigned Employee]], EmployeeTable[name], EmployeeTable[Active], TRUE), "Employee", "Recover"),
IF(ITEquipmentTable[[#This Row],[Storage Location]] = "Assigned to Employee", _xlpm.emp, "N/A"))</f>
        <v>N/A</v>
      </c>
      <c r="O233" s="159" t="str" cm="1">
        <f t="array" ref="O23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23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233" s="189" t="s">
        <v>312</v>
      </c>
      <c r="T233" s="194"/>
      <c r="X233" s="1">
        <v>8669</v>
      </c>
      <c r="Y233" s="223" t="s">
        <v>1080</v>
      </c>
      <c r="Z233" s="1" t="b">
        <v>0</v>
      </c>
      <c r="AA233"/>
    </row>
    <row r="234" spans="1:27" s="1" customFormat="1" hidden="1" x14ac:dyDescent="0.2">
      <c r="A234" s="155">
        <v>555</v>
      </c>
      <c r="B234" s="1" t="s">
        <v>294</v>
      </c>
      <c r="C234" s="1" t="s">
        <v>403</v>
      </c>
      <c r="E234" s="1" t="s">
        <v>306</v>
      </c>
      <c r="F234" s="195"/>
      <c r="G234" s="164" t="str">
        <f>_xlfn.XLOOKUP(ITEquipmentTable[[#This Row],[Name]], IntuneData[Device name], IntuneData[Serial number], "")</f>
        <v/>
      </c>
      <c r="H234" s="1" t="s">
        <v>384</v>
      </c>
      <c r="I234" s="192"/>
      <c r="J234" s="192" t="s">
        <v>571</v>
      </c>
      <c r="K234" s="154" t="s">
        <v>508</v>
      </c>
      <c r="L234" s="164" t="str">
        <f>_xlfn.LET(
_xlpm.look, _xlfn.XLOOKUP(ITEquipmentTable[[#This Row],[Name]], VNCTable[ClientName], VNCTable[IP], ""),
_xlpm.chkk, IF(ITEquipmentTable[[#This Row],[IPv4 Address]] = "N/A", "N/A", _xlpm.look),
IF(ITEquipmentTable[[#This Row],[Name]] = "", "", _xlpm.chkk))</f>
        <v/>
      </c>
      <c r="M234" s="1" t="s">
        <v>1633</v>
      </c>
      <c r="N234" s="159" t="str">
        <f>_xlfn.LET(_xlpm.emp, IF(_xlfn.XLOOKUP(ITEquipmentTable[[#This Row],[Assigned Employee]], EmployeeTable[name], EmployeeTable[Active], TRUE), "Employee", "Recover"),
IF(ITEquipmentTable[[#This Row],[Storage Location]] = "Assigned to Employee", _xlpm.emp, "N/A"))</f>
        <v>Employee</v>
      </c>
      <c r="O234" s="159" t="str" cm="1">
        <f t="array" ref="O23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3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34" s="1" t="s">
        <v>298</v>
      </c>
      <c r="T234" s="194"/>
      <c r="X234" s="1">
        <v>8670</v>
      </c>
      <c r="Y234" s="223" t="s">
        <v>1081</v>
      </c>
      <c r="Z234" s="1" t="b">
        <v>0</v>
      </c>
      <c r="AA234"/>
    </row>
    <row r="235" spans="1:27" s="1" customFormat="1" hidden="1" x14ac:dyDescent="0.2">
      <c r="A235" s="155">
        <v>192</v>
      </c>
      <c r="B235" s="189" t="s">
        <v>294</v>
      </c>
      <c r="C235" s="189" t="s">
        <v>403</v>
      </c>
      <c r="D235" s="1" t="s">
        <v>1170</v>
      </c>
      <c r="E235" s="189" t="s">
        <v>306</v>
      </c>
      <c r="F235" s="195" t="s">
        <v>1634</v>
      </c>
      <c r="G235" s="159" t="str">
        <f>_xlfn.XLOOKUP(ITEquipmentTable[[#This Row],[Name]], IntuneData[Device name], IntuneData[Serial number], "")</f>
        <v>5CG8034QYZ</v>
      </c>
      <c r="H235" s="1" t="s">
        <v>384</v>
      </c>
      <c r="I235" s="189"/>
      <c r="J235" s="189" t="s">
        <v>496</v>
      </c>
      <c r="K235" s="154" t="s">
        <v>508</v>
      </c>
      <c r="L235" s="159" t="str">
        <f>_xlfn.LET(
_xlpm.look, _xlfn.XLOOKUP(ITEquipmentTable[[#This Row],[Name]], VNCTable[ClientName], VNCTable[IP], ""),
_xlpm.chkk, IF(ITEquipmentTable[[#This Row],[IPv4 Address]] = "N/A", "N/A", _xlpm.look),
IF(ITEquipmentTable[[#This Row],[Name]] = "", "", _xlpm.chkk))</f>
        <v/>
      </c>
      <c r="M235" s="189" t="s">
        <v>1635</v>
      </c>
      <c r="N235" s="159" t="str">
        <f>_xlfn.LET(_xlpm.emp, IF(_xlfn.XLOOKUP(ITEquipmentTable[[#This Row],[Assigned Employee]], EmployeeTable[name], EmployeeTable[Active], TRUE), "Employee", "Recover"),
IF(ITEquipmentTable[[#This Row],[Storage Location]] = "Assigned to Employee", _xlpm.emp, "N/A"))</f>
        <v>Employee</v>
      </c>
      <c r="O235" s="159" t="str" cm="1">
        <f t="array" ref="O23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23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235" s="193"/>
      <c r="R235" s="189" t="s">
        <v>312</v>
      </c>
      <c r="S235" s="189"/>
      <c r="T235" s="194"/>
      <c r="X235" s="1">
        <v>8671</v>
      </c>
      <c r="Y235" s="223" t="s">
        <v>1084</v>
      </c>
      <c r="Z235" s="1" t="b">
        <v>0</v>
      </c>
      <c r="AA235"/>
    </row>
    <row r="236" spans="1:27" s="1" customFormat="1" hidden="1" x14ac:dyDescent="0.2">
      <c r="A236" s="155">
        <v>643</v>
      </c>
      <c r="B236" s="1" t="s">
        <v>294</v>
      </c>
      <c r="C236" s="189" t="s">
        <v>403</v>
      </c>
      <c r="E236" s="189" t="s">
        <v>306</v>
      </c>
      <c r="F236" s="195" t="s">
        <v>3125</v>
      </c>
      <c r="G236" s="164" t="str">
        <f>_xlfn.XLOOKUP(ITEquipmentTable[[#This Row],[Name]], IntuneData[Device name], IntuneData[Serial number], "")</f>
        <v>5CD224JFCF</v>
      </c>
      <c r="K236" s="154" t="s">
        <v>508</v>
      </c>
      <c r="L236" s="164" t="str">
        <f>_xlfn.LET(
_xlpm.look, _xlfn.XLOOKUP(ITEquipmentTable[[#This Row],[Name]], VNCTable[ClientName], VNCTable[IP], ""),
_xlpm.chkk, IF(ITEquipmentTable[[#This Row],[IPv4 Address]] = "N/A", "N/A", _xlpm.look),
IF(ITEquipmentTable[[#This Row],[Name]] = "", "", _xlpm.chkk))</f>
        <v/>
      </c>
      <c r="M236" s="1" t="s">
        <v>1636</v>
      </c>
      <c r="N236" s="159" t="str">
        <f>_xlfn.LET(_xlpm.emp, IF(_xlfn.XLOOKUP(ITEquipmentTable[[#This Row],[Assigned Employee]], EmployeeTable[name], EmployeeTable[Active], TRUE), "Employee", "Recover"),
IF(ITEquipmentTable[[#This Row],[Storage Location]] = "Assigned to Employee", _xlpm.emp, "N/A"))</f>
        <v>N/A</v>
      </c>
      <c r="O236" s="161" t="str" cm="1">
        <f t="array" ref="O23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3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36" s="1" t="s">
        <v>298</v>
      </c>
      <c r="T236" s="194"/>
      <c r="X236" s="1">
        <v>8672</v>
      </c>
      <c r="Y236" s="223" t="s">
        <v>1086</v>
      </c>
      <c r="Z236" s="1" t="b">
        <v>0</v>
      </c>
      <c r="AA236"/>
    </row>
    <row r="237" spans="1:27" s="1" customFormat="1" hidden="1" x14ac:dyDescent="0.2">
      <c r="A237" s="155">
        <v>644</v>
      </c>
      <c r="B237" s="1" t="s">
        <v>294</v>
      </c>
      <c r="C237" s="189" t="s">
        <v>403</v>
      </c>
      <c r="D237" s="1" t="s">
        <v>1155</v>
      </c>
      <c r="E237" s="189" t="s">
        <v>306</v>
      </c>
      <c r="F237" s="195" t="s">
        <v>1420</v>
      </c>
      <c r="G237" s="164" t="str">
        <f>_xlfn.XLOOKUP(ITEquipmentTable[[#This Row],[Name]], IntuneData[Device name], IntuneData[Serial number], "")</f>
        <v>5CG9152MTP</v>
      </c>
      <c r="K237" s="154" t="s">
        <v>508</v>
      </c>
      <c r="L237" s="164" t="str">
        <f>_xlfn.LET(
_xlpm.look, _xlfn.XLOOKUP(ITEquipmentTable[[#This Row],[Name]], VNCTable[ClientName], VNCTable[IP], ""),
_xlpm.chkk, IF(ITEquipmentTable[[#This Row],[IPv4 Address]] = "N/A", "N/A", _xlpm.look),
IF(ITEquipmentTable[[#This Row],[Name]] = "", "", _xlpm.chkk))</f>
        <v/>
      </c>
      <c r="M237" s="1" t="s">
        <v>1637</v>
      </c>
      <c r="N237" s="159" t="str">
        <f>_xlfn.LET(_xlpm.emp, IF(_xlfn.XLOOKUP(ITEquipmentTable[[#This Row],[Assigned Employee]], EmployeeTable[name], EmployeeTable[Active], TRUE), "Employee", "Recover"),
IF(ITEquipmentTable[[#This Row],[Storage Location]] = "Assigned to Employee", _xlpm.emp, "N/A"))</f>
        <v>N/A</v>
      </c>
      <c r="O237" s="161" t="str" cm="1">
        <f t="array" ref="O23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3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37" s="1" t="s">
        <v>3327</v>
      </c>
      <c r="T237" s="194"/>
      <c r="X237" s="1">
        <v>8673</v>
      </c>
      <c r="Y237" s="223" t="s">
        <v>1088</v>
      </c>
      <c r="Z237" s="1" t="b">
        <v>0</v>
      </c>
      <c r="AA237"/>
    </row>
    <row r="238" spans="1:27" s="1" customFormat="1" hidden="1" x14ac:dyDescent="0.2">
      <c r="A238" s="155">
        <v>645</v>
      </c>
      <c r="B238" s="1" t="s">
        <v>294</v>
      </c>
      <c r="C238" s="189" t="s">
        <v>403</v>
      </c>
      <c r="E238" s="189" t="s">
        <v>306</v>
      </c>
      <c r="F238" s="195" t="s">
        <v>3133</v>
      </c>
      <c r="G238" s="164" t="str">
        <f>_xlfn.XLOOKUP(ITEquipmentTable[[#This Row],[Name]], IntuneData[Device name], IntuneData[Serial number], "")</f>
        <v>003047920853</v>
      </c>
      <c r="K238" s="154" t="s">
        <v>508</v>
      </c>
      <c r="L238" s="164" t="str">
        <f>_xlfn.LET(
_xlpm.look, _xlfn.XLOOKUP(ITEquipmentTable[[#This Row],[Name]], VNCTable[ClientName], VNCTable[IP], ""),
_xlpm.chkk, IF(ITEquipmentTable[[#This Row],[IPv4 Address]] = "N/A", "N/A", _xlpm.look),
IF(ITEquipmentTable[[#This Row],[Name]] = "", "", _xlpm.chkk))</f>
        <v/>
      </c>
      <c r="M238" s="1" t="s">
        <v>1638</v>
      </c>
      <c r="N238" s="159" t="str">
        <f>_xlfn.LET(_xlpm.emp, IF(_xlfn.XLOOKUP(ITEquipmentTable[[#This Row],[Assigned Employee]], EmployeeTable[name], EmployeeTable[Active], TRUE), "Employee", "Recover"),
IF(ITEquipmentTable[[#This Row],[Storage Location]] = "Assigned to Employee", _xlpm.emp, "N/A"))</f>
        <v>N/A</v>
      </c>
      <c r="O238" s="161" t="str" cm="1">
        <f t="array" ref="O23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3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38" s="1" t="s">
        <v>298</v>
      </c>
      <c r="T238" s="194"/>
      <c r="X238" s="1">
        <v>8675</v>
      </c>
      <c r="Y238" s="223" t="s">
        <v>1090</v>
      </c>
      <c r="Z238" s="1" t="b">
        <v>0</v>
      </c>
      <c r="AA238"/>
    </row>
    <row r="239" spans="1:27" s="1" customFormat="1" hidden="1" x14ac:dyDescent="0.2">
      <c r="A239" s="155">
        <v>646</v>
      </c>
      <c r="B239" s="1" t="s">
        <v>294</v>
      </c>
      <c r="C239" s="189" t="s">
        <v>403</v>
      </c>
      <c r="E239" s="189" t="s">
        <v>306</v>
      </c>
      <c r="F239" s="195" t="s">
        <v>3139</v>
      </c>
      <c r="G239" s="164" t="str">
        <f>_xlfn.XLOOKUP(ITEquipmentTable[[#This Row],[Name]], IntuneData[Device name], IntuneData[Serial number], "")</f>
        <v>5CD224JF9C</v>
      </c>
      <c r="K239" s="154" t="s">
        <v>508</v>
      </c>
      <c r="L239" s="164" t="str">
        <f>_xlfn.LET(
_xlpm.look, _xlfn.XLOOKUP(ITEquipmentTable[[#This Row],[Name]], VNCTable[ClientName], VNCTable[IP], ""),
_xlpm.chkk, IF(ITEquipmentTable[[#This Row],[IPv4 Address]] = "N/A", "N/A", _xlpm.look),
IF(ITEquipmentTable[[#This Row],[Name]] = "", "", _xlpm.chkk))</f>
        <v/>
      </c>
      <c r="M239" s="1" t="s">
        <v>1639</v>
      </c>
      <c r="N239" s="159" t="str">
        <f>_xlfn.LET(_xlpm.emp, IF(_xlfn.XLOOKUP(ITEquipmentTable[[#This Row],[Assigned Employee]], EmployeeTable[name], EmployeeTable[Active], TRUE), "Employee", "Recover"),
IF(ITEquipmentTable[[#This Row],[Storage Location]] = "Assigned to Employee", _xlpm.emp, "N/A"))</f>
        <v>N/A</v>
      </c>
      <c r="O239" s="161" t="str" cm="1">
        <f t="array" ref="O23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3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39" s="1" t="s">
        <v>298</v>
      </c>
      <c r="T239" s="194"/>
      <c r="X239" s="1">
        <v>8676</v>
      </c>
      <c r="Y239" s="223" t="s">
        <v>1093</v>
      </c>
      <c r="Z239" s="1" t="b">
        <v>0</v>
      </c>
      <c r="AA239"/>
    </row>
    <row r="240" spans="1:27" s="1" customFormat="1" hidden="1" x14ac:dyDescent="0.2">
      <c r="A240" s="155">
        <v>193</v>
      </c>
      <c r="B240" s="189" t="s">
        <v>294</v>
      </c>
      <c r="C240" s="189" t="s">
        <v>403</v>
      </c>
      <c r="D240" s="1" t="s">
        <v>1155</v>
      </c>
      <c r="E240" s="189" t="s">
        <v>306</v>
      </c>
      <c r="F240" s="195" t="s">
        <v>1722</v>
      </c>
      <c r="G240" s="159" t="str">
        <f>_xlfn.XLOOKUP(ITEquipmentTable[[#This Row],[Name]], IntuneData[Device name], IntuneData[Serial number], "")</f>
        <v>5CG90433VF</v>
      </c>
      <c r="H240" s="1" t="s">
        <v>384</v>
      </c>
      <c r="I240" s="189"/>
      <c r="J240" s="189" t="s">
        <v>613</v>
      </c>
      <c r="K240" s="154" t="s">
        <v>508</v>
      </c>
      <c r="L240" s="159" t="str">
        <f>_xlfn.LET(
_xlpm.look, _xlfn.XLOOKUP(ITEquipmentTable[[#This Row],[Name]], VNCTable[ClientName], VNCTable[IP], ""),
_xlpm.chkk, IF(ITEquipmentTable[[#This Row],[IPv4 Address]] = "N/A", "N/A", _xlpm.look),
IF(ITEquipmentTable[[#This Row],[Name]] = "", "", _xlpm.chkk))</f>
        <v/>
      </c>
      <c r="M240" s="189" t="s">
        <v>1640</v>
      </c>
      <c r="N240" s="159" t="str">
        <f>_xlfn.LET(_xlpm.emp, IF(_xlfn.XLOOKUP(ITEquipmentTable[[#This Row],[Assigned Employee]], EmployeeTable[name], EmployeeTable[Active], TRUE), "Employee", "Recover"),
IF(ITEquipmentTable[[#This Row],[Storage Location]] = "Assigned to Employee", _xlpm.emp, "N/A"))</f>
        <v>Employee</v>
      </c>
      <c r="O240" s="159" t="str" cm="1">
        <f t="array" ref="O24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4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240" s="193"/>
      <c r="R240" s="189" t="s">
        <v>312</v>
      </c>
      <c r="S240" s="189"/>
      <c r="T240" s="194"/>
      <c r="X240" s="1">
        <v>8677</v>
      </c>
      <c r="Y240" s="223" t="s">
        <v>1094</v>
      </c>
      <c r="Z240" s="1" t="b">
        <v>0</v>
      </c>
      <c r="AA240"/>
    </row>
    <row r="241" spans="1:27" s="1" customFormat="1" hidden="1" x14ac:dyDescent="0.2">
      <c r="A241" s="155">
        <v>525</v>
      </c>
      <c r="B241" s="1" t="s">
        <v>294</v>
      </c>
      <c r="C241" s="1" t="s">
        <v>403</v>
      </c>
      <c r="E241" s="1" t="s">
        <v>306</v>
      </c>
      <c r="F241" s="195" t="s">
        <v>3146</v>
      </c>
      <c r="G241" s="164" t="str">
        <f>_xlfn.XLOOKUP(ITEquipmentTable[[#This Row],[Name]], IntuneData[Device name], IntuneData[Serial number], "")</f>
        <v>5CD224JDPR</v>
      </c>
      <c r="H241" s="1" t="s">
        <v>384</v>
      </c>
      <c r="J241" s="1" t="s">
        <v>1641</v>
      </c>
      <c r="K241" s="154" t="s">
        <v>508</v>
      </c>
      <c r="L241" s="164" t="str">
        <f>_xlfn.LET(
_xlpm.look, _xlfn.XLOOKUP(ITEquipmentTable[[#This Row],[Name]], VNCTable[ClientName], VNCTable[IP], ""),
_xlpm.chkk, IF(ITEquipmentTable[[#This Row],[IPv4 Address]] = "N/A", "N/A", _xlpm.look),
IF(ITEquipmentTable[[#This Row],[Name]] = "", "", _xlpm.chkk))</f>
        <v/>
      </c>
      <c r="M241" s="1" t="s">
        <v>1642</v>
      </c>
      <c r="N241" s="159" t="str">
        <f>_xlfn.LET(_xlpm.emp, IF(_xlfn.XLOOKUP(ITEquipmentTable[[#This Row],[Assigned Employee]], EmployeeTable[name], EmployeeTable[Active], TRUE), "Employee", "Recover"),
IF(ITEquipmentTable[[#This Row],[Storage Location]] = "Assigned to Employee", _xlpm.emp, "N/A"))</f>
        <v>Employee</v>
      </c>
      <c r="O241" s="159" t="str" cm="1">
        <f t="array" ref="O24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4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241" s="1" t="s">
        <v>312</v>
      </c>
      <c r="S241" s="1" t="s">
        <v>313</v>
      </c>
      <c r="T241" s="194"/>
      <c r="X241" s="1">
        <v>8678</v>
      </c>
      <c r="Y241" s="223" t="s">
        <v>1096</v>
      </c>
      <c r="Z241" s="1" t="b">
        <v>0</v>
      </c>
      <c r="AA241"/>
    </row>
    <row r="242" spans="1:27" s="1" customFormat="1" hidden="1" x14ac:dyDescent="0.2">
      <c r="A242" s="155">
        <v>647</v>
      </c>
      <c r="B242" s="1" t="s">
        <v>294</v>
      </c>
      <c r="C242" s="1" t="s">
        <v>403</v>
      </c>
      <c r="E242" s="1" t="s">
        <v>306</v>
      </c>
      <c r="F242" s="195" t="s">
        <v>3150</v>
      </c>
      <c r="G242" s="164" t="str">
        <f>_xlfn.XLOOKUP(ITEquipmentTable[[#This Row],[Name]], IntuneData[Device name], IntuneData[Serial number], "")</f>
        <v>5CG0254210</v>
      </c>
      <c r="K242" s="154" t="s">
        <v>508</v>
      </c>
      <c r="L242" s="164" t="str">
        <f>_xlfn.LET(
_xlpm.look, _xlfn.XLOOKUP(ITEquipmentTable[[#This Row],[Name]], VNCTable[ClientName], VNCTable[IP], ""),
_xlpm.chkk, IF(ITEquipmentTable[[#This Row],[IPv4 Address]] = "N/A", "N/A", _xlpm.look),
IF(ITEquipmentTable[[#This Row],[Name]] = "", "", _xlpm.chkk))</f>
        <v/>
      </c>
      <c r="M242" s="1" t="s">
        <v>1643</v>
      </c>
      <c r="N242" s="159" t="str">
        <f>_xlfn.LET(_xlpm.emp, IF(_xlfn.XLOOKUP(ITEquipmentTable[[#This Row],[Assigned Employee]], EmployeeTable[name], EmployeeTable[Active], TRUE), "Employee", "Recover"),
IF(ITEquipmentTable[[#This Row],[Storage Location]] = "Assigned to Employee", _xlpm.emp, "N/A"))</f>
        <v>N/A</v>
      </c>
      <c r="O242" s="161" t="str" cm="1">
        <f t="array" ref="O24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4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42" s="1" t="s">
        <v>298</v>
      </c>
      <c r="T242" s="194"/>
      <c r="X242" s="1">
        <v>8679</v>
      </c>
      <c r="Y242" s="223" t="s">
        <v>1100</v>
      </c>
      <c r="Z242" s="1" t="b">
        <v>0</v>
      </c>
      <c r="AA242"/>
    </row>
    <row r="243" spans="1:27" s="1" customFormat="1" hidden="1" x14ac:dyDescent="0.2">
      <c r="A243" s="155">
        <v>586</v>
      </c>
      <c r="B243" s="1" t="s">
        <v>294</v>
      </c>
      <c r="C243" s="1" t="s">
        <v>403</v>
      </c>
      <c r="E243" s="1" t="s">
        <v>306</v>
      </c>
      <c r="F243" s="195" t="s">
        <v>3121</v>
      </c>
      <c r="G243" s="164" t="str">
        <f>_xlfn.XLOOKUP(ITEquipmentTable[[#This Row],[Name]], IntuneData[Device name], IntuneData[Serial number], "")</f>
        <v>5CG0156QCT</v>
      </c>
      <c r="H243" s="1" t="s">
        <v>384</v>
      </c>
      <c r="I243" s="192"/>
      <c r="J243" s="192" t="s">
        <v>432</v>
      </c>
      <c r="K243" s="154" t="s">
        <v>508</v>
      </c>
      <c r="L243" s="164" t="str">
        <f>_xlfn.LET(
_xlpm.look, _xlfn.XLOOKUP(ITEquipmentTable[[#This Row],[Name]], VNCTable[ClientName], VNCTable[IP], ""),
_xlpm.chkk, IF(ITEquipmentTable[[#This Row],[IPv4 Address]] = "N/A", "N/A", _xlpm.look),
IF(ITEquipmentTable[[#This Row],[Name]] = "", "", _xlpm.chkk))</f>
        <v/>
      </c>
      <c r="M243" s="1" t="s">
        <v>1644</v>
      </c>
      <c r="N243" s="159" t="str">
        <f>_xlfn.LET(_xlpm.emp, IF(_xlfn.XLOOKUP(ITEquipmentTable[[#This Row],[Assigned Employee]], EmployeeTable[name], EmployeeTable[Active], TRUE), "Employee", "Recover"),
IF(ITEquipmentTable[[#This Row],[Storage Location]] = "Assigned to Employee", _xlpm.emp, "N/A"))</f>
        <v>Employee</v>
      </c>
      <c r="O243" s="159" t="str" cm="1">
        <f t="array" ref="O24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4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243" s="189"/>
      <c r="S243" s="1" t="s">
        <v>298</v>
      </c>
      <c r="T243" s="194"/>
      <c r="X243" s="1">
        <v>8680</v>
      </c>
      <c r="Y243" s="223" t="s">
        <v>1103</v>
      </c>
      <c r="Z243" s="1" t="b">
        <v>0</v>
      </c>
      <c r="AA243"/>
    </row>
    <row r="244" spans="1:27" s="1" customFormat="1" hidden="1" x14ac:dyDescent="0.2">
      <c r="A244" s="155">
        <v>561</v>
      </c>
      <c r="B244" s="1" t="s">
        <v>294</v>
      </c>
      <c r="C244" s="1" t="s">
        <v>403</v>
      </c>
      <c r="D244" s="1" t="s">
        <v>1179</v>
      </c>
      <c r="E244" s="1" t="s">
        <v>306</v>
      </c>
      <c r="F244" s="195" t="s">
        <v>1645</v>
      </c>
      <c r="G244" s="164" t="str">
        <f>_xlfn.XLOOKUP(ITEquipmentTable[[#This Row],[Name]], IntuneData[Device name], IntuneData[Serial number], "")</f>
        <v/>
      </c>
      <c r="K244" s="154" t="s">
        <v>508</v>
      </c>
      <c r="L244" s="164" t="str">
        <f>_xlfn.LET(
_xlpm.look, _xlfn.XLOOKUP(ITEquipmentTable[[#This Row],[Name]], VNCTable[ClientName], VNCTable[IP], ""),
_xlpm.chkk, IF(ITEquipmentTable[[#This Row],[IPv4 Address]] = "N/A", "N/A", _xlpm.look),
IF(ITEquipmentTable[[#This Row],[Name]] = "", "", _xlpm.chkk))</f>
        <v/>
      </c>
      <c r="M244" s="1" t="s">
        <v>1646</v>
      </c>
      <c r="N244" s="159" t="str">
        <f>_xlfn.LET(_xlpm.emp, IF(_xlfn.XLOOKUP(ITEquipmentTable[[#This Row],[Assigned Employee]], EmployeeTable[name], EmployeeTable[Active], TRUE), "Employee", "Recover"),
IF(ITEquipmentTable[[#This Row],[Storage Location]] = "Assigned to Employee", _xlpm.emp, "N/A"))</f>
        <v>N/A</v>
      </c>
      <c r="O244" s="159" t="str" cm="1">
        <f t="array" ref="O24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24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244" s="1" t="s">
        <v>312</v>
      </c>
      <c r="T244" s="194"/>
      <c r="X244" s="1">
        <v>8681</v>
      </c>
      <c r="Y244" s="223" t="s">
        <v>1104</v>
      </c>
      <c r="Z244" s="1" t="b">
        <v>0</v>
      </c>
      <c r="AA244"/>
    </row>
    <row r="245" spans="1:27" s="1" customFormat="1" hidden="1" x14ac:dyDescent="0.2">
      <c r="A245" s="155">
        <v>562</v>
      </c>
      <c r="B245" s="1" t="s">
        <v>294</v>
      </c>
      <c r="C245" s="1" t="s">
        <v>403</v>
      </c>
      <c r="D245" s="1" t="s">
        <v>1647</v>
      </c>
      <c r="E245" s="1" t="s">
        <v>306</v>
      </c>
      <c r="F245" s="195"/>
      <c r="G245" s="164" t="str">
        <f>_xlfn.XLOOKUP(ITEquipmentTable[[#This Row],[Name]], IntuneData[Device name], IntuneData[Serial number], "")</f>
        <v/>
      </c>
      <c r="H245" s="1" t="s">
        <v>318</v>
      </c>
      <c r="K245" s="154" t="s">
        <v>508</v>
      </c>
      <c r="L245" s="164" t="str">
        <f>_xlfn.LET(
_xlpm.look, _xlfn.XLOOKUP(ITEquipmentTable[[#This Row],[Name]], VNCTable[ClientName], VNCTable[IP], ""),
_xlpm.chkk, IF(ITEquipmentTable[[#This Row],[IPv4 Address]] = "N/A", "N/A", _xlpm.look),
IF(ITEquipmentTable[[#This Row],[Name]] = "", "", _xlpm.chkk))</f>
        <v/>
      </c>
      <c r="M245" s="1" t="s">
        <v>1648</v>
      </c>
      <c r="N245" s="159" t="str">
        <f>_xlfn.LET(_xlpm.emp, IF(_xlfn.XLOOKUP(ITEquipmentTable[[#This Row],[Assigned Employee]], EmployeeTable[name], EmployeeTable[Active], TRUE), "Employee", "Recover"),
IF(ITEquipmentTable[[#This Row],[Storage Location]] = "Assigned to Employee", _xlpm.emp, "N/A"))</f>
        <v>N/A</v>
      </c>
      <c r="O245" s="159" t="str" cm="1">
        <f t="array" ref="O24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LTSB</v>
      </c>
      <c r="P24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45" s="1" t="s">
        <v>298</v>
      </c>
      <c r="T245" s="194"/>
      <c r="X245" s="1">
        <v>8682</v>
      </c>
      <c r="Y245" s="223" t="s">
        <v>1105</v>
      </c>
      <c r="Z245" s="1" t="b">
        <v>0</v>
      </c>
      <c r="AA245"/>
    </row>
    <row r="246" spans="1:27" s="1" customFormat="1" hidden="1" x14ac:dyDescent="0.2">
      <c r="A246" s="155">
        <v>563</v>
      </c>
      <c r="B246" s="1" t="s">
        <v>294</v>
      </c>
      <c r="C246" s="1" t="s">
        <v>403</v>
      </c>
      <c r="E246" s="1" t="s">
        <v>306</v>
      </c>
      <c r="F246" s="195" t="s">
        <v>3155</v>
      </c>
      <c r="G246" s="164" t="str">
        <f>_xlfn.XLOOKUP(ITEquipmentTable[[#This Row],[Name]], IntuneData[Device name], IntuneData[Serial number], "")</f>
        <v>5CD302419D</v>
      </c>
      <c r="H246" s="1" t="s">
        <v>384</v>
      </c>
      <c r="J246" s="1" t="s">
        <v>506</v>
      </c>
      <c r="K246" s="154" t="s">
        <v>508</v>
      </c>
      <c r="L246" s="164" t="str">
        <f>_xlfn.LET(
_xlpm.look, _xlfn.XLOOKUP(ITEquipmentTable[[#This Row],[Name]], VNCTable[ClientName], VNCTable[IP], ""),
_xlpm.chkk, IF(ITEquipmentTable[[#This Row],[IPv4 Address]] = "N/A", "N/A", _xlpm.look),
IF(ITEquipmentTable[[#This Row],[Name]] = "", "", _xlpm.chkk))</f>
        <v/>
      </c>
      <c r="M246" s="1" t="s">
        <v>1649</v>
      </c>
      <c r="N246" s="159" t="str">
        <f>_xlfn.LET(_xlpm.emp, IF(_xlfn.XLOOKUP(ITEquipmentTable[[#This Row],[Assigned Employee]], EmployeeTable[name], EmployeeTable[Active], TRUE), "Employee", "Recover"),
IF(ITEquipmentTable[[#This Row],[Storage Location]] = "Assigned to Employee", _xlpm.emp, "N/A"))</f>
        <v>Employee</v>
      </c>
      <c r="O246" s="159" t="str" cm="1">
        <f t="array" ref="O24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4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46" s="1" t="s">
        <v>298</v>
      </c>
      <c r="T246" s="194"/>
      <c r="X246" s="1">
        <v>8683</v>
      </c>
      <c r="Y246" s="223" t="s">
        <v>1109</v>
      </c>
      <c r="Z246" s="1" t="b">
        <v>0</v>
      </c>
      <c r="AA246"/>
    </row>
    <row r="247" spans="1:27" s="1" customFormat="1" hidden="1" x14ac:dyDescent="0.2">
      <c r="A247" s="155">
        <v>648</v>
      </c>
      <c r="B247" s="1" t="s">
        <v>294</v>
      </c>
      <c r="C247" s="1" t="s">
        <v>403</v>
      </c>
      <c r="E247" s="1" t="s">
        <v>306</v>
      </c>
      <c r="F247" s="195"/>
      <c r="G247" s="164" t="str">
        <f>_xlfn.XLOOKUP(ITEquipmentTable[[#This Row],[Name]], IntuneData[Device name], IntuneData[Serial number], "")</f>
        <v/>
      </c>
      <c r="K247" s="154" t="s">
        <v>508</v>
      </c>
      <c r="L247" s="164" t="str">
        <f>_xlfn.LET(
_xlpm.look, _xlfn.XLOOKUP(ITEquipmentTable[[#This Row],[Name]], VNCTable[ClientName], VNCTable[IP], ""),
_xlpm.chkk, IF(ITEquipmentTable[[#This Row],[IPv4 Address]] = "N/A", "N/A", _xlpm.look),
IF(ITEquipmentTable[[#This Row],[Name]] = "", "", _xlpm.chkk))</f>
        <v/>
      </c>
      <c r="M247" s="1" t="s">
        <v>1650</v>
      </c>
      <c r="N247" s="159" t="str">
        <f>_xlfn.LET(_xlpm.emp, IF(_xlfn.XLOOKUP(ITEquipmentTable[[#This Row],[Assigned Employee]], EmployeeTable[name], EmployeeTable[Active], TRUE), "Employee", "Recover"),
IF(ITEquipmentTable[[#This Row],[Storage Location]] = "Assigned to Employee", _xlpm.emp, "N/A"))</f>
        <v>N/A</v>
      </c>
      <c r="O247" s="161" t="str" cm="1">
        <f t="array" ref="O24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24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47" s="1" t="s">
        <v>298</v>
      </c>
      <c r="T247" s="194"/>
      <c r="X247" s="1">
        <v>8684</v>
      </c>
      <c r="Y247" s="223" t="s">
        <v>1112</v>
      </c>
      <c r="Z247" s="1" t="b">
        <v>0</v>
      </c>
      <c r="AA247"/>
    </row>
    <row r="248" spans="1:27" s="1" customFormat="1" hidden="1" x14ac:dyDescent="0.2">
      <c r="A248" s="155">
        <v>587</v>
      </c>
      <c r="B248" s="1" t="s">
        <v>294</v>
      </c>
      <c r="C248" s="1" t="s">
        <v>403</v>
      </c>
      <c r="E248" s="1" t="s">
        <v>306</v>
      </c>
      <c r="F248" s="195" t="s">
        <v>3163</v>
      </c>
      <c r="G248" s="164" t="str">
        <f>_xlfn.XLOOKUP(ITEquipmentTable[[#This Row],[Name]], IntuneData[Device name], IntuneData[Serial number], "")</f>
        <v>5CD224JF5C</v>
      </c>
      <c r="H248" s="1" t="s">
        <v>384</v>
      </c>
      <c r="J248" s="1" t="s">
        <v>442</v>
      </c>
      <c r="K248" s="154" t="s">
        <v>508</v>
      </c>
      <c r="L248" s="164" t="str">
        <f>_xlfn.LET(
_xlpm.look, _xlfn.XLOOKUP(ITEquipmentTable[[#This Row],[Name]], VNCTable[ClientName], VNCTable[IP], ""),
_xlpm.chkk, IF(ITEquipmentTable[[#This Row],[IPv4 Address]] = "N/A", "N/A", _xlpm.look),
IF(ITEquipmentTable[[#This Row],[Name]] = "", "", _xlpm.chkk))</f>
        <v/>
      </c>
      <c r="M248" s="1" t="s">
        <v>1652</v>
      </c>
      <c r="N248" s="159" t="str">
        <f>_xlfn.LET(_xlpm.emp, IF(_xlfn.XLOOKUP(ITEquipmentTable[[#This Row],[Assigned Employee]], EmployeeTable[name], EmployeeTable[Active], TRUE), "Employee", "Recover"),
IF(ITEquipmentTable[[#This Row],[Storage Location]] = "Assigned to Employee", _xlpm.emp, "N/A"))</f>
        <v>Employee</v>
      </c>
      <c r="O248" s="159" t="str" cm="1">
        <f t="array" ref="O24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24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248" s="189" t="s">
        <v>312</v>
      </c>
      <c r="S248" s="189" t="s">
        <v>313</v>
      </c>
      <c r="T248" s="194"/>
      <c r="X248" s="1">
        <v>8687</v>
      </c>
      <c r="Y248" s="223" t="s">
        <v>1114</v>
      </c>
      <c r="Z248" s="1" t="b">
        <v>0</v>
      </c>
      <c r="AA248"/>
    </row>
    <row r="249" spans="1:27" s="1" customFormat="1" hidden="1" x14ac:dyDescent="0.2">
      <c r="A249" s="155">
        <v>565</v>
      </c>
      <c r="B249" s="1" t="s">
        <v>294</v>
      </c>
      <c r="C249" s="1" t="s">
        <v>403</v>
      </c>
      <c r="E249" s="1" t="s">
        <v>306</v>
      </c>
      <c r="F249" s="195"/>
      <c r="G249" s="164" t="str">
        <f>_xlfn.XLOOKUP(ITEquipmentTable[[#This Row],[Name]], IntuneData[Device name], IntuneData[Serial number], "")</f>
        <v/>
      </c>
      <c r="H249" s="1" t="s">
        <v>384</v>
      </c>
      <c r="J249" s="1" t="s">
        <v>1653</v>
      </c>
      <c r="K249" s="154" t="s">
        <v>508</v>
      </c>
      <c r="L249" s="164" t="str">
        <f>_xlfn.LET(
_xlpm.look, _xlfn.XLOOKUP(ITEquipmentTable[[#This Row],[Name]], VNCTable[ClientName], VNCTable[IP], ""),
_xlpm.chkk, IF(ITEquipmentTable[[#This Row],[IPv4 Address]] = "N/A", "N/A", _xlpm.look),
IF(ITEquipmentTable[[#This Row],[Name]] = "", "", _xlpm.chkk))</f>
        <v/>
      </c>
      <c r="M249" s="1" t="s">
        <v>1654</v>
      </c>
      <c r="N249" s="159" t="str">
        <f>_xlfn.LET(_xlpm.emp, IF(_xlfn.XLOOKUP(ITEquipmentTable[[#This Row],[Assigned Employee]], EmployeeTable[name], EmployeeTable[Active], TRUE), "Employee", "Recover"),
IF(ITEquipmentTable[[#This Row],[Storage Location]] = "Assigned to Employee", _xlpm.emp, "N/A"))</f>
        <v>Employee</v>
      </c>
      <c r="O249" s="159" t="str" cm="1">
        <f t="array" ref="O24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4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49" s="1" t="s">
        <v>298</v>
      </c>
      <c r="T249" s="194"/>
      <c r="X249" s="1">
        <v>8688</v>
      </c>
      <c r="Y249" s="223" t="s">
        <v>1116</v>
      </c>
      <c r="Z249" s="1" t="b">
        <v>0</v>
      </c>
      <c r="AA249"/>
    </row>
    <row r="250" spans="1:27" s="1" customFormat="1" hidden="1" x14ac:dyDescent="0.2">
      <c r="A250" s="155">
        <v>566</v>
      </c>
      <c r="B250" s="1" t="s">
        <v>294</v>
      </c>
      <c r="C250" s="1" t="s">
        <v>403</v>
      </c>
      <c r="E250" s="1" t="s">
        <v>306</v>
      </c>
      <c r="F250" s="195" t="s">
        <v>3167</v>
      </c>
      <c r="G250" s="164" t="str">
        <f>_xlfn.XLOOKUP(ITEquipmentTable[[#This Row],[Name]], IntuneData[Device name], IntuneData[Serial number], "")</f>
        <v>5CD30241BY</v>
      </c>
      <c r="K250" s="154" t="s">
        <v>508</v>
      </c>
      <c r="L250" s="164" t="str">
        <f>_xlfn.LET(
_xlpm.look, _xlfn.XLOOKUP(ITEquipmentTable[[#This Row],[Name]], VNCTable[ClientName], VNCTable[IP], ""),
_xlpm.chkk, IF(ITEquipmentTable[[#This Row],[IPv4 Address]] = "N/A", "N/A", _xlpm.look),
IF(ITEquipmentTable[[#This Row],[Name]] = "", "", _xlpm.chkk))</f>
        <v/>
      </c>
      <c r="M250" s="1" t="s">
        <v>1655</v>
      </c>
      <c r="N250" s="159" t="str">
        <f>_xlfn.LET(_xlpm.emp, IF(_xlfn.XLOOKUP(ITEquipmentTable[[#This Row],[Assigned Employee]], EmployeeTable[name], EmployeeTable[Active], TRUE), "Employee", "Recover"),
IF(ITEquipmentTable[[#This Row],[Storage Location]] = "Assigned to Employee", _xlpm.emp, "N/A"))</f>
        <v>N/A</v>
      </c>
      <c r="O250" s="159" t="str" cm="1">
        <f t="array" ref="O25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5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50" s="1" t="s">
        <v>298</v>
      </c>
      <c r="T250" s="194"/>
      <c r="X250" s="1">
        <v>8690</v>
      </c>
      <c r="Y250" s="223" t="s">
        <v>939</v>
      </c>
      <c r="Z250" s="1" t="b">
        <v>0</v>
      </c>
      <c r="AA250"/>
    </row>
    <row r="251" spans="1:27" s="1" customFormat="1" hidden="1" x14ac:dyDescent="0.2">
      <c r="A251" s="155">
        <v>194</v>
      </c>
      <c r="B251" s="189" t="s">
        <v>294</v>
      </c>
      <c r="C251" s="189" t="s">
        <v>403</v>
      </c>
      <c r="E251" s="189" t="s">
        <v>306</v>
      </c>
      <c r="F251" s="195"/>
      <c r="G251" s="159" t="str">
        <f>_xlfn.XLOOKUP(ITEquipmentTable[[#This Row],[Name]], IntuneData[Device name], IntuneData[Serial number], "")</f>
        <v/>
      </c>
      <c r="H251" s="1" t="s">
        <v>384</v>
      </c>
      <c r="I251" s="189"/>
      <c r="J251" s="189" t="s">
        <v>649</v>
      </c>
      <c r="K251" s="154" t="s">
        <v>508</v>
      </c>
      <c r="L251" s="159" t="str">
        <f>_xlfn.LET(
_xlpm.look, _xlfn.XLOOKUP(ITEquipmentTable[[#This Row],[Name]], VNCTable[ClientName], VNCTable[IP], ""),
_xlpm.chkk, IF(ITEquipmentTable[[#This Row],[IPv4 Address]] = "N/A", "N/A", _xlpm.look),
IF(ITEquipmentTable[[#This Row],[Name]] = "", "", _xlpm.chkk))</f>
        <v/>
      </c>
      <c r="M251" s="189" t="s">
        <v>1656</v>
      </c>
      <c r="N251" s="159" t="str">
        <f>_xlfn.LET(_xlpm.emp, IF(_xlfn.XLOOKUP(ITEquipmentTable[[#This Row],[Assigned Employee]], EmployeeTable[name], EmployeeTable[Active], TRUE), "Employee", "Recover"),
IF(ITEquipmentTable[[#This Row],[Storage Location]] = "Assigned to Employee", _xlpm.emp, "N/A"))</f>
        <v>Employee</v>
      </c>
      <c r="O251" s="159" t="str" cm="1">
        <f t="array" ref="O25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5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51" s="193"/>
      <c r="R251" s="189" t="s">
        <v>312</v>
      </c>
      <c r="S251" s="189" t="s">
        <v>313</v>
      </c>
      <c r="T251" s="194"/>
      <c r="X251" s="1">
        <v>8691</v>
      </c>
      <c r="Y251" s="223" t="s">
        <v>1121</v>
      </c>
      <c r="Z251" s="1" t="b">
        <v>0</v>
      </c>
      <c r="AA251"/>
    </row>
    <row r="252" spans="1:27" s="1" customFormat="1" hidden="1" x14ac:dyDescent="0.2">
      <c r="A252" s="155">
        <v>568</v>
      </c>
      <c r="B252" s="1" t="s">
        <v>294</v>
      </c>
      <c r="C252" s="1" t="s">
        <v>403</v>
      </c>
      <c r="E252" s="1" t="s">
        <v>306</v>
      </c>
      <c r="F252" s="195"/>
      <c r="G252" s="164" t="str">
        <f>_xlfn.XLOOKUP(ITEquipmentTable[[#This Row],[Name]], IntuneData[Device name], IntuneData[Serial number], "")</f>
        <v/>
      </c>
      <c r="K252" s="154" t="s">
        <v>508</v>
      </c>
      <c r="L252" s="164" t="str">
        <f>_xlfn.LET(
_xlpm.look, _xlfn.XLOOKUP(ITEquipmentTable[[#This Row],[Name]], VNCTable[ClientName], VNCTable[IP], ""),
_xlpm.chkk, IF(ITEquipmentTable[[#This Row],[IPv4 Address]] = "N/A", "N/A", _xlpm.look),
IF(ITEquipmentTable[[#This Row],[Name]] = "", "", _xlpm.chkk))</f>
        <v/>
      </c>
      <c r="M252" s="1" t="s">
        <v>1657</v>
      </c>
      <c r="N252" s="159" t="str">
        <f>_xlfn.LET(_xlpm.emp, IF(_xlfn.XLOOKUP(ITEquipmentTable[[#This Row],[Assigned Employee]], EmployeeTable[name], EmployeeTable[Active], TRUE), "Employee", "Recover"),
IF(ITEquipmentTable[[#This Row],[Storage Location]] = "Assigned to Employee", _xlpm.emp, "N/A"))</f>
        <v>N/A</v>
      </c>
      <c r="O252" s="159" t="str" cm="1">
        <f t="array" ref="O25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25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52" s="1" t="s">
        <v>298</v>
      </c>
      <c r="T252" s="194"/>
      <c r="X252" s="1">
        <v>8692</v>
      </c>
      <c r="Y252" s="223" t="s">
        <v>1123</v>
      </c>
      <c r="Z252" s="1" t="b">
        <v>0</v>
      </c>
      <c r="AA252"/>
    </row>
    <row r="253" spans="1:27" s="1" customFormat="1" hidden="1" x14ac:dyDescent="0.2">
      <c r="A253" s="217">
        <v>588</v>
      </c>
      <c r="B253" s="189" t="s">
        <v>294</v>
      </c>
      <c r="C253" s="189" t="s">
        <v>403</v>
      </c>
      <c r="E253" s="1" t="s">
        <v>306</v>
      </c>
      <c r="F253" s="195"/>
      <c r="G253" s="164" t="str">
        <f>_xlfn.XLOOKUP(ITEquipmentTable[[#This Row],[Name]], IntuneData[Device name], IntuneData[Serial number], "")</f>
        <v/>
      </c>
      <c r="H253" s="1" t="s">
        <v>384</v>
      </c>
      <c r="J253" s="1" t="s">
        <v>369</v>
      </c>
      <c r="K253" s="154" t="s">
        <v>508</v>
      </c>
      <c r="L253" s="164" t="str">
        <f>_xlfn.LET(
_xlpm.look, _xlfn.XLOOKUP(ITEquipmentTable[[#This Row],[Name]], VNCTable[ClientName], VNCTable[IP], ""),
_xlpm.chkk, IF(ITEquipmentTable[[#This Row],[IPv4 Address]] = "N/A", "N/A", _xlpm.look),
IF(ITEquipmentTable[[#This Row],[Name]] = "", "", _xlpm.chkk))</f>
        <v/>
      </c>
      <c r="M253" s="1" t="s">
        <v>1658</v>
      </c>
      <c r="N253" s="159" t="str">
        <f>_xlfn.LET(_xlpm.emp, IF(_xlfn.XLOOKUP(ITEquipmentTable[[#This Row],[Assigned Employee]], EmployeeTable[name], EmployeeTable[Active], TRUE), "Employee", "Recover"),
IF(ITEquipmentTable[[#This Row],[Storage Location]] = "Assigned to Employee", _xlpm.emp, "N/A"))</f>
        <v>Employee</v>
      </c>
      <c r="O253" s="159" t="str" cm="1">
        <f t="array" ref="O25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25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253" s="189"/>
      <c r="S253" s="1" t="s">
        <v>313</v>
      </c>
      <c r="T253" s="194"/>
      <c r="X253" s="1">
        <v>8694</v>
      </c>
      <c r="Y253" s="223" t="s">
        <v>1127</v>
      </c>
      <c r="Z253" s="1" t="b">
        <v>0</v>
      </c>
      <c r="AA253"/>
    </row>
    <row r="254" spans="1:27" s="1" customFormat="1" hidden="1" x14ac:dyDescent="0.2">
      <c r="A254" s="155">
        <v>649</v>
      </c>
      <c r="B254" s="1" t="s">
        <v>294</v>
      </c>
      <c r="C254" s="1" t="s">
        <v>403</v>
      </c>
      <c r="E254" s="1" t="s">
        <v>306</v>
      </c>
      <c r="F254" s="195" t="s">
        <v>3177</v>
      </c>
      <c r="G254" s="164" t="str">
        <f>_xlfn.XLOOKUP(ITEquipmentTable[[#This Row],[Name]], IntuneData[Device name], IntuneData[Serial number], "")</f>
        <v>5CD302413H</v>
      </c>
      <c r="K254" s="154" t="s">
        <v>508</v>
      </c>
      <c r="L254" s="164" t="str">
        <f>_xlfn.LET(
_xlpm.look, _xlfn.XLOOKUP(ITEquipmentTable[[#This Row],[Name]], VNCTable[ClientName], VNCTable[IP], ""),
_xlpm.chkk, IF(ITEquipmentTable[[#This Row],[IPv4 Address]] = "N/A", "N/A", _xlpm.look),
IF(ITEquipmentTable[[#This Row],[Name]] = "", "", _xlpm.chkk))</f>
        <v/>
      </c>
      <c r="M254" s="1" t="s">
        <v>1662</v>
      </c>
      <c r="N254" s="159" t="str">
        <f>_xlfn.LET(_xlpm.emp, IF(_xlfn.XLOOKUP(ITEquipmentTable[[#This Row],[Assigned Employee]], EmployeeTable[name], EmployeeTable[Active], TRUE), "Employee", "Recover"),
IF(ITEquipmentTable[[#This Row],[Storage Location]] = "Assigned to Employee", _xlpm.emp, "N/A"))</f>
        <v>N/A</v>
      </c>
      <c r="O254" s="161" t="str" cm="1">
        <f t="array" ref="O25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5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54" s="1" t="s">
        <v>298</v>
      </c>
      <c r="T254" s="194"/>
      <c r="X254" s="1">
        <v>8695</v>
      </c>
      <c r="Y254" s="223" t="s">
        <v>1131</v>
      </c>
      <c r="Z254" s="1" t="b">
        <v>0</v>
      </c>
      <c r="AA254"/>
    </row>
    <row r="255" spans="1:27" s="1" customFormat="1" hidden="1" x14ac:dyDescent="0.2">
      <c r="A255" s="155">
        <v>650</v>
      </c>
      <c r="B255" s="1" t="s">
        <v>294</v>
      </c>
      <c r="C255" s="1" t="s">
        <v>403</v>
      </c>
      <c r="E255" s="1" t="s">
        <v>306</v>
      </c>
      <c r="F255" s="195" t="s">
        <v>3181</v>
      </c>
      <c r="G255" s="164" t="str">
        <f>_xlfn.XLOOKUP(ITEquipmentTable[[#This Row],[Name]], IntuneData[Device name], IntuneData[Serial number], "")</f>
        <v>5CD302419X</v>
      </c>
      <c r="K255" s="154" t="s">
        <v>508</v>
      </c>
      <c r="L255" s="164" t="str">
        <f>_xlfn.LET(
_xlpm.look, _xlfn.XLOOKUP(ITEquipmentTable[[#This Row],[Name]], VNCTable[ClientName], VNCTable[IP], ""),
_xlpm.chkk, IF(ITEquipmentTable[[#This Row],[IPv4 Address]] = "N/A", "N/A", _xlpm.look),
IF(ITEquipmentTable[[#This Row],[Name]] = "", "", _xlpm.chkk))</f>
        <v/>
      </c>
      <c r="M255" s="1" t="s">
        <v>1663</v>
      </c>
      <c r="N255" s="159" t="str">
        <f>_xlfn.LET(_xlpm.emp, IF(_xlfn.XLOOKUP(ITEquipmentTable[[#This Row],[Assigned Employee]], EmployeeTable[name], EmployeeTable[Active], TRUE), "Employee", "Recover"),
IF(ITEquipmentTable[[#This Row],[Storage Location]] = "Assigned to Employee", _xlpm.emp, "N/A"))</f>
        <v>N/A</v>
      </c>
      <c r="O255" s="161" t="str" cm="1">
        <f t="array" ref="O25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5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55" s="1" t="s">
        <v>298</v>
      </c>
      <c r="T255" s="194"/>
      <c r="X255" s="1">
        <v>8696</v>
      </c>
      <c r="Y255" s="223" t="s">
        <v>1133</v>
      </c>
      <c r="Z255" s="1" t="b">
        <v>0</v>
      </c>
      <c r="AA255"/>
    </row>
    <row r="256" spans="1:27" s="1" customFormat="1" hidden="1" x14ac:dyDescent="0.2">
      <c r="A256" s="155">
        <v>196</v>
      </c>
      <c r="B256" s="189" t="s">
        <v>294</v>
      </c>
      <c r="C256" s="189" t="s">
        <v>403</v>
      </c>
      <c r="E256" s="189" t="s">
        <v>306</v>
      </c>
      <c r="F256" s="195" t="s">
        <v>3297</v>
      </c>
      <c r="G256" s="159" t="str">
        <f>_xlfn.XLOOKUP(ITEquipmentTable[[#This Row],[Name]], IntuneData[Device name], IntuneData[Serial number], "")</f>
        <v>5CG1153Z9R</v>
      </c>
      <c r="H256" s="1" t="s">
        <v>384</v>
      </c>
      <c r="I256" s="189"/>
      <c r="J256" s="189" t="s">
        <v>713</v>
      </c>
      <c r="K256" s="154" t="s">
        <v>508</v>
      </c>
      <c r="L256" s="159" t="str">
        <f>_xlfn.LET(
_xlpm.look, _xlfn.XLOOKUP(ITEquipmentTable[[#This Row],[Name]], VNCTable[ClientName], VNCTable[IP], ""),
_xlpm.chkk, IF(ITEquipmentTable[[#This Row],[IPv4 Address]] = "N/A", "N/A", _xlpm.look),
IF(ITEquipmentTable[[#This Row],[Name]] = "", "", _xlpm.chkk))</f>
        <v/>
      </c>
      <c r="M256" s="189" t="s">
        <v>1664</v>
      </c>
      <c r="N256" s="159" t="str">
        <f>_xlfn.LET(_xlpm.emp, IF(_xlfn.XLOOKUP(ITEquipmentTable[[#This Row],[Assigned Employee]], EmployeeTable[name], EmployeeTable[Active], TRUE), "Employee", "Recover"),
IF(ITEquipmentTable[[#This Row],[Storage Location]] = "Assigned to Employee", _xlpm.emp, "N/A"))</f>
        <v>Employee</v>
      </c>
      <c r="O256" s="159" t="str" cm="1">
        <f t="array" ref="O25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5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56" s="193"/>
      <c r="R256" s="189" t="s">
        <v>312</v>
      </c>
      <c r="S256" s="189" t="s">
        <v>313</v>
      </c>
      <c r="T256" s="194"/>
      <c r="X256" s="1">
        <v>8697</v>
      </c>
      <c r="Y256" s="223" t="s">
        <v>1135</v>
      </c>
      <c r="Z256" s="1" t="b">
        <v>0</v>
      </c>
      <c r="AA256"/>
    </row>
    <row r="257" spans="1:27" s="1" customFormat="1" hidden="1" x14ac:dyDescent="0.2">
      <c r="A257" s="155">
        <v>569</v>
      </c>
      <c r="B257" s="1" t="s">
        <v>294</v>
      </c>
      <c r="C257" s="1" t="s">
        <v>403</v>
      </c>
      <c r="E257" s="1" t="s">
        <v>306</v>
      </c>
      <c r="F257" s="195" t="s">
        <v>3185</v>
      </c>
      <c r="G257" s="164" t="str">
        <f>_xlfn.XLOOKUP(ITEquipmentTable[[#This Row],[Name]], IntuneData[Device name], IntuneData[Serial number], "")</f>
        <v>5CD302413N</v>
      </c>
      <c r="K257" s="154" t="s">
        <v>508</v>
      </c>
      <c r="L257" s="164" t="str">
        <f>_xlfn.LET(
_xlpm.look, _xlfn.XLOOKUP(ITEquipmentTable[[#This Row],[Name]], VNCTable[ClientName], VNCTable[IP], ""),
_xlpm.chkk, IF(ITEquipmentTable[[#This Row],[IPv4 Address]] = "N/A", "N/A", _xlpm.look),
IF(ITEquipmentTable[[#This Row],[Name]] = "", "", _xlpm.chkk))</f>
        <v/>
      </c>
      <c r="M257" s="1" t="s">
        <v>1665</v>
      </c>
      <c r="N257" s="159" t="str">
        <f>_xlfn.LET(_xlpm.emp, IF(_xlfn.XLOOKUP(ITEquipmentTable[[#This Row],[Assigned Employee]], EmployeeTable[name], EmployeeTable[Active], TRUE), "Employee", "Recover"),
IF(ITEquipmentTable[[#This Row],[Storage Location]] = "Assigned to Employee", _xlpm.emp, "N/A"))</f>
        <v>N/A</v>
      </c>
      <c r="O257" s="159" t="str" cm="1">
        <f t="array" ref="O25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5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57" s="1" t="s">
        <v>298</v>
      </c>
      <c r="T257" s="194"/>
      <c r="X257" s="1">
        <v>8699</v>
      </c>
      <c r="Y257" s="223" t="s">
        <v>1136</v>
      </c>
      <c r="Z257" s="1" t="b">
        <v>0</v>
      </c>
      <c r="AA257"/>
    </row>
    <row r="258" spans="1:27" s="1" customFormat="1" hidden="1" x14ac:dyDescent="0.2">
      <c r="A258" s="155">
        <v>570</v>
      </c>
      <c r="B258" s="1" t="s">
        <v>294</v>
      </c>
      <c r="C258" s="1" t="s">
        <v>403</v>
      </c>
      <c r="E258" s="1" t="s">
        <v>306</v>
      </c>
      <c r="F258" s="195" t="s">
        <v>3189</v>
      </c>
      <c r="G258" s="164" t="str">
        <f>_xlfn.XLOOKUP(ITEquipmentTable[[#This Row],[Name]], IntuneData[Device name], IntuneData[Serial number], "")</f>
        <v>5CD30241C6</v>
      </c>
      <c r="K258" s="154" t="s">
        <v>508</v>
      </c>
      <c r="L258" s="164" t="str">
        <f>_xlfn.LET(
_xlpm.look, _xlfn.XLOOKUP(ITEquipmentTable[[#This Row],[Name]], VNCTable[ClientName], VNCTable[IP], ""),
_xlpm.chkk, IF(ITEquipmentTable[[#This Row],[IPv4 Address]] = "N/A", "N/A", _xlpm.look),
IF(ITEquipmentTable[[#This Row],[Name]] = "", "", _xlpm.chkk))</f>
        <v/>
      </c>
      <c r="M258" s="1" t="s">
        <v>1666</v>
      </c>
      <c r="N258" s="159" t="str">
        <f>_xlfn.LET(_xlpm.emp, IF(_xlfn.XLOOKUP(ITEquipmentTable[[#This Row],[Assigned Employee]], EmployeeTable[name], EmployeeTable[Active], TRUE), "Employee", "Recover"),
IF(ITEquipmentTable[[#This Row],[Storage Location]] = "Assigned to Employee", _xlpm.emp, "N/A"))</f>
        <v>N/A</v>
      </c>
      <c r="O258" s="159" t="str" cm="1">
        <f t="array" ref="O25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25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58" s="1" t="s">
        <v>298</v>
      </c>
      <c r="T258" s="194"/>
      <c r="X258" s="1">
        <v>8701</v>
      </c>
      <c r="Y258" s="223" t="s">
        <v>1138</v>
      </c>
      <c r="Z258" s="1" t="b">
        <v>0</v>
      </c>
      <c r="AA258"/>
    </row>
    <row r="259" spans="1:27" s="1" customFormat="1" hidden="1" x14ac:dyDescent="0.2">
      <c r="A259" s="155">
        <v>589</v>
      </c>
      <c r="B259" s="1" t="s">
        <v>294</v>
      </c>
      <c r="C259" s="1" t="s">
        <v>403</v>
      </c>
      <c r="D259" s="1" t="s">
        <v>1167</v>
      </c>
      <c r="E259" s="1" t="s">
        <v>306</v>
      </c>
      <c r="F259" s="195" t="s">
        <v>1168</v>
      </c>
      <c r="G259" s="164" t="str">
        <f>_xlfn.XLOOKUP(ITEquipmentTable[[#This Row],[Name]], IntuneData[Device name], IntuneData[Serial number], "")</f>
        <v>5CG9117SDY</v>
      </c>
      <c r="H259" s="1" t="s">
        <v>295</v>
      </c>
      <c r="I259" s="1" t="s">
        <v>553</v>
      </c>
      <c r="K259" s="154" t="s">
        <v>508</v>
      </c>
      <c r="L259" s="164" t="str">
        <f>_xlfn.LET(
_xlpm.look, _xlfn.XLOOKUP(ITEquipmentTable[[#This Row],[Name]], VNCTable[ClientName], VNCTable[IP], ""),
_xlpm.chkk, IF(ITEquipmentTable[[#This Row],[IPv4 Address]] = "N/A", "N/A", _xlpm.look),
IF(ITEquipmentTable[[#This Row],[Name]] = "", "", _xlpm.chkk))</f>
        <v/>
      </c>
      <c r="M259" s="1" t="s">
        <v>554</v>
      </c>
      <c r="N259" s="159" t="str">
        <f>_xlfn.LET(_xlpm.emp, IF(_xlfn.XLOOKUP(ITEquipmentTable[[#This Row],[Assigned Employee]], EmployeeTable[name], EmployeeTable[Active], TRUE), "Employee", "Recover"),
IF(ITEquipmentTable[[#This Row],[Storage Location]] = "Assigned to Employee", _xlpm.emp, "N/A"))</f>
        <v>N/A</v>
      </c>
      <c r="O259" s="159" t="str" cm="1">
        <f t="array" ref="O25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5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259" s="189" t="s">
        <v>312</v>
      </c>
      <c r="T259" s="194"/>
      <c r="X259" s="1">
        <v>8702</v>
      </c>
      <c r="Y259" s="223" t="s">
        <v>1142</v>
      </c>
      <c r="Z259" s="1" t="b">
        <v>0</v>
      </c>
      <c r="AA259"/>
    </row>
    <row r="260" spans="1:27" s="1" customFormat="1" hidden="1" x14ac:dyDescent="0.2">
      <c r="A260" s="155">
        <v>567</v>
      </c>
      <c r="B260" s="1" t="s">
        <v>294</v>
      </c>
      <c r="C260" s="1" t="s">
        <v>403</v>
      </c>
      <c r="E260" s="1" t="s">
        <v>306</v>
      </c>
      <c r="F260" s="195" t="s">
        <v>3171</v>
      </c>
      <c r="G260" s="164" t="str">
        <f>_xlfn.XLOOKUP(ITEquipmentTable[[#This Row],[Name]], IntuneData[Device name], IntuneData[Serial number], "")</f>
        <v>5CD30241CK</v>
      </c>
      <c r="H260" s="1" t="s">
        <v>384</v>
      </c>
      <c r="J260" s="1" t="s">
        <v>530</v>
      </c>
      <c r="K260" s="154" t="s">
        <v>508</v>
      </c>
      <c r="L260" s="164" t="str">
        <f>_xlfn.LET(
_xlpm.look, _xlfn.XLOOKUP(ITEquipmentTable[[#This Row],[Name]], VNCTable[ClientName], VNCTable[IP], ""),
_xlpm.chkk, IF(ITEquipmentTable[[#This Row],[IPv4 Address]] = "N/A", "N/A", _xlpm.look),
IF(ITEquipmentTable[[#This Row],[Name]] = "", "", _xlpm.chkk))</f>
        <v/>
      </c>
      <c r="M260" s="1" t="s">
        <v>1667</v>
      </c>
      <c r="N260" s="159" t="str">
        <f>_xlfn.LET(_xlpm.emp, IF(_xlfn.XLOOKUP(ITEquipmentTable[[#This Row],[Assigned Employee]], EmployeeTable[name], EmployeeTable[Active], TRUE), "Employee", "Recover"),
IF(ITEquipmentTable[[#This Row],[Storage Location]] = "Assigned to Employee", _xlpm.emp, "N/A"))</f>
        <v>Employee</v>
      </c>
      <c r="O260" s="159" t="str" cm="1">
        <f t="array" ref="O26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6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60" s="1" t="s">
        <v>298</v>
      </c>
      <c r="T260" s="194"/>
      <c r="X260" s="1">
        <v>8705</v>
      </c>
      <c r="Y260" s="223" t="s">
        <v>1144</v>
      </c>
      <c r="Z260" s="1" t="b">
        <v>0</v>
      </c>
      <c r="AA260"/>
    </row>
    <row r="261" spans="1:27" s="1" customFormat="1" hidden="1" x14ac:dyDescent="0.2">
      <c r="A261" s="155">
        <v>651</v>
      </c>
      <c r="B261" s="1" t="s">
        <v>323</v>
      </c>
      <c r="E261" s="1" t="s">
        <v>306</v>
      </c>
      <c r="F261" s="195"/>
      <c r="G261" s="164" t="str">
        <f>_xlfn.XLOOKUP(ITEquipmentTable[[#This Row],[Name]], IntuneData[Device name], IntuneData[Serial number], "")</f>
        <v/>
      </c>
      <c r="K261" s="154"/>
      <c r="L261" s="164" t="str">
        <f>_xlfn.LET(
_xlpm.look, _xlfn.XLOOKUP(ITEquipmentTable[[#This Row],[Name]], VNCTable[ClientName], VNCTable[IP], ""),
_xlpm.chkk, IF(ITEquipmentTable[[#This Row],[IPv4 Address]] = "N/A", "N/A", _xlpm.look),
IF(ITEquipmentTable[[#This Row],[Name]] = "", "", _xlpm.chkk))</f>
        <v/>
      </c>
      <c r="M261" s="1" t="s">
        <v>1668</v>
      </c>
      <c r="N261" s="159" t="str">
        <f>_xlfn.LET(_xlpm.emp, IF(_xlfn.XLOOKUP(ITEquipmentTable[[#This Row],[Assigned Employee]], EmployeeTable[name], EmployeeTable[Active], TRUE), "Employee", "Recover"),
IF(ITEquipmentTable[[#This Row],[Storage Location]] = "Assigned to Employee", _xlpm.emp, "N/A"))</f>
        <v>N/A</v>
      </c>
      <c r="O261" s="161" t="str" cm="1">
        <f t="array" ref="O26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26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61" s="1" t="s">
        <v>298</v>
      </c>
      <c r="T261" s="194"/>
      <c r="X261" s="1">
        <v>8707</v>
      </c>
      <c r="Y261" s="223" t="s">
        <v>1146</v>
      </c>
      <c r="Z261" s="1" t="b">
        <v>0</v>
      </c>
      <c r="AA261"/>
    </row>
    <row r="262" spans="1:27" s="1" customFormat="1" hidden="1" x14ac:dyDescent="0.2">
      <c r="A262" s="217">
        <v>197</v>
      </c>
      <c r="B262" s="189" t="s">
        <v>294</v>
      </c>
      <c r="C262" s="189" t="s">
        <v>403</v>
      </c>
      <c r="E262" s="189" t="s">
        <v>306</v>
      </c>
      <c r="F262" s="195" t="s">
        <v>3196</v>
      </c>
      <c r="G262" s="159" t="str">
        <f>_xlfn.XLOOKUP(ITEquipmentTable[[#This Row],[Name]], IntuneData[Device name], IntuneData[Serial number], "")</f>
        <v>5CG0156V23</v>
      </c>
      <c r="H262" s="1" t="s">
        <v>384</v>
      </c>
      <c r="I262" s="189"/>
      <c r="J262" s="189" t="s">
        <v>1669</v>
      </c>
      <c r="K262" s="154" t="s">
        <v>508</v>
      </c>
      <c r="L262" s="159" t="str">
        <f>_xlfn.LET(
_xlpm.look, _xlfn.XLOOKUP(ITEquipmentTable[[#This Row],[Name]], VNCTable[ClientName], VNCTable[IP], ""),
_xlpm.chkk, IF(ITEquipmentTable[[#This Row],[IPv4 Address]] = "N/A", "N/A", _xlpm.look),
IF(ITEquipmentTable[[#This Row],[Name]] = "", "", _xlpm.chkk))</f>
        <v/>
      </c>
      <c r="M262" s="189" t="s">
        <v>1670</v>
      </c>
      <c r="N262" s="159" t="str">
        <f>_xlfn.LET(_xlpm.emp, IF(_xlfn.XLOOKUP(ITEquipmentTable[[#This Row],[Assigned Employee]], EmployeeTable[name], EmployeeTable[Active], TRUE), "Employee", "Recover"),
IF(ITEquipmentTable[[#This Row],[Storage Location]] = "Assigned to Employee", _xlpm.emp, "N/A"))</f>
        <v>Employee</v>
      </c>
      <c r="O262" s="159" t="str" cm="1">
        <f t="array" ref="O26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6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62" s="193"/>
      <c r="R262" s="189" t="s">
        <v>312</v>
      </c>
      <c r="S262" s="189" t="s">
        <v>313</v>
      </c>
      <c r="T262" s="194"/>
      <c r="X262" s="1">
        <v>8709</v>
      </c>
      <c r="Y262" s="223" t="s">
        <v>1150</v>
      </c>
      <c r="Z262" s="1" t="b">
        <v>0</v>
      </c>
      <c r="AA262"/>
    </row>
    <row r="263" spans="1:27" s="1" customFormat="1" hidden="1" x14ac:dyDescent="0.2">
      <c r="A263" s="155">
        <v>571</v>
      </c>
      <c r="B263" s="1" t="s">
        <v>294</v>
      </c>
      <c r="C263" s="1" t="s">
        <v>403</v>
      </c>
      <c r="E263" s="1" t="s">
        <v>306</v>
      </c>
      <c r="F263" s="195"/>
      <c r="G263" s="164" t="str">
        <f>_xlfn.XLOOKUP(ITEquipmentTable[[#This Row],[Name]], IntuneData[Device name], IntuneData[Serial number], "")</f>
        <v/>
      </c>
      <c r="H263" s="189" t="s">
        <v>295</v>
      </c>
      <c r="I263" s="189" t="s">
        <v>511</v>
      </c>
      <c r="J263" s="189"/>
      <c r="K263" s="154" t="s">
        <v>508</v>
      </c>
      <c r="L263" s="164" t="str">
        <f>_xlfn.LET(
_xlpm.look, _xlfn.XLOOKUP(ITEquipmentTable[[#This Row],[Name]], VNCTable[ClientName], VNCTable[IP], ""),
_xlpm.chkk, IF(ITEquipmentTable[[#This Row],[IPv4 Address]] = "N/A", "N/A", _xlpm.look),
IF(ITEquipmentTable[[#This Row],[Name]] = "", "", _xlpm.chkk))</f>
        <v/>
      </c>
      <c r="M263" s="1" t="s">
        <v>512</v>
      </c>
      <c r="N263" s="159" t="str">
        <f>_xlfn.LET(_xlpm.emp, IF(_xlfn.XLOOKUP(ITEquipmentTable[[#This Row],[Assigned Employee]], EmployeeTable[name], EmployeeTable[Active], TRUE), "Employee", "Recover"),
IF(ITEquipmentTable[[#This Row],[Storage Location]] = "Assigned to Employee", _xlpm.emp, "N/A"))</f>
        <v>N/A</v>
      </c>
      <c r="O263" s="159" t="str" cm="1">
        <f t="array" ref="O26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26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63" s="1" t="s">
        <v>298</v>
      </c>
      <c r="T263" s="194"/>
      <c r="X263" s="1">
        <v>8710</v>
      </c>
      <c r="Y263" s="223" t="s">
        <v>1154</v>
      </c>
      <c r="Z263" s="1" t="b">
        <v>0</v>
      </c>
      <c r="AA263"/>
    </row>
    <row r="264" spans="1:27" s="1" customFormat="1" hidden="1" x14ac:dyDescent="0.2">
      <c r="A264" s="155">
        <v>652</v>
      </c>
      <c r="B264" s="1" t="s">
        <v>323</v>
      </c>
      <c r="F264" s="195"/>
      <c r="G264" s="164" t="str">
        <f>_xlfn.XLOOKUP(ITEquipmentTable[[#This Row],[Name]], IntuneData[Device name], IntuneData[Serial number], "")</f>
        <v/>
      </c>
      <c r="K264" s="154"/>
      <c r="L264" s="164" t="str">
        <f>_xlfn.LET(
_xlpm.look, _xlfn.XLOOKUP(ITEquipmentTable[[#This Row],[Name]], VNCTable[ClientName], VNCTable[IP], ""),
_xlpm.chkk, IF(ITEquipmentTable[[#This Row],[IPv4 Address]] = "N/A", "N/A", _xlpm.look),
IF(ITEquipmentTable[[#This Row],[Name]] = "", "", _xlpm.chkk))</f>
        <v/>
      </c>
      <c r="M264" s="1" t="s">
        <v>1671</v>
      </c>
      <c r="N264" s="159" t="str">
        <f>_xlfn.LET(_xlpm.emp, IF(_xlfn.XLOOKUP(ITEquipmentTable[[#This Row],[Assigned Employee]], EmployeeTable[name], EmployeeTable[Active], TRUE), "Employee", "Recover"),
IF(ITEquipmentTable[[#This Row],[Storage Location]] = "Assigned to Employee", _xlpm.emp, "N/A"))</f>
        <v>N/A</v>
      </c>
      <c r="O264" s="161" t="str" cm="1">
        <f t="array" ref="O26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6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64" s="1" t="s">
        <v>298</v>
      </c>
      <c r="T264" s="194"/>
      <c r="X264" s="1">
        <v>8711</v>
      </c>
      <c r="Y264" s="223" t="s">
        <v>1158</v>
      </c>
      <c r="Z264" s="1" t="b">
        <v>0</v>
      </c>
      <c r="AA264"/>
    </row>
    <row r="265" spans="1:27" s="1" customFormat="1" hidden="1" x14ac:dyDescent="0.2">
      <c r="A265" s="155">
        <v>653</v>
      </c>
      <c r="B265" s="1" t="s">
        <v>323</v>
      </c>
      <c r="F265" s="195"/>
      <c r="G265" s="164" t="str">
        <f>_xlfn.XLOOKUP(ITEquipmentTable[[#This Row],[Name]], IntuneData[Device name], IntuneData[Serial number], "")</f>
        <v/>
      </c>
      <c r="K265" s="154"/>
      <c r="L265" s="164" t="str">
        <f>_xlfn.LET(
_xlpm.look, _xlfn.XLOOKUP(ITEquipmentTable[[#This Row],[Name]], VNCTable[ClientName], VNCTable[IP], ""),
_xlpm.chkk, IF(ITEquipmentTable[[#This Row],[IPv4 Address]] = "N/A", "N/A", _xlpm.look),
IF(ITEquipmentTable[[#This Row],[Name]] = "", "", _xlpm.chkk))</f>
        <v/>
      </c>
      <c r="M265" s="1" t="s">
        <v>1672</v>
      </c>
      <c r="N265" s="159" t="str">
        <f>_xlfn.LET(_xlpm.emp, IF(_xlfn.XLOOKUP(ITEquipmentTable[[#This Row],[Assigned Employee]], EmployeeTable[name], EmployeeTable[Active], TRUE), "Employee", "Recover"),
IF(ITEquipmentTable[[#This Row],[Storage Location]] = "Assigned to Employee", _xlpm.emp, "N/A"))</f>
        <v>N/A</v>
      </c>
      <c r="O265" s="161" t="str" cm="1">
        <f t="array" ref="O26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6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65" s="1" t="s">
        <v>298</v>
      </c>
      <c r="T265" s="194"/>
      <c r="X265" s="1">
        <v>8715</v>
      </c>
      <c r="Y265" s="223" t="s">
        <v>1162</v>
      </c>
      <c r="Z265" s="1" t="b">
        <v>0</v>
      </c>
      <c r="AA265"/>
    </row>
    <row r="266" spans="1:27" s="1" customFormat="1" hidden="1" x14ac:dyDescent="0.2">
      <c r="A266" s="155">
        <v>490</v>
      </c>
      <c r="B266" s="1" t="s">
        <v>323</v>
      </c>
      <c r="C266" s="1" t="s">
        <v>562</v>
      </c>
      <c r="D266" s="1" t="s">
        <v>580</v>
      </c>
      <c r="E266" s="1" t="s">
        <v>306</v>
      </c>
      <c r="F266" s="224">
        <v>10545604253</v>
      </c>
      <c r="G266" s="164" t="str">
        <f>_xlfn.XLOOKUP(ITEquipmentTable[[#This Row],[Name]], IntuneData[Device name], IntuneData[Serial number], "")</f>
        <v/>
      </c>
      <c r="H266" s="1" t="s">
        <v>295</v>
      </c>
      <c r="I266" s="1" t="s">
        <v>581</v>
      </c>
      <c r="K266" s="154" t="s">
        <v>508</v>
      </c>
      <c r="L266" s="164" t="str">
        <f>_xlfn.LET(
_xlpm.look, _xlfn.XLOOKUP(ITEquipmentTable[[#This Row],[Name]], VNCTable[ClientName], VNCTable[IP], ""),
_xlpm.chkk, IF(ITEquipmentTable[[#This Row],[IPv4 Address]] = "N/A", "N/A", _xlpm.look),
IF(ITEquipmentTable[[#This Row],[Name]] = "", "", _xlpm.chkk))</f>
        <v>DHCP</v>
      </c>
      <c r="M266" s="1" t="s">
        <v>582</v>
      </c>
      <c r="N266" s="159" t="str">
        <f>_xlfn.LET(_xlpm.emp, IF(_xlfn.XLOOKUP(ITEquipmentTable[[#This Row],[Assigned Employee]], EmployeeTable[name], EmployeeTable[Active], TRUE), "Employee", "Recover"),
IF(ITEquipmentTable[[#This Row],[Storage Location]] = "Assigned to Employee", _xlpm.emp, "N/A"))</f>
        <v>N/A</v>
      </c>
      <c r="O266" s="159" t="str" cm="1">
        <f t="array" ref="O26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6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266" s="1" t="s">
        <v>583</v>
      </c>
      <c r="R266" s="193" t="s">
        <v>312</v>
      </c>
      <c r="S266" s="189"/>
      <c r="T266" s="194"/>
      <c r="X266" s="1">
        <v>8730</v>
      </c>
      <c r="Y266" s="223" t="s">
        <v>1166</v>
      </c>
      <c r="Z266" s="1" t="b">
        <v>0</v>
      </c>
      <c r="AA266"/>
    </row>
    <row r="267" spans="1:27" s="1" customFormat="1" hidden="1" x14ac:dyDescent="0.2">
      <c r="A267" s="155">
        <v>905</v>
      </c>
      <c r="B267" s="189" t="s">
        <v>304</v>
      </c>
      <c r="C267" s="189" t="s">
        <v>308</v>
      </c>
      <c r="D267" s="189" t="s">
        <v>309</v>
      </c>
      <c r="E267" s="189" t="s">
        <v>310</v>
      </c>
      <c r="F267" s="201" t="s">
        <v>2124</v>
      </c>
      <c r="G267" s="159" t="str">
        <f>_xlfn.XLOOKUP(ITEquipmentTable[[#This Row],[Name]], IntuneData[Device name], IntuneData[Serial number], "")</f>
        <v/>
      </c>
      <c r="H267" s="189" t="s">
        <v>318</v>
      </c>
      <c r="K267" s="154" t="s">
        <v>226</v>
      </c>
      <c r="L267" s="354" t="str">
        <f>_xlfn.LET(
_xlpm.look, _xlfn.XLOOKUP(ITEquipmentTable[[#This Row],[Name]], VNCTable[ClientName], VNCTable[IP], ""),
_xlpm.chkk, IF(ITEquipmentTable[[#This Row],[IPv4 Address]] = "N/A", "N/A", _xlpm.look),
IF(ITEquipmentTable[[#This Row],[Name]] = "", "", _xlpm.chkk))</f>
        <v/>
      </c>
      <c r="N267" s="159" t="str">
        <f>_xlfn.LET(_xlpm.emp, IF(_xlfn.XLOOKUP(ITEquipmentTable[[#This Row],[Assigned Employee]], EmployeeTable[name], EmployeeTable[Active], TRUE), "Employee", "Recover"),
IF(ITEquipmentTable[[#This Row],[Storage Location]] = "Assigned to Employee", _xlpm.emp, "N/A"))</f>
        <v>N/A</v>
      </c>
      <c r="O267" s="159" t="str" cm="1">
        <f t="array" ref="O26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26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267" s="1" t="s">
        <v>454</v>
      </c>
      <c r="R267" s="1" t="s">
        <v>351</v>
      </c>
      <c r="T267" s="194"/>
      <c r="X267" s="1">
        <v>8734</v>
      </c>
      <c r="Y267" s="223" t="s">
        <v>1169</v>
      </c>
      <c r="Z267" s="1" t="b">
        <v>0</v>
      </c>
      <c r="AA267"/>
    </row>
    <row r="268" spans="1:27" s="1" customFormat="1" hidden="1" x14ac:dyDescent="0.2">
      <c r="A268" s="155">
        <v>654</v>
      </c>
      <c r="B268" s="1" t="s">
        <v>323</v>
      </c>
      <c r="C268" s="1" t="s">
        <v>562</v>
      </c>
      <c r="D268" s="1" t="s">
        <v>563</v>
      </c>
      <c r="E268" s="1" t="s">
        <v>306</v>
      </c>
      <c r="F268" s="195"/>
      <c r="G268" s="164" t="str">
        <f>_xlfn.XLOOKUP(ITEquipmentTable[[#This Row],[Name]], IntuneData[Device name], IntuneData[Serial number], "")</f>
        <v/>
      </c>
      <c r="H268" s="1" t="s">
        <v>295</v>
      </c>
      <c r="I268" s="1" t="s">
        <v>587</v>
      </c>
      <c r="K268" s="154" t="s">
        <v>3560</v>
      </c>
      <c r="L268" s="164" t="str">
        <f>_xlfn.LET(
_xlpm.look, _xlfn.XLOOKUP(ITEquipmentTable[[#This Row],[Name]], VNCTable[ClientName], VNCTable[IP], ""),
_xlpm.chkk, IF(ITEquipmentTable[[#This Row],[IPv4 Address]] = "N/A", "N/A", _xlpm.look),
IF(ITEquipmentTable[[#This Row],[Name]] = "", "", _xlpm.chkk))</f>
        <v>10.68.89.110</v>
      </c>
      <c r="M268" s="1" t="s">
        <v>588</v>
      </c>
      <c r="N268" s="159" t="str">
        <f>_xlfn.LET(_xlpm.emp, IF(_xlfn.XLOOKUP(ITEquipmentTable[[#This Row],[Assigned Employee]], EmployeeTable[name], EmployeeTable[Active], TRUE), "Employee", "Recover"),
IF(ITEquipmentTable[[#This Row],[Storage Location]] = "Assigned to Employee", _xlpm.emp, "N/A"))</f>
        <v>N/A</v>
      </c>
      <c r="O268" s="161" t="str" cm="1">
        <f t="array" ref="O26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6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68" s="1" t="s">
        <v>298</v>
      </c>
      <c r="T268" s="194"/>
      <c r="U268" s="1" t="s">
        <v>1173</v>
      </c>
      <c r="X268" s="1">
        <v>8746</v>
      </c>
      <c r="Y268" s="223" t="s">
        <v>1174</v>
      </c>
      <c r="Z268" s="1" t="b">
        <v>0</v>
      </c>
      <c r="AA268"/>
    </row>
    <row r="269" spans="1:27" s="1" customFormat="1" hidden="1" x14ac:dyDescent="0.2">
      <c r="A269" s="155">
        <v>203</v>
      </c>
      <c r="B269" s="1" t="s">
        <v>323</v>
      </c>
      <c r="C269" s="1" t="s">
        <v>562</v>
      </c>
      <c r="D269" s="1" t="s">
        <v>563</v>
      </c>
      <c r="E269" s="1" t="s">
        <v>306</v>
      </c>
      <c r="F269" s="195" t="s">
        <v>576</v>
      </c>
      <c r="G269" s="159" t="str">
        <f>_xlfn.XLOOKUP(ITEquipmentTable[[#This Row],[Name]], IntuneData[Device name], IntuneData[Serial number], "")</f>
        <v/>
      </c>
      <c r="H269" s="1" t="s">
        <v>295</v>
      </c>
      <c r="I269" s="1" t="s">
        <v>577</v>
      </c>
      <c r="K269" s="154"/>
      <c r="L269" s="159" t="str">
        <f>_xlfn.LET(
_xlpm.look, _xlfn.XLOOKUP(ITEquipmentTable[[#This Row],[Name]], VNCTable[ClientName], VNCTable[IP], ""),
_xlpm.chkk, IF(ITEquipmentTable[[#This Row],[IPv4 Address]] = "N/A", "N/A", _xlpm.look),
IF(ITEquipmentTable[[#This Row],[Name]] = "", "", _xlpm.chkk))</f>
        <v/>
      </c>
      <c r="M269" s="1" t="s">
        <v>578</v>
      </c>
      <c r="N269" s="159" t="str">
        <f>_xlfn.LET(_xlpm.emp, IF(_xlfn.XLOOKUP(ITEquipmentTable[[#This Row],[Assigned Employee]], EmployeeTable[name], EmployeeTable[Active], TRUE), "Employee", "Recover"),
IF(ITEquipmentTable[[#This Row],[Storage Location]] = "Assigned to Employee", _xlpm.emp, "N/A"))</f>
        <v>N/A</v>
      </c>
      <c r="O269" s="159" t="str" cm="1">
        <f t="array" ref="O26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6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269" s="189" t="s">
        <v>312</v>
      </c>
      <c r="S269" s="189"/>
      <c r="T269" s="194"/>
      <c r="X269" s="1">
        <v>8748</v>
      </c>
      <c r="Y269" s="223" t="s">
        <v>1178</v>
      </c>
      <c r="Z269" s="1" t="b">
        <v>0</v>
      </c>
      <c r="AA269"/>
    </row>
    <row r="270" spans="1:27" s="1" customFormat="1" hidden="1" x14ac:dyDescent="0.2">
      <c r="A270" s="155">
        <v>655</v>
      </c>
      <c r="F270" s="195"/>
      <c r="G270" s="164" t="str">
        <f>_xlfn.XLOOKUP(ITEquipmentTable[[#This Row],[Name]], IntuneData[Device name], IntuneData[Serial number], "")</f>
        <v/>
      </c>
      <c r="H270" s="1" t="s">
        <v>295</v>
      </c>
      <c r="I270" s="1" t="s">
        <v>581</v>
      </c>
      <c r="K270" s="154" t="s">
        <v>3431</v>
      </c>
      <c r="L270" s="164" t="str">
        <f>_xlfn.LET(
_xlpm.look, _xlfn.XLOOKUP(ITEquipmentTable[[#This Row],[Name]], VNCTable[ClientName], VNCTable[IP], ""),
_xlpm.chkk, IF(ITEquipmentTable[[#This Row],[IPv4 Address]] = "N/A", "N/A", _xlpm.look),
IF(ITEquipmentTable[[#This Row],[Name]] = "", "", _xlpm.chkk))</f>
        <v>10.68.89.49</v>
      </c>
      <c r="M270" s="1" t="s">
        <v>585</v>
      </c>
      <c r="N270" s="159" t="str">
        <f>_xlfn.LET(_xlpm.emp, IF(_xlfn.XLOOKUP(ITEquipmentTable[[#This Row],[Assigned Employee]], EmployeeTable[name], EmployeeTable[Active], TRUE), "Employee", "Recover"),
IF(ITEquipmentTable[[#This Row],[Storage Location]] = "Assigned to Employee", _xlpm.emp, "N/A"))</f>
        <v>N/A</v>
      </c>
      <c r="O270" s="161" t="str" cm="1">
        <f t="array" ref="O27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27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70" s="1" t="s">
        <v>298</v>
      </c>
      <c r="T270" s="194"/>
      <c r="X270" s="1">
        <v>8765</v>
      </c>
      <c r="Y270" s="223" t="s">
        <v>1182</v>
      </c>
      <c r="Z270" s="1" t="b">
        <v>0</v>
      </c>
      <c r="AA270"/>
    </row>
    <row r="271" spans="1:27" s="1" customFormat="1" hidden="1" x14ac:dyDescent="0.2">
      <c r="A271" s="155">
        <v>656</v>
      </c>
      <c r="B271" s="1" t="s">
        <v>323</v>
      </c>
      <c r="C271" s="1" t="s">
        <v>562</v>
      </c>
      <c r="D271" s="1" t="s">
        <v>563</v>
      </c>
      <c r="E271" s="1" t="s">
        <v>306</v>
      </c>
      <c r="F271" s="195"/>
      <c r="G271" s="164" t="str">
        <f>_xlfn.XLOOKUP(ITEquipmentTable[[#This Row],[Name]], IntuneData[Device name], IntuneData[Serial number], "")</f>
        <v/>
      </c>
      <c r="K271" s="154"/>
      <c r="L271" s="164" t="str">
        <f>_xlfn.LET(
_xlpm.look, _xlfn.XLOOKUP(ITEquipmentTable[[#This Row],[Name]], VNCTable[ClientName], VNCTable[IP], ""),
_xlpm.chkk, IF(ITEquipmentTable[[#This Row],[IPv4 Address]] = "N/A", "N/A", _xlpm.look),
IF(ITEquipmentTable[[#This Row],[Name]] = "", "", _xlpm.chkk))</f>
        <v/>
      </c>
      <c r="M271" s="1" t="s">
        <v>1673</v>
      </c>
      <c r="N271" s="159" t="str">
        <f>_xlfn.LET(_xlpm.emp, IF(_xlfn.XLOOKUP(ITEquipmentTable[[#This Row],[Assigned Employee]], EmployeeTable[name], EmployeeTable[Active], TRUE), "Employee", "Recover"),
IF(ITEquipmentTable[[#This Row],[Storage Location]] = "Assigned to Employee", _xlpm.emp, "N/A"))</f>
        <v>N/A</v>
      </c>
      <c r="O271" s="161" t="str" cm="1">
        <f t="array" ref="O27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22H2</v>
      </c>
      <c r="P27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71" s="1" t="s">
        <v>298</v>
      </c>
      <c r="T271" s="194"/>
      <c r="U271" s="203"/>
      <c r="X271" s="1">
        <v>8772</v>
      </c>
      <c r="Y271" s="223" t="s">
        <v>1185</v>
      </c>
      <c r="Z271" s="1" t="b">
        <v>0</v>
      </c>
      <c r="AA271"/>
    </row>
    <row r="272" spans="1:27" s="1" customFormat="1" hidden="1" x14ac:dyDescent="0.2">
      <c r="A272" s="155">
        <v>657</v>
      </c>
      <c r="F272" s="195"/>
      <c r="G272" s="164" t="str">
        <f>_xlfn.XLOOKUP(ITEquipmentTable[[#This Row],[Name]], IntuneData[Device name], IntuneData[Serial number], "")</f>
        <v/>
      </c>
      <c r="H272" s="1" t="s">
        <v>295</v>
      </c>
      <c r="I272" s="1" t="s">
        <v>587</v>
      </c>
      <c r="K272" s="154" t="s">
        <v>3433</v>
      </c>
      <c r="L272" s="164" t="str">
        <f>_xlfn.LET(
_xlpm.look, _xlfn.XLOOKUP(ITEquipmentTable[[#This Row],[Name]], VNCTable[ClientName], VNCTable[IP], ""),
_xlpm.chkk, IF(ITEquipmentTable[[#This Row],[IPv4 Address]] = "N/A", "N/A", _xlpm.look),
IF(ITEquipmentTable[[#This Row],[Name]] = "", "", _xlpm.chkk))</f>
        <v>10.68.89.46</v>
      </c>
      <c r="M272" s="1" t="s">
        <v>590</v>
      </c>
      <c r="N272" s="159" t="str">
        <f>_xlfn.LET(_xlpm.emp, IF(_xlfn.XLOOKUP(ITEquipmentTable[[#This Row],[Assigned Employee]], EmployeeTable[name], EmployeeTable[Active], TRUE), "Employee", "Recover"),
IF(ITEquipmentTable[[#This Row],[Storage Location]] = "Assigned to Employee", _xlpm.emp, "N/A"))</f>
        <v>N/A</v>
      </c>
      <c r="O272" s="161" t="str" cm="1">
        <f t="array" ref="O27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27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72" s="1" t="s">
        <v>298</v>
      </c>
      <c r="T272" s="194"/>
      <c r="X272" s="1">
        <v>8779</v>
      </c>
      <c r="Y272" s="223" t="s">
        <v>1187</v>
      </c>
      <c r="Z272" s="1" t="b">
        <v>0</v>
      </c>
      <c r="AA272"/>
    </row>
    <row r="273" spans="1:27" s="1" customFormat="1" hidden="1" x14ac:dyDescent="0.2">
      <c r="A273" s="155">
        <v>658</v>
      </c>
      <c r="F273" s="195"/>
      <c r="G273" s="164" t="str">
        <f>_xlfn.XLOOKUP(ITEquipmentTable[[#This Row],[Name]], IntuneData[Device name], IntuneData[Serial number], "")</f>
        <v/>
      </c>
      <c r="H273" s="1" t="s">
        <v>295</v>
      </c>
      <c r="I273" s="1" t="s">
        <v>592</v>
      </c>
      <c r="K273" s="154" t="s">
        <v>3435</v>
      </c>
      <c r="L273" s="164" t="str">
        <f>_xlfn.LET(
_xlpm.look, _xlfn.XLOOKUP(ITEquipmentTable[[#This Row],[Name]], VNCTable[ClientName], VNCTable[IP], ""),
_xlpm.chkk, IF(ITEquipmentTable[[#This Row],[IPv4 Address]] = "N/A", "N/A", _xlpm.look),
IF(ITEquipmentTable[[#This Row],[Name]] = "", "", _xlpm.chkk))</f>
        <v>10.68.89.44</v>
      </c>
      <c r="M273" s="1" t="s">
        <v>593</v>
      </c>
      <c r="N273" s="159" t="str">
        <f>_xlfn.LET(_xlpm.emp, IF(_xlfn.XLOOKUP(ITEquipmentTable[[#This Row],[Assigned Employee]], EmployeeTable[name], EmployeeTable[Active], TRUE), "Employee", "Recover"),
IF(ITEquipmentTable[[#This Row],[Storage Location]] = "Assigned to Employee", _xlpm.emp, "N/A"))</f>
        <v>N/A</v>
      </c>
      <c r="O273" s="161" t="str" cm="1">
        <f t="array" ref="O27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27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73" s="1" t="s">
        <v>298</v>
      </c>
      <c r="T273" s="194"/>
      <c r="X273" s="1">
        <v>8782</v>
      </c>
      <c r="Y273" s="223" t="s">
        <v>1192</v>
      </c>
      <c r="Z273" s="1" t="b">
        <v>0</v>
      </c>
      <c r="AA273"/>
    </row>
    <row r="274" spans="1:27" s="1" customFormat="1" hidden="1" x14ac:dyDescent="0.2">
      <c r="A274" s="155">
        <v>206</v>
      </c>
      <c r="B274" s="1" t="s">
        <v>323</v>
      </c>
      <c r="C274" s="1" t="s">
        <v>562</v>
      </c>
      <c r="D274" s="1" t="s">
        <v>563</v>
      </c>
      <c r="E274" s="1" t="s">
        <v>306</v>
      </c>
      <c r="F274" s="195" t="s">
        <v>595</v>
      </c>
      <c r="G274" s="159" t="str">
        <f>_xlfn.XLOOKUP(ITEquipmentTable[[#This Row],[Name]], IntuneData[Device name], IntuneData[Serial number], "")</f>
        <v/>
      </c>
      <c r="H274" s="1" t="s">
        <v>295</v>
      </c>
      <c r="I274" s="1" t="s">
        <v>592</v>
      </c>
      <c r="K274" s="154" t="s">
        <v>596</v>
      </c>
      <c r="L274" s="159" t="str">
        <f>_xlfn.LET(
_xlpm.look, _xlfn.XLOOKUP(ITEquipmentTable[[#This Row],[Name]], VNCTable[ClientName], VNCTable[IP], ""),
_xlpm.chkk, IF(ITEquipmentTable[[#This Row],[IPv4 Address]] = "N/A", "N/A", _xlpm.look),
IF(ITEquipmentTable[[#This Row],[Name]] = "", "", _xlpm.chkk))</f>
        <v>10.68.89.114</v>
      </c>
      <c r="M274" s="1" t="s">
        <v>597</v>
      </c>
      <c r="N274" s="159" t="str">
        <f>_xlfn.LET(_xlpm.emp, IF(_xlfn.XLOOKUP(ITEquipmentTable[[#This Row],[Assigned Employee]], EmployeeTable[name], EmployeeTable[Active], TRUE), "Employee", "Recover"),
IF(ITEquipmentTable[[#This Row],[Storage Location]] = "Assigned to Employee", _xlpm.emp, "N/A"))</f>
        <v>N/A</v>
      </c>
      <c r="O274" s="159" t="str" cm="1">
        <f t="array" ref="O27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7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274" s="189" t="s">
        <v>312</v>
      </c>
      <c r="S274" s="189"/>
      <c r="T274" s="194"/>
      <c r="X274" s="1">
        <v>8790</v>
      </c>
      <c r="Y274" s="223" t="s">
        <v>1196</v>
      </c>
      <c r="Z274" s="1" t="b">
        <v>0</v>
      </c>
      <c r="AA274"/>
    </row>
    <row r="275" spans="1:27" s="1" customFormat="1" hidden="1" x14ac:dyDescent="0.2">
      <c r="A275" s="155">
        <v>659</v>
      </c>
      <c r="B275" s="1" t="s">
        <v>323</v>
      </c>
      <c r="F275" s="195"/>
      <c r="G275" s="164" t="str">
        <f>_xlfn.XLOOKUP(ITEquipmentTable[[#This Row],[Name]], IntuneData[Device name], IntuneData[Serial number], "")</f>
        <v/>
      </c>
      <c r="K275" s="154"/>
      <c r="L275" s="164" t="str">
        <f>_xlfn.LET(
_xlpm.look, _xlfn.XLOOKUP(ITEquipmentTable[[#This Row],[Name]], VNCTable[ClientName], VNCTable[IP], ""),
_xlpm.chkk, IF(ITEquipmentTable[[#This Row],[IPv4 Address]] = "N/A", "N/A", _xlpm.look),
IF(ITEquipmentTable[[#This Row],[Name]] = "", "", _xlpm.chkk))</f>
        <v/>
      </c>
      <c r="M275" s="1" t="s">
        <v>1675</v>
      </c>
      <c r="N275" s="159" t="str">
        <f>_xlfn.LET(_xlpm.emp, IF(_xlfn.XLOOKUP(ITEquipmentTable[[#This Row],[Assigned Employee]], EmployeeTable[name], EmployeeTable[Active], TRUE), "Employee", "Recover"),
IF(ITEquipmentTable[[#This Row],[Storage Location]] = "Assigned to Employee", _xlpm.emp, "N/A"))</f>
        <v>N/A</v>
      </c>
      <c r="O275" s="161" t="str" cm="1">
        <f t="array" ref="O27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7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75" s="1" t="s">
        <v>298</v>
      </c>
      <c r="T275" s="194"/>
      <c r="X275" s="1">
        <v>8794</v>
      </c>
      <c r="Y275" s="223" t="s">
        <v>1200</v>
      </c>
      <c r="Z275" s="1" t="b">
        <v>0</v>
      </c>
      <c r="AA275"/>
    </row>
    <row r="276" spans="1:27" s="1" customFormat="1" hidden="1" x14ac:dyDescent="0.2">
      <c r="A276" s="155">
        <v>75</v>
      </c>
      <c r="B276" s="1" t="s">
        <v>304</v>
      </c>
      <c r="C276" s="1" t="s">
        <v>308</v>
      </c>
      <c r="D276" s="1" t="s">
        <v>309</v>
      </c>
      <c r="E276" s="1" t="s">
        <v>310</v>
      </c>
      <c r="F276" s="195" t="s">
        <v>675</v>
      </c>
      <c r="G276" s="159" t="str">
        <f>_xlfn.XLOOKUP(ITEquipmentTable[[#This Row],[Name]], IntuneData[Device name], IntuneData[Serial number], "")</f>
        <v/>
      </c>
      <c r="H276" s="1" t="s">
        <v>295</v>
      </c>
      <c r="I276" s="1" t="s">
        <v>676</v>
      </c>
      <c r="K276" s="154" t="s">
        <v>3538</v>
      </c>
      <c r="L276" s="159" t="str">
        <f>_xlfn.LET(
_xlpm.look, _xlfn.XLOOKUP(ITEquipmentTable[[#This Row],[Name]], VNCTable[ClientName], VNCTable[IP], ""),
_xlpm.chkk, IF(ITEquipmentTable[[#This Row],[IPv4 Address]] = "N/A", "N/A", _xlpm.look),
IF(ITEquipmentTable[[#This Row],[Name]] = "", "", _xlpm.chkk))</f>
        <v>10.68.134.123</v>
      </c>
      <c r="M276" s="1" t="s">
        <v>677</v>
      </c>
      <c r="N276" s="159" t="str">
        <f>_xlfn.LET(_xlpm.emp, IF(_xlfn.XLOOKUP(ITEquipmentTable[[#This Row],[Assigned Employee]], EmployeeTable[name], EmployeeTable[Active], TRUE), "Employee", "Recover"),
IF(ITEquipmentTable[[#This Row],[Storage Location]] = "Assigned to Employee", _xlpm.emp, "N/A"))</f>
        <v>N/A</v>
      </c>
      <c r="O276" s="159" t="str" cm="1">
        <f t="array" ref="O27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27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276" s="189" t="s">
        <v>312</v>
      </c>
      <c r="S276" s="189"/>
      <c r="T276" s="194"/>
      <c r="X276" s="1">
        <v>8806</v>
      </c>
      <c r="Y276" s="223" t="s">
        <v>1203</v>
      </c>
      <c r="Z276" s="1" t="b">
        <v>0</v>
      </c>
      <c r="AA276"/>
    </row>
    <row r="277" spans="1:27" s="1" customFormat="1" hidden="1" x14ac:dyDescent="0.2">
      <c r="A277" s="155">
        <v>42</v>
      </c>
      <c r="B277" s="189" t="s">
        <v>304</v>
      </c>
      <c r="C277" s="189" t="s">
        <v>308</v>
      </c>
      <c r="D277" s="189" t="s">
        <v>416</v>
      </c>
      <c r="E277" s="189" t="s">
        <v>310</v>
      </c>
      <c r="F277" s="201" t="s">
        <v>937</v>
      </c>
      <c r="G277" s="159" t="str">
        <f>_xlfn.XLOOKUP(ITEquipmentTable[[#This Row],[Name]], IntuneData[Device name], IntuneData[Serial number], "")</f>
        <v/>
      </c>
      <c r="H277" s="189" t="s">
        <v>318</v>
      </c>
      <c r="I277" s="189"/>
      <c r="J277" s="189"/>
      <c r="K277" s="219" t="s">
        <v>226</v>
      </c>
      <c r="L277" s="159" t="str">
        <f>_xlfn.LET(
_xlpm.look, _xlfn.XLOOKUP(ITEquipmentTable[[#This Row],[Name]], VNCTable[ClientName], VNCTable[IP], ""),
_xlpm.chkk, IF(ITEquipmentTable[[#This Row],[IPv4 Address]] = "N/A", "N/A", _xlpm.look),
IF(ITEquipmentTable[[#This Row],[Name]] = "", "", _xlpm.chkk))</f>
        <v>N/A</v>
      </c>
      <c r="M277" s="189" t="s">
        <v>938</v>
      </c>
      <c r="N277" s="159" t="str">
        <f>_xlfn.LET(_xlpm.emp, IF(_xlfn.XLOOKUP(ITEquipmentTable[[#This Row],[Assigned Employee]], EmployeeTable[name], EmployeeTable[Active], TRUE), "Employee", "Recover"),
IF(ITEquipmentTable[[#This Row],[Storage Location]] = "Assigned to Employee", _xlpm.emp, "N/A"))</f>
        <v>N/A</v>
      </c>
      <c r="O277" s="159" t="str" cm="1">
        <f t="array" ref="O27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7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277" s="189" t="s">
        <v>441</v>
      </c>
      <c r="R277" s="189" t="s">
        <v>351</v>
      </c>
      <c r="S277" s="189"/>
      <c r="T277" s="194"/>
      <c r="X277" s="1">
        <v>8807</v>
      </c>
      <c r="Y277" s="223" t="s">
        <v>1206</v>
      </c>
      <c r="Z277" s="1" t="b">
        <v>0</v>
      </c>
      <c r="AA277"/>
    </row>
    <row r="278" spans="1:27" s="1" customFormat="1" hidden="1" x14ac:dyDescent="0.2">
      <c r="A278" s="155">
        <v>79</v>
      </c>
      <c r="B278" s="1" t="s">
        <v>304</v>
      </c>
      <c r="C278" s="1" t="s">
        <v>308</v>
      </c>
      <c r="D278" s="1" t="s">
        <v>309</v>
      </c>
      <c r="E278" s="1" t="s">
        <v>310</v>
      </c>
      <c r="F278" s="195" t="s">
        <v>708</v>
      </c>
      <c r="G278" s="159" t="str">
        <f>_xlfn.XLOOKUP(ITEquipmentTable[[#This Row],[Name]], IntuneData[Device name], IntuneData[Serial number], "")</f>
        <v/>
      </c>
      <c r="H278" s="168" t="s">
        <v>318</v>
      </c>
      <c r="I278" s="168"/>
      <c r="J278" s="168"/>
      <c r="K278" s="223" t="s">
        <v>226</v>
      </c>
      <c r="L278" s="159" t="str">
        <f>_xlfn.LET(
_xlpm.look, _xlfn.XLOOKUP(ITEquipmentTable[[#This Row],[Name]], VNCTable[ClientName], VNCTable[IP], ""),
_xlpm.chkk, IF(ITEquipmentTable[[#This Row],[IPv4 Address]] = "N/A", "N/A", _xlpm.look),
IF(ITEquipmentTable[[#This Row],[Name]] = "", "", _xlpm.chkk))</f>
        <v>N/A</v>
      </c>
      <c r="M278" s="168" t="s">
        <v>709</v>
      </c>
      <c r="N278" s="161" t="str">
        <f>_xlfn.LET(_xlpm.emp, IF(_xlfn.XLOOKUP(ITEquipmentTable[[#This Row],[Assigned Employee]], EmployeeTable[name], EmployeeTable[Active], TRUE), "Employee", "Recover"),
IF(ITEquipmentTable[[#This Row],[Storage Location]] = "Assigned to Employee", _xlpm.emp, "N/A"))</f>
        <v>N/A</v>
      </c>
      <c r="O278" s="161" t="str" cm="1">
        <f t="array" ref="O27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7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278" s="168" t="s">
        <v>441</v>
      </c>
      <c r="R278" s="168" t="s">
        <v>351</v>
      </c>
      <c r="T278" s="194"/>
      <c r="X278" s="1">
        <v>8820</v>
      </c>
      <c r="Y278" s="223" t="s">
        <v>1209</v>
      </c>
      <c r="Z278" s="1" t="b">
        <v>0</v>
      </c>
      <c r="AA278"/>
    </row>
    <row r="279" spans="1:27" s="1" customFormat="1" hidden="1" x14ac:dyDescent="0.2">
      <c r="A279" s="155">
        <v>92</v>
      </c>
      <c r="B279" s="1" t="s">
        <v>304</v>
      </c>
      <c r="C279" s="1" t="s">
        <v>308</v>
      </c>
      <c r="D279" s="1" t="s">
        <v>309</v>
      </c>
      <c r="E279" s="1" t="s">
        <v>310</v>
      </c>
      <c r="F279" s="195" t="s">
        <v>784</v>
      </c>
      <c r="G279" s="159" t="str">
        <f>_xlfn.XLOOKUP(ITEquipmentTable[[#This Row],[Name]], IntuneData[Device name], IntuneData[Serial number], "")</f>
        <v/>
      </c>
      <c r="H279" s="1" t="s">
        <v>295</v>
      </c>
      <c r="I279" s="1" t="s">
        <v>785</v>
      </c>
      <c r="K279" s="154" t="s">
        <v>2818</v>
      </c>
      <c r="L279" s="159" t="str">
        <f>_xlfn.LET(
_xlpm.look, _xlfn.XLOOKUP(ITEquipmentTable[[#This Row],[Name]], VNCTable[ClientName], VNCTable[IP], ""),
_xlpm.chkk, IF(ITEquipmentTable[[#This Row],[IPv4 Address]] = "N/A", "N/A", _xlpm.look),
IF(ITEquipmentTable[[#This Row],[Name]] = "", "", _xlpm.chkk))</f>
        <v>10.68.134.26</v>
      </c>
      <c r="M279" s="1" t="s">
        <v>787</v>
      </c>
      <c r="N279" s="159" t="str">
        <f>_xlfn.LET(_xlpm.emp, IF(_xlfn.XLOOKUP(ITEquipmentTable[[#This Row],[Assigned Employee]], EmployeeTable[name], EmployeeTable[Active], TRUE), "Employee", "Recover"),
IF(ITEquipmentTable[[#This Row],[Storage Location]] = "Assigned to Employee", _xlpm.emp, "N/A"))</f>
        <v>N/A</v>
      </c>
      <c r="O279" s="159" t="str" cm="1">
        <f t="array" ref="O27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7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279" s="189" t="s">
        <v>312</v>
      </c>
      <c r="T279" s="194"/>
      <c r="X279" s="1">
        <v>8859</v>
      </c>
      <c r="Y279" s="223" t="s">
        <v>1211</v>
      </c>
      <c r="Z279" s="1" t="b">
        <v>0</v>
      </c>
      <c r="AA279"/>
    </row>
    <row r="280" spans="1:27" s="1" customFormat="1" x14ac:dyDescent="0.2">
      <c r="A280" s="155">
        <v>208</v>
      </c>
      <c r="B280" s="1" t="s">
        <v>304</v>
      </c>
      <c r="C280" s="1" t="s">
        <v>403</v>
      </c>
      <c r="D280" s="1" t="s">
        <v>949</v>
      </c>
      <c r="E280" s="1" t="s">
        <v>306</v>
      </c>
      <c r="F280" s="195" t="s">
        <v>950</v>
      </c>
      <c r="G280" s="159" t="str">
        <f>_xlfn.XLOOKUP(ITEquipmentTable[[#This Row],[Name]], IntuneData[Device name], IntuneData[Serial number], "")</f>
        <v/>
      </c>
      <c r="H280" s="168"/>
      <c r="I280" s="168"/>
      <c r="J280" s="168"/>
      <c r="K280" s="223"/>
      <c r="L280" s="159" t="str">
        <f>_xlfn.LET(
_xlpm.look, _xlfn.XLOOKUP(ITEquipmentTable[[#This Row],[Name]], VNCTable[ClientName], VNCTable[IP], ""),
_xlpm.chkk, IF(ITEquipmentTable[[#This Row],[IPv4 Address]] = "N/A", "N/A", _xlpm.look),
IF(ITEquipmentTable[[#This Row],[Name]] = "", "", _xlpm.chkk))</f>
        <v/>
      </c>
      <c r="M280" s="168" t="s">
        <v>951</v>
      </c>
      <c r="N280" s="161" t="str">
        <f>_xlfn.LET(_xlpm.emp, IF(_xlfn.XLOOKUP(ITEquipmentTable[[#This Row],[Assigned Employee]], EmployeeTable[name], EmployeeTable[Active], TRUE), "Employee", "Recover"),
IF(ITEquipmentTable[[#This Row],[Storage Location]] = "Assigned to Employee", _xlpm.emp, "N/A"))</f>
        <v>N/A</v>
      </c>
      <c r="O280" s="161" t="str" cm="1">
        <f t="array" ref="O28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8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80" s="1" t="s">
        <v>405</v>
      </c>
      <c r="T280" s="194"/>
      <c r="X280" s="1">
        <v>8860</v>
      </c>
      <c r="Y280" s="223" t="s">
        <v>1214</v>
      </c>
      <c r="Z280" s="1" t="b">
        <v>0</v>
      </c>
      <c r="AA280"/>
    </row>
    <row r="281" spans="1:27" s="1" customFormat="1" x14ac:dyDescent="0.2">
      <c r="A281" s="155">
        <v>209</v>
      </c>
      <c r="B281" s="1" t="s">
        <v>304</v>
      </c>
      <c r="C281" s="1" t="s">
        <v>403</v>
      </c>
      <c r="D281" s="1" t="s">
        <v>953</v>
      </c>
      <c r="E281" s="1" t="s">
        <v>306</v>
      </c>
      <c r="F281" s="195" t="s">
        <v>954</v>
      </c>
      <c r="G281" s="159" t="str">
        <f>_xlfn.XLOOKUP(ITEquipmentTable[[#This Row],[Name]], IntuneData[Device name], IntuneData[Serial number], "")</f>
        <v/>
      </c>
      <c r="H281" s="168"/>
      <c r="I281" s="168"/>
      <c r="J281" s="168"/>
      <c r="K281" s="223"/>
      <c r="L281" s="159" t="str">
        <f>_xlfn.LET(
_xlpm.look, _xlfn.XLOOKUP(ITEquipmentTable[[#This Row],[Name]], VNCTable[ClientName], VNCTable[IP], ""),
_xlpm.chkk, IF(ITEquipmentTable[[#This Row],[IPv4 Address]] = "N/A", "N/A", _xlpm.look),
IF(ITEquipmentTable[[#This Row],[Name]] = "", "", _xlpm.chkk))</f>
        <v/>
      </c>
      <c r="M281" s="168" t="s">
        <v>955</v>
      </c>
      <c r="N281" s="161" t="str">
        <f>_xlfn.LET(_xlpm.emp, IF(_xlfn.XLOOKUP(ITEquipmentTable[[#This Row],[Assigned Employee]], EmployeeTable[name], EmployeeTable[Active], TRUE), "Employee", "Recover"),
IF(ITEquipmentTable[[#This Row],[Storage Location]] = "Assigned to Employee", _xlpm.emp, "N/A"))</f>
        <v>N/A</v>
      </c>
      <c r="O281" s="161" t="str" cm="1">
        <f t="array" ref="O28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8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81" s="168"/>
      <c r="R281" s="168"/>
      <c r="S281" s="1" t="s">
        <v>405</v>
      </c>
      <c r="T281" s="194"/>
      <c r="X281" s="1">
        <v>8862</v>
      </c>
      <c r="Y281" s="223" t="s">
        <v>1216</v>
      </c>
      <c r="Z281" s="1" t="b">
        <v>0</v>
      </c>
      <c r="AA281"/>
    </row>
    <row r="282" spans="1:27" s="1" customFormat="1" x14ac:dyDescent="0.2">
      <c r="A282" s="155">
        <v>210</v>
      </c>
      <c r="B282" s="1" t="s">
        <v>304</v>
      </c>
      <c r="C282" s="1" t="s">
        <v>403</v>
      </c>
      <c r="D282" s="1" t="s">
        <v>953</v>
      </c>
      <c r="E282" s="1" t="s">
        <v>306</v>
      </c>
      <c r="F282" s="195" t="s">
        <v>957</v>
      </c>
      <c r="G282" s="159" t="str">
        <f>_xlfn.XLOOKUP(ITEquipmentTable[[#This Row],[Name]], IntuneData[Device name], IntuneData[Serial number], "")</f>
        <v/>
      </c>
      <c r="H282" s="168"/>
      <c r="I282" s="168"/>
      <c r="J282" s="168"/>
      <c r="K282" s="223"/>
      <c r="L282" s="159" t="str">
        <f>_xlfn.LET(
_xlpm.look, _xlfn.XLOOKUP(ITEquipmentTable[[#This Row],[Name]], VNCTable[ClientName], VNCTable[IP], ""),
_xlpm.chkk, IF(ITEquipmentTable[[#This Row],[IPv4 Address]] = "N/A", "N/A", _xlpm.look),
IF(ITEquipmentTable[[#This Row],[Name]] = "", "", _xlpm.chkk))</f>
        <v/>
      </c>
      <c r="M282" s="168" t="s">
        <v>958</v>
      </c>
      <c r="N282" s="161" t="str">
        <f>_xlfn.LET(_xlpm.emp, IF(_xlfn.XLOOKUP(ITEquipmentTable[[#This Row],[Assigned Employee]], EmployeeTable[name], EmployeeTable[Active], TRUE), "Employee", "Recover"),
IF(ITEquipmentTable[[#This Row],[Storage Location]] = "Assigned to Employee", _xlpm.emp, "N/A"))</f>
        <v>N/A</v>
      </c>
      <c r="O282" s="161" t="str" cm="1">
        <f t="array" ref="O28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8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82" s="1" t="s">
        <v>405</v>
      </c>
      <c r="T282" s="194"/>
      <c r="X282" s="1">
        <v>8863</v>
      </c>
      <c r="Y282" s="223" t="s">
        <v>1219</v>
      </c>
      <c r="Z282" s="1" t="b">
        <v>0</v>
      </c>
      <c r="AA282"/>
    </row>
    <row r="283" spans="1:27" s="1" customFormat="1" x14ac:dyDescent="0.2">
      <c r="A283" s="155">
        <v>287</v>
      </c>
      <c r="B283" s="1" t="s">
        <v>304</v>
      </c>
      <c r="C283" s="1" t="s">
        <v>403</v>
      </c>
      <c r="D283" s="1" t="s">
        <v>568</v>
      </c>
      <c r="E283" s="1" t="s">
        <v>306</v>
      </c>
      <c r="F283" s="195" t="s">
        <v>1223</v>
      </c>
      <c r="G283" s="159" t="str">
        <f>_xlfn.XLOOKUP(ITEquipmentTable[[#This Row],[Name]], IntuneData[Device name], IntuneData[Serial number], "")</f>
        <v/>
      </c>
      <c r="H283" s="1" t="s">
        <v>295</v>
      </c>
      <c r="K283" s="154"/>
      <c r="L283" s="159" t="str">
        <f>_xlfn.LET(
_xlpm.look, _xlfn.XLOOKUP(ITEquipmentTable[[#This Row],[Name]], VNCTable[ClientName], VNCTable[IP], ""),
_xlpm.chkk, IF(ITEquipmentTable[[#This Row],[IPv4 Address]] = "N/A", "N/A", _xlpm.look),
IF(ITEquipmentTable[[#This Row],[Name]] = "", "", _xlpm.chkk))</f>
        <v/>
      </c>
      <c r="M283" s="1" t="s">
        <v>1224</v>
      </c>
      <c r="N283" s="159" t="str">
        <f>_xlfn.LET(_xlpm.emp, IF(_xlfn.XLOOKUP(ITEquipmentTable[[#This Row],[Assigned Employee]], EmployeeTable[name], EmployeeTable[Active], TRUE), "Employee", "Recover"),
IF(ITEquipmentTable[[#This Row],[Storage Location]] = "Assigned to Employee", _xlpm.emp, "N/A"))</f>
        <v>N/A</v>
      </c>
      <c r="O283" s="159" t="str" cm="1">
        <f t="array" ref="O28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8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283" s="189" t="s">
        <v>312</v>
      </c>
      <c r="T283" s="194"/>
      <c r="X283" s="1">
        <v>8864</v>
      </c>
      <c r="Y283" s="223" t="s">
        <v>1222</v>
      </c>
      <c r="Z283" s="1" t="b">
        <v>0</v>
      </c>
      <c r="AA283"/>
    </row>
    <row r="284" spans="1:27" s="1" customFormat="1" hidden="1" x14ac:dyDescent="0.2">
      <c r="A284" s="155">
        <v>526</v>
      </c>
      <c r="B284" s="1" t="s">
        <v>294</v>
      </c>
      <c r="C284" s="1" t="s">
        <v>403</v>
      </c>
      <c r="E284" s="1" t="s">
        <v>306</v>
      </c>
      <c r="F284" s="195" t="s">
        <v>3199</v>
      </c>
      <c r="G284" s="164" t="str">
        <f>_xlfn.XLOOKUP(ITEquipmentTable[[#This Row],[Name]], IntuneData[Device name], IntuneData[Serial number], "")</f>
        <v>5CD8256FZY</v>
      </c>
      <c r="H284" s="1" t="s">
        <v>295</v>
      </c>
      <c r="I284" s="1" t="s">
        <v>664</v>
      </c>
      <c r="K284" s="154" t="s">
        <v>508</v>
      </c>
      <c r="L284" s="164" t="str">
        <f>_xlfn.LET(
_xlpm.look, _xlfn.XLOOKUP(ITEquipmentTable[[#This Row],[Name]], VNCTable[ClientName], VNCTable[IP], ""),
_xlpm.chkk, IF(ITEquipmentTable[[#This Row],[IPv4 Address]] = "N/A", "N/A", _xlpm.look),
IF(ITEquipmentTable[[#This Row],[Name]] = "", "", _xlpm.chkk))</f>
        <v/>
      </c>
      <c r="M284" s="1" t="s">
        <v>665</v>
      </c>
      <c r="N284" s="159" t="str">
        <f>_xlfn.LET(_xlpm.emp, IF(_xlfn.XLOOKUP(ITEquipmentTable[[#This Row],[Assigned Employee]], EmployeeTable[name], EmployeeTable[Active], TRUE), "Employee", "Recover"),
IF(ITEquipmentTable[[#This Row],[Storage Location]] = "Assigned to Employee", _xlpm.emp, "N/A"))</f>
        <v>N/A</v>
      </c>
      <c r="O284" s="159" t="str" cm="1">
        <f t="array" ref="O28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28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84" s="1" t="s">
        <v>298</v>
      </c>
      <c r="T284" s="194"/>
      <c r="X284" s="1">
        <v>8867</v>
      </c>
      <c r="Y284" s="223" t="s">
        <v>1225</v>
      </c>
      <c r="Z284" s="1" t="b">
        <v>0</v>
      </c>
      <c r="AA284"/>
    </row>
    <row r="285" spans="1:27" s="1" customFormat="1" hidden="1" x14ac:dyDescent="0.2">
      <c r="A285" s="155">
        <v>212</v>
      </c>
      <c r="B285" s="1" t="s">
        <v>294</v>
      </c>
      <c r="C285" s="1" t="s">
        <v>403</v>
      </c>
      <c r="D285" s="1" t="s">
        <v>1159</v>
      </c>
      <c r="E285" s="1" t="s">
        <v>306</v>
      </c>
      <c r="F285" s="195" t="s">
        <v>1681</v>
      </c>
      <c r="G285" s="159" t="str">
        <f>_xlfn.XLOOKUP(ITEquipmentTable[[#This Row],[Name]], IntuneData[Device name], IntuneData[Serial number], "")</f>
        <v/>
      </c>
      <c r="H285" s="168"/>
      <c r="I285" s="168"/>
      <c r="J285" s="168"/>
      <c r="K285" s="154" t="s">
        <v>508</v>
      </c>
      <c r="L285" s="159" t="str">
        <f>_xlfn.LET(
_xlpm.look, _xlfn.XLOOKUP(ITEquipmentTable[[#This Row],[Name]], VNCTable[ClientName], VNCTable[IP], ""),
_xlpm.chkk, IF(ITEquipmentTable[[#This Row],[IPv4 Address]] = "N/A", "N/A", _xlpm.look),
IF(ITEquipmentTable[[#This Row],[Name]] = "", "", _xlpm.chkk))</f>
        <v/>
      </c>
      <c r="M285" s="168" t="s">
        <v>1682</v>
      </c>
      <c r="N285" s="161" t="str">
        <f>_xlfn.LET(_xlpm.emp, IF(_xlfn.XLOOKUP(ITEquipmentTable[[#This Row],[Assigned Employee]], EmployeeTable[name], EmployeeTable[Active], TRUE), "Employee", "Recover"),
IF(ITEquipmentTable[[#This Row],[Storage Location]] = "Assigned to Employee", _xlpm.emp, "N/A"))</f>
        <v>N/A</v>
      </c>
      <c r="O285" s="161" t="str" cm="1">
        <f t="array" ref="O28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8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85" s="1" t="s">
        <v>405</v>
      </c>
      <c r="T285" s="194"/>
      <c r="X285" s="1">
        <v>8868</v>
      </c>
      <c r="Y285" s="223" t="s">
        <v>1228</v>
      </c>
      <c r="Z285" s="1" t="b">
        <v>0</v>
      </c>
      <c r="AA285"/>
    </row>
    <row r="286" spans="1:27" s="1" customFormat="1" hidden="1" x14ac:dyDescent="0.2">
      <c r="A286" s="155">
        <v>517</v>
      </c>
      <c r="B286" s="1" t="s">
        <v>294</v>
      </c>
      <c r="C286" s="1" t="s">
        <v>403</v>
      </c>
      <c r="E286" s="1" t="s">
        <v>306</v>
      </c>
      <c r="F286" s="195"/>
      <c r="G286" s="164" t="str">
        <f>_xlfn.XLOOKUP(ITEquipmentTable[[#This Row],[Name]], IntuneData[Device name], IntuneData[Serial number], "")</f>
        <v/>
      </c>
      <c r="H286" s="1" t="s">
        <v>384</v>
      </c>
      <c r="J286" s="1" t="s">
        <v>558</v>
      </c>
      <c r="K286" s="154" t="s">
        <v>508</v>
      </c>
      <c r="L286" s="164" t="str">
        <f>_xlfn.LET(
_xlpm.look, _xlfn.XLOOKUP(ITEquipmentTable[[#This Row],[Name]], VNCTable[ClientName], VNCTable[IP], ""),
_xlpm.chkk, IF(ITEquipmentTable[[#This Row],[IPv4 Address]] = "N/A", "N/A", _xlpm.look),
IF(ITEquipmentTable[[#This Row],[Name]] = "", "", _xlpm.chkk))</f>
        <v/>
      </c>
      <c r="M286" s="1" t="s">
        <v>1683</v>
      </c>
      <c r="N286" s="159" t="str">
        <f>_xlfn.LET(_xlpm.emp, IF(_xlfn.XLOOKUP(ITEquipmentTable[[#This Row],[Assigned Employee]], EmployeeTable[name], EmployeeTable[Active], TRUE), "Employee", "Recover"),
IF(ITEquipmentTable[[#This Row],[Storage Location]] = "Assigned to Employee", _xlpm.emp, "N/A"))</f>
        <v>Employee</v>
      </c>
      <c r="O286" s="159" t="str" cm="1">
        <f t="array" ref="O28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28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286" s="1" t="s">
        <v>312</v>
      </c>
      <c r="S286" s="1" t="s">
        <v>313</v>
      </c>
      <c r="T286" s="194"/>
      <c r="X286" s="1">
        <v>8870</v>
      </c>
      <c r="Y286" s="223" t="s">
        <v>1231</v>
      </c>
      <c r="Z286" s="1" t="b">
        <v>0</v>
      </c>
      <c r="AA286"/>
    </row>
    <row r="287" spans="1:27" s="1" customFormat="1" hidden="1" x14ac:dyDescent="0.2">
      <c r="A287" s="155">
        <v>899</v>
      </c>
      <c r="B287" s="1" t="s">
        <v>294</v>
      </c>
      <c r="C287" s="1" t="s">
        <v>403</v>
      </c>
      <c r="D287" s="1" t="s">
        <v>656</v>
      </c>
      <c r="E287" s="1" t="s">
        <v>306</v>
      </c>
      <c r="F287" s="195" t="s">
        <v>1684</v>
      </c>
      <c r="G287" s="164" t="str">
        <f>_xlfn.XLOOKUP(ITEquipmentTable[[#This Row],[Name]], IntuneData[Device name], IntuneData[Serial number], "")</f>
        <v/>
      </c>
      <c r="H287" s="1" t="s">
        <v>318</v>
      </c>
      <c r="K287" s="154" t="s">
        <v>226</v>
      </c>
      <c r="L287" s="164" t="str">
        <f>_xlfn.LET(
_xlpm.look, _xlfn.XLOOKUP(ITEquipmentTable[[#This Row],[Name]], VNCTable[ClientName], VNCTable[IP], ""),
_xlpm.chkk, IF(ITEquipmentTable[[#This Row],[IPv4 Address]] = "N/A", "N/A", _xlpm.look),
IF(ITEquipmentTable[[#This Row],[Name]] = "", "", _xlpm.chkk))</f>
        <v>N/A</v>
      </c>
      <c r="M287" s="1" t="s">
        <v>1685</v>
      </c>
      <c r="N287" s="161" t="str">
        <f>_xlfn.LET(_xlpm.emp, IF(_xlfn.XLOOKUP(ITEquipmentTable[[#This Row],[Assigned Employee]], EmployeeTable[name], EmployeeTable[Active], TRUE), "Employee", "Recover"),
IF(ITEquipmentTable[[#This Row],[Storage Location]] = "Assigned to Employee", _xlpm.emp, "N/A"))</f>
        <v>N/A</v>
      </c>
      <c r="O287" s="161" t="str" cm="1">
        <f t="array" ref="O28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28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287" s="1" t="s">
        <v>1686</v>
      </c>
      <c r="R287" s="1" t="s">
        <v>351</v>
      </c>
      <c r="T287" s="194"/>
      <c r="X287" s="1">
        <v>8871</v>
      </c>
      <c r="Y287" s="223" t="s">
        <v>1235</v>
      </c>
      <c r="Z287" s="1" t="b">
        <v>0</v>
      </c>
      <c r="AA287"/>
    </row>
    <row r="288" spans="1:27" s="1" customFormat="1" hidden="1" x14ac:dyDescent="0.2">
      <c r="A288" s="155">
        <v>472</v>
      </c>
      <c r="B288" s="1" t="s">
        <v>304</v>
      </c>
      <c r="F288" s="195"/>
      <c r="G288" s="159" t="str">
        <f>_xlfn.XLOOKUP(ITEquipmentTable[[#This Row],[Name]], IntuneData[Device name], IntuneData[Serial number], "")</f>
        <v/>
      </c>
      <c r="H288" s="168" t="s">
        <v>295</v>
      </c>
      <c r="I288" s="168" t="s">
        <v>1717</v>
      </c>
      <c r="J288" s="168"/>
      <c r="K288" s="154" t="s">
        <v>1129</v>
      </c>
      <c r="L288" s="159" t="str">
        <f>_xlfn.LET(
_xlpm.look, _xlfn.XLOOKUP(ITEquipmentTable[[#This Row],[Name]], VNCTable[ClientName], VNCTable[IP], ""),
_xlpm.chkk, IF(ITEquipmentTable[[#This Row],[IPv4 Address]] = "N/A", "N/A", _xlpm.look),
IF(ITEquipmentTable[[#This Row],[Name]] = "", "", _xlpm.chkk))</f>
        <v/>
      </c>
      <c r="M288" s="168" t="s">
        <v>1718</v>
      </c>
      <c r="N288" s="161" t="str">
        <f>_xlfn.LET(_xlpm.emp, IF(_xlfn.XLOOKUP(ITEquipmentTable[[#This Row],[Assigned Employee]], EmployeeTable[name], EmployeeTable[Active], TRUE), "Employee", "Recover"),
IF(ITEquipmentTable[[#This Row],[Storage Location]] = "Assigned to Employee", _xlpm.emp, "N/A"))</f>
        <v>N/A</v>
      </c>
      <c r="O288" s="161" t="str" cm="1">
        <f t="array" ref="O28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28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88" s="193"/>
      <c r="R288" s="193" t="s">
        <v>312</v>
      </c>
      <c r="S288" s="1" t="s">
        <v>299</v>
      </c>
      <c r="T288" s="194"/>
      <c r="X288" s="1">
        <v>8874</v>
      </c>
      <c r="Y288" s="223" t="s">
        <v>1239</v>
      </c>
      <c r="Z288" s="1" t="b">
        <v>0</v>
      </c>
      <c r="AA288"/>
    </row>
    <row r="289" spans="1:27" s="1" customFormat="1" x14ac:dyDescent="0.2">
      <c r="A289" s="155">
        <v>216</v>
      </c>
      <c r="B289" s="1" t="s">
        <v>304</v>
      </c>
      <c r="C289" s="1" t="s">
        <v>403</v>
      </c>
      <c r="D289" s="1" t="s">
        <v>967</v>
      </c>
      <c r="E289" s="1" t="s">
        <v>306</v>
      </c>
      <c r="F289" s="195" t="s">
        <v>968</v>
      </c>
      <c r="G289" s="159" t="str">
        <f>_xlfn.XLOOKUP(ITEquipmentTable[[#This Row],[Name]], IntuneData[Device name], IntuneData[Serial number], "")</f>
        <v>8CG7205V7Z</v>
      </c>
      <c r="H289" s="1" t="s">
        <v>295</v>
      </c>
      <c r="I289" s="1" t="s">
        <v>969</v>
      </c>
      <c r="K289" s="154" t="s">
        <v>508</v>
      </c>
      <c r="L289" s="159" t="str">
        <f>_xlfn.LET(
_xlpm.look, _xlfn.XLOOKUP(ITEquipmentTable[[#This Row],[Name]], VNCTable[ClientName], VNCTable[IP], ""),
_xlpm.chkk, IF(ITEquipmentTable[[#This Row],[IPv4 Address]] = "N/A", "N/A", _xlpm.look),
IF(ITEquipmentTable[[#This Row],[Name]] = "", "", _xlpm.chkk))</f>
        <v>DHCP</v>
      </c>
      <c r="M289" s="1" t="s">
        <v>970</v>
      </c>
      <c r="N289" s="159" t="str">
        <f>_xlfn.LET(_xlpm.emp, IF(_xlfn.XLOOKUP(ITEquipmentTable[[#This Row],[Assigned Employee]], EmployeeTable[name], EmployeeTable[Active], TRUE), "Employee", "Recover"),
IF(ITEquipmentTable[[#This Row],[Storage Location]] = "Assigned to Employee", _xlpm.emp, "N/A"))</f>
        <v>N/A</v>
      </c>
      <c r="O289" s="159" t="str" cm="1">
        <f t="array" ref="O28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8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289" s="1" t="s">
        <v>312</v>
      </c>
      <c r="T289" s="194"/>
      <c r="X289" s="1">
        <v>8884</v>
      </c>
      <c r="Y289" s="223" t="s">
        <v>1241</v>
      </c>
      <c r="Z289" s="1" t="b">
        <v>0</v>
      </c>
      <c r="AA289"/>
    </row>
    <row r="290" spans="1:27" s="1" customFormat="1" hidden="1" x14ac:dyDescent="0.2">
      <c r="A290" s="155">
        <v>476</v>
      </c>
      <c r="B290" s="1" t="s">
        <v>294</v>
      </c>
      <c r="C290" s="1" t="s">
        <v>403</v>
      </c>
      <c r="E290" s="1" t="s">
        <v>306</v>
      </c>
      <c r="F290" s="195"/>
      <c r="G290" s="164" t="str">
        <f>_xlfn.XLOOKUP(ITEquipmentTable[[#This Row],[Name]], IntuneData[Device name], IntuneData[Serial number], "")</f>
        <v/>
      </c>
      <c r="H290" s="1" t="s">
        <v>384</v>
      </c>
      <c r="J290" s="1" t="s">
        <v>594</v>
      </c>
      <c r="K290" s="154" t="s">
        <v>508</v>
      </c>
      <c r="L290" s="164" t="str">
        <f>_xlfn.LET(
_xlpm.look, _xlfn.XLOOKUP(ITEquipmentTable[[#This Row],[Name]], VNCTable[ClientName], VNCTable[IP], ""),
_xlpm.chkk, IF(ITEquipmentTable[[#This Row],[IPv4 Address]] = "N/A", "N/A", _xlpm.look),
IF(ITEquipmentTable[[#This Row],[Name]] = "", "", _xlpm.chkk))</f>
        <v/>
      </c>
      <c r="M290" s="1" t="s">
        <v>1690</v>
      </c>
      <c r="N290" s="159" t="str">
        <f>_xlfn.LET(_xlpm.emp, IF(_xlfn.XLOOKUP(ITEquipmentTable[[#This Row],[Assigned Employee]], EmployeeTable[name], EmployeeTable[Active], TRUE), "Employee", "Recover"),
IF(ITEquipmentTable[[#This Row],[Storage Location]] = "Assigned to Employee", _xlpm.emp, "N/A"))</f>
        <v>Employee</v>
      </c>
      <c r="O290" s="159" t="str" cm="1">
        <f t="array" ref="O29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9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290" s="193" t="s">
        <v>312</v>
      </c>
      <c r="S290" s="1" t="s">
        <v>313</v>
      </c>
      <c r="T290" s="194"/>
      <c r="X290" s="1">
        <v>8887</v>
      </c>
      <c r="Y290" s="223" t="s">
        <v>1243</v>
      </c>
      <c r="Z290" s="1" t="b">
        <v>0</v>
      </c>
      <c r="AA290"/>
    </row>
    <row r="291" spans="1:27" s="1" customFormat="1" hidden="1" x14ac:dyDescent="0.2">
      <c r="A291" s="155">
        <v>218</v>
      </c>
      <c r="B291" s="1" t="s">
        <v>294</v>
      </c>
      <c r="C291" s="1" t="s">
        <v>403</v>
      </c>
      <c r="D291" s="1" t="s">
        <v>1179</v>
      </c>
      <c r="E291" s="1" t="s">
        <v>306</v>
      </c>
      <c r="F291" s="195" t="s">
        <v>1692</v>
      </c>
      <c r="G291" s="159" t="str">
        <f>_xlfn.XLOOKUP(ITEquipmentTable[[#This Row],[Name]], IntuneData[Device name], IntuneData[Serial number], "")</f>
        <v/>
      </c>
      <c r="H291" s="168"/>
      <c r="I291" s="168"/>
      <c r="J291" s="168"/>
      <c r="K291" s="154" t="s">
        <v>508</v>
      </c>
      <c r="L291" s="159" t="str">
        <f>_xlfn.LET(
_xlpm.look, _xlfn.XLOOKUP(ITEquipmentTable[[#This Row],[Name]], VNCTable[ClientName], VNCTable[IP], ""),
_xlpm.chkk, IF(ITEquipmentTable[[#This Row],[IPv4 Address]] = "N/A", "N/A", _xlpm.look),
IF(ITEquipmentTable[[#This Row],[Name]] = "", "", _xlpm.chkk))</f>
        <v/>
      </c>
      <c r="M291" s="168" t="s">
        <v>1693</v>
      </c>
      <c r="N291" s="161" t="str">
        <f>_xlfn.LET(_xlpm.emp, IF(_xlfn.XLOOKUP(ITEquipmentTable[[#This Row],[Assigned Employee]], EmployeeTable[name], EmployeeTable[Active], TRUE), "Employee", "Recover"),
IF(ITEquipmentTable[[#This Row],[Storage Location]] = "Assigned to Employee", _xlpm.emp, "N/A"))</f>
        <v>N/A</v>
      </c>
      <c r="O291" s="161" t="str" cm="1">
        <f t="array" ref="O29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9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91" s="168"/>
      <c r="R291" s="168"/>
      <c r="S291" s="1" t="s">
        <v>405</v>
      </c>
      <c r="T291" s="194"/>
      <c r="X291" s="1">
        <v>8888</v>
      </c>
      <c r="Y291" s="223" t="s">
        <v>1245</v>
      </c>
      <c r="Z291" s="1" t="b">
        <v>0</v>
      </c>
      <c r="AA291"/>
    </row>
    <row r="292" spans="1:27" s="1" customFormat="1" hidden="1" x14ac:dyDescent="0.2">
      <c r="A292" s="155">
        <v>219</v>
      </c>
      <c r="B292" s="1" t="s">
        <v>294</v>
      </c>
      <c r="C292" s="1" t="s">
        <v>403</v>
      </c>
      <c r="D292" s="1" t="s">
        <v>1179</v>
      </c>
      <c r="E292" s="1" t="s">
        <v>306</v>
      </c>
      <c r="F292" s="195" t="s">
        <v>1694</v>
      </c>
      <c r="G292" s="159" t="str">
        <f>_xlfn.XLOOKUP(ITEquipmentTable[[#This Row],[Name]], IntuneData[Device name], IntuneData[Serial number], "")</f>
        <v/>
      </c>
      <c r="H292" s="168"/>
      <c r="I292" s="168"/>
      <c r="J292" s="168"/>
      <c r="K292" s="154" t="s">
        <v>508</v>
      </c>
      <c r="L292" s="159" t="str">
        <f>_xlfn.LET(
_xlpm.look, _xlfn.XLOOKUP(ITEquipmentTable[[#This Row],[Name]], VNCTable[ClientName], VNCTable[IP], ""),
_xlpm.chkk, IF(ITEquipmentTable[[#This Row],[IPv4 Address]] = "N/A", "N/A", _xlpm.look),
IF(ITEquipmentTable[[#This Row],[Name]] = "", "", _xlpm.chkk))</f>
        <v/>
      </c>
      <c r="M292" s="168" t="s">
        <v>1695</v>
      </c>
      <c r="N292" s="161" t="str">
        <f>_xlfn.LET(_xlpm.emp, IF(_xlfn.XLOOKUP(ITEquipmentTable[[#This Row],[Assigned Employee]], EmployeeTable[name], EmployeeTable[Active], TRUE), "Employee", "Recover"),
IF(ITEquipmentTable[[#This Row],[Storage Location]] = "Assigned to Employee", _xlpm.emp, "N/A"))</f>
        <v>N/A</v>
      </c>
      <c r="O292" s="161" t="str" cm="1">
        <f t="array" ref="O29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9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92" s="1" t="s">
        <v>405</v>
      </c>
      <c r="T292" s="194"/>
      <c r="X292" s="1">
        <v>8889</v>
      </c>
      <c r="Y292" s="223" t="s">
        <v>1248</v>
      </c>
      <c r="Z292" s="1" t="b">
        <v>0</v>
      </c>
      <c r="AA292"/>
    </row>
    <row r="293" spans="1:27" s="1" customFormat="1" hidden="1" x14ac:dyDescent="0.2">
      <c r="A293" s="155">
        <v>661</v>
      </c>
      <c r="B293" s="1" t="s">
        <v>294</v>
      </c>
      <c r="C293" s="1" t="s">
        <v>403</v>
      </c>
      <c r="E293" s="1" t="s">
        <v>306</v>
      </c>
      <c r="F293" s="195" t="s">
        <v>3308</v>
      </c>
      <c r="G293" s="164" t="str">
        <f>_xlfn.XLOOKUP(ITEquipmentTable[[#This Row],[Name]], IntuneData[Device name], IntuneData[Serial number], "")</f>
        <v>5CG4193FWR</v>
      </c>
      <c r="K293" s="154" t="s">
        <v>508</v>
      </c>
      <c r="L293" s="164" t="str">
        <f>_xlfn.LET(
_xlpm.look, _xlfn.XLOOKUP(ITEquipmentTable[[#This Row],[Name]], VNCTable[ClientName], VNCTable[IP], ""),
_xlpm.chkk, IF(ITEquipmentTable[[#This Row],[IPv4 Address]] = "N/A", "N/A", _xlpm.look),
IF(ITEquipmentTable[[#This Row],[Name]] = "", "", _xlpm.chkk))</f>
        <v/>
      </c>
      <c r="M293" s="1" t="s">
        <v>1696</v>
      </c>
      <c r="N293" s="159" t="str">
        <f>_xlfn.LET(_xlpm.emp, IF(_xlfn.XLOOKUP(ITEquipmentTable[[#This Row],[Assigned Employee]], EmployeeTable[name], EmployeeTable[Active], TRUE), "Employee", "Recover"),
IF(ITEquipmentTable[[#This Row],[Storage Location]] = "Assigned to Employee", _xlpm.emp, "N/A"))</f>
        <v>N/A</v>
      </c>
      <c r="O293" s="161" t="str" cm="1">
        <f t="array" ref="O29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22H2</v>
      </c>
      <c r="P29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93" s="1" t="s">
        <v>298</v>
      </c>
      <c r="T293" s="194"/>
      <c r="X293" s="1">
        <v>8894</v>
      </c>
      <c r="Y293" s="223" t="s">
        <v>1252</v>
      </c>
      <c r="Z293" s="1" t="b">
        <v>0</v>
      </c>
      <c r="AA293"/>
    </row>
    <row r="294" spans="1:27" s="1" customFormat="1" hidden="1" x14ac:dyDescent="0.2">
      <c r="A294" s="217">
        <v>220</v>
      </c>
      <c r="B294" s="189" t="s">
        <v>294</v>
      </c>
      <c r="C294" s="189" t="s">
        <v>403</v>
      </c>
      <c r="E294" s="189" t="s">
        <v>306</v>
      </c>
      <c r="F294" s="195"/>
      <c r="G294" s="159" t="str">
        <f>_xlfn.XLOOKUP(ITEquipmentTable[[#This Row],[Name]], IntuneData[Device name], IntuneData[Serial number], "")</f>
        <v/>
      </c>
      <c r="H294" s="1" t="s">
        <v>384</v>
      </c>
      <c r="I294" s="193"/>
      <c r="J294" s="193" t="s">
        <v>697</v>
      </c>
      <c r="K294" s="154" t="s">
        <v>508</v>
      </c>
      <c r="L294" s="159" t="str">
        <f>_xlfn.LET(
_xlpm.look, _xlfn.XLOOKUP(ITEquipmentTable[[#This Row],[Name]], VNCTable[ClientName], VNCTable[IP], ""),
_xlpm.chkk, IF(ITEquipmentTable[[#This Row],[IPv4 Address]] = "N/A", "N/A", _xlpm.look),
IF(ITEquipmentTable[[#This Row],[Name]] = "", "", _xlpm.chkk))</f>
        <v/>
      </c>
      <c r="M294" s="193" t="s">
        <v>1697</v>
      </c>
      <c r="N294" s="161" t="str">
        <f>_xlfn.LET(_xlpm.emp, IF(_xlfn.XLOOKUP(ITEquipmentTable[[#This Row],[Assigned Employee]], EmployeeTable[name], EmployeeTable[Active], TRUE), "Employee", "Recover"),
IF(ITEquipmentTable[[#This Row],[Storage Location]] = "Assigned to Employee", _xlpm.emp, "N/A"))</f>
        <v>Employee</v>
      </c>
      <c r="O294" s="161" t="str" cm="1">
        <f t="array" ref="O29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9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94" s="193"/>
      <c r="R294" s="189" t="s">
        <v>312</v>
      </c>
      <c r="S294" s="189" t="s">
        <v>313</v>
      </c>
      <c r="T294" s="194"/>
      <c r="X294" s="1">
        <v>8895</v>
      </c>
      <c r="Y294" s="223" t="s">
        <v>1256</v>
      </c>
      <c r="Z294" s="1" t="b">
        <v>0</v>
      </c>
      <c r="AA294"/>
    </row>
    <row r="295" spans="1:27" s="1" customFormat="1" hidden="1" x14ac:dyDescent="0.2">
      <c r="A295" s="155">
        <v>221</v>
      </c>
      <c r="B295" s="1" t="s">
        <v>294</v>
      </c>
      <c r="C295" s="1" t="s">
        <v>403</v>
      </c>
      <c r="D295" s="1" t="s">
        <v>656</v>
      </c>
      <c r="E295" s="1" t="s">
        <v>306</v>
      </c>
      <c r="F295" s="195" t="s">
        <v>1698</v>
      </c>
      <c r="G295" s="159" t="str">
        <f>_xlfn.XLOOKUP(ITEquipmentTable[[#This Row],[Name]], IntuneData[Device name], IntuneData[Serial number], "")</f>
        <v/>
      </c>
      <c r="H295" s="168"/>
      <c r="I295" s="168"/>
      <c r="J295" s="168"/>
      <c r="K295" s="154" t="s">
        <v>508</v>
      </c>
      <c r="L295" s="159" t="str">
        <f>_xlfn.LET(
_xlpm.look, _xlfn.XLOOKUP(ITEquipmentTable[[#This Row],[Name]], VNCTable[ClientName], VNCTable[IP], ""),
_xlpm.chkk, IF(ITEquipmentTable[[#This Row],[IPv4 Address]] = "N/A", "N/A", _xlpm.look),
IF(ITEquipmentTable[[#This Row],[Name]] = "", "", _xlpm.chkk))</f>
        <v/>
      </c>
      <c r="M295" s="168" t="s">
        <v>1699</v>
      </c>
      <c r="N295" s="161" t="str">
        <f>_xlfn.LET(_xlpm.emp, IF(_xlfn.XLOOKUP(ITEquipmentTable[[#This Row],[Assigned Employee]], EmployeeTable[name], EmployeeTable[Active], TRUE), "Employee", "Recover"),
IF(ITEquipmentTable[[#This Row],[Storage Location]] = "Assigned to Employee", _xlpm.emp, "N/A"))</f>
        <v>N/A</v>
      </c>
      <c r="O295" s="161" t="str" cm="1">
        <f t="array" ref="O29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9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95" s="168"/>
      <c r="R295" s="168"/>
      <c r="S295" s="1" t="s">
        <v>405</v>
      </c>
      <c r="T295" s="194"/>
      <c r="X295" s="1">
        <v>8898</v>
      </c>
      <c r="Y295" s="223" t="s">
        <v>1259</v>
      </c>
      <c r="Z295" s="1" t="b">
        <v>0</v>
      </c>
      <c r="AA295"/>
    </row>
    <row r="296" spans="1:27" s="1" customFormat="1" hidden="1" x14ac:dyDescent="0.2">
      <c r="A296" s="155">
        <v>223</v>
      </c>
      <c r="B296" s="1" t="s">
        <v>294</v>
      </c>
      <c r="C296" s="1" t="s">
        <v>403</v>
      </c>
      <c r="D296" s="1" t="s">
        <v>1170</v>
      </c>
      <c r="E296" s="1" t="s">
        <v>306</v>
      </c>
      <c r="F296" s="195" t="s">
        <v>1700</v>
      </c>
      <c r="G296" s="159" t="str">
        <f>_xlfn.XLOOKUP(ITEquipmentTable[[#This Row],[Name]], IntuneData[Device name], IntuneData[Serial number], "")</f>
        <v/>
      </c>
      <c r="H296" s="168" t="s">
        <v>384</v>
      </c>
      <c r="I296" s="168"/>
      <c r="J296" s="168" t="s">
        <v>710</v>
      </c>
      <c r="K296" s="154" t="s">
        <v>508</v>
      </c>
      <c r="L296" s="159" t="str">
        <f>_xlfn.LET(
_xlpm.look, _xlfn.XLOOKUP(ITEquipmentTable[[#This Row],[Name]], VNCTable[ClientName], VNCTable[IP], ""),
_xlpm.chkk, IF(ITEquipmentTable[[#This Row],[IPv4 Address]] = "N/A", "N/A", _xlpm.look),
IF(ITEquipmentTable[[#This Row],[Name]] = "", "", _xlpm.chkk))</f>
        <v/>
      </c>
      <c r="M296" s="168" t="s">
        <v>1701</v>
      </c>
      <c r="N296" s="161" t="str">
        <f>_xlfn.LET(_xlpm.emp, IF(_xlfn.XLOOKUP(ITEquipmentTable[[#This Row],[Assigned Employee]], EmployeeTable[name], EmployeeTable[Active], TRUE), "Employee", "Recover"),
IF(ITEquipmentTable[[#This Row],[Storage Location]] = "Assigned to Employee", _xlpm.emp, "N/A"))</f>
        <v>Employee</v>
      </c>
      <c r="O296" s="161" t="str" cm="1">
        <f t="array" ref="O29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LTSB</v>
      </c>
      <c r="P29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S296" s="1" t="s">
        <v>405</v>
      </c>
      <c r="T296" s="194"/>
      <c r="X296" s="1">
        <v>8902</v>
      </c>
      <c r="Y296" s="223" t="s">
        <v>1261</v>
      </c>
      <c r="Z296" s="1" t="b">
        <v>0</v>
      </c>
      <c r="AA296"/>
    </row>
    <row r="297" spans="1:27" s="1" customFormat="1" hidden="1" x14ac:dyDescent="0.2">
      <c r="A297" s="155">
        <v>529</v>
      </c>
      <c r="B297" s="1" t="s">
        <v>294</v>
      </c>
      <c r="C297" s="1" t="s">
        <v>403</v>
      </c>
      <c r="E297" s="1" t="s">
        <v>306</v>
      </c>
      <c r="F297" s="195"/>
      <c r="G297" s="164" t="str">
        <f>_xlfn.XLOOKUP(ITEquipmentTable[[#This Row],[Name]], IntuneData[Device name], IntuneData[Serial number], "")</f>
        <v/>
      </c>
      <c r="K297" s="154" t="s">
        <v>508</v>
      </c>
      <c r="L297" s="164" t="str">
        <f>_xlfn.LET(
_xlpm.look, _xlfn.XLOOKUP(ITEquipmentTable[[#This Row],[Name]], VNCTable[ClientName], VNCTable[IP], ""),
_xlpm.chkk, IF(ITEquipmentTable[[#This Row],[IPv4 Address]] = "N/A", "N/A", _xlpm.look),
IF(ITEquipmentTable[[#This Row],[Name]] = "", "", _xlpm.chkk))</f>
        <v/>
      </c>
      <c r="M297" s="1" t="s">
        <v>1702</v>
      </c>
      <c r="N297" s="159" t="str">
        <f>_xlfn.LET(_xlpm.emp, IF(_xlfn.XLOOKUP(ITEquipmentTable[[#This Row],[Assigned Employee]], EmployeeTable[name], EmployeeTable[Active], TRUE), "Employee", "Recover"),
IF(ITEquipmentTable[[#This Row],[Storage Location]] = "Assigned to Employee", _xlpm.emp, "N/A"))</f>
        <v>N/A</v>
      </c>
      <c r="O297" s="159" t="str" cm="1">
        <f t="array" ref="O29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9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297" s="1" t="s">
        <v>298</v>
      </c>
      <c r="T297" s="194"/>
      <c r="X297" s="1">
        <v>8905</v>
      </c>
      <c r="Y297" s="223" t="s">
        <v>1264</v>
      </c>
      <c r="Z297" s="1" t="b">
        <v>0</v>
      </c>
      <c r="AA297"/>
    </row>
    <row r="298" spans="1:27" s="1" customFormat="1" hidden="1" x14ac:dyDescent="0.2">
      <c r="A298" s="155">
        <v>225</v>
      </c>
      <c r="B298" s="1" t="s">
        <v>294</v>
      </c>
      <c r="C298" s="1" t="s">
        <v>403</v>
      </c>
      <c r="D298" s="1" t="s">
        <v>1155</v>
      </c>
      <c r="E298" s="1" t="s">
        <v>306</v>
      </c>
      <c r="F298" s="195" t="s">
        <v>1703</v>
      </c>
      <c r="G298" s="159" t="str">
        <f>_xlfn.XLOOKUP(ITEquipmentTable[[#This Row],[Name]], IntuneData[Device name], IntuneData[Serial number], "")</f>
        <v/>
      </c>
      <c r="H298" s="168"/>
      <c r="I298" s="168"/>
      <c r="J298" s="168"/>
      <c r="K298" s="154" t="s">
        <v>508</v>
      </c>
      <c r="L298" s="159" t="str">
        <f>_xlfn.LET(
_xlpm.look, _xlfn.XLOOKUP(ITEquipmentTable[[#This Row],[Name]], VNCTable[ClientName], VNCTable[IP], ""),
_xlpm.chkk, IF(ITEquipmentTable[[#This Row],[IPv4 Address]] = "N/A", "N/A", _xlpm.look),
IF(ITEquipmentTable[[#This Row],[Name]] = "", "", _xlpm.chkk))</f>
        <v/>
      </c>
      <c r="M298" s="168" t="s">
        <v>1704</v>
      </c>
      <c r="N298" s="161" t="str">
        <f>_xlfn.LET(_xlpm.emp, IF(_xlfn.XLOOKUP(ITEquipmentTable[[#This Row],[Assigned Employee]], EmployeeTable[name], EmployeeTable[Active], TRUE), "Employee", "Recover"),
IF(ITEquipmentTable[[#This Row],[Storage Location]] = "Assigned to Employee", _xlpm.emp, "N/A"))</f>
        <v>N/A</v>
      </c>
      <c r="O298" s="161" t="str" cm="1">
        <f t="array" ref="O29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29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298" s="168"/>
      <c r="R298" s="168"/>
      <c r="S298" s="1" t="s">
        <v>405</v>
      </c>
      <c r="T298" s="194"/>
      <c r="X298" s="1">
        <v>8906</v>
      </c>
      <c r="Y298" s="223" t="s">
        <v>1267</v>
      </c>
      <c r="Z298" s="1" t="b">
        <v>0</v>
      </c>
      <c r="AA298"/>
    </row>
    <row r="299" spans="1:27" s="1" customFormat="1" hidden="1" x14ac:dyDescent="0.2">
      <c r="A299" s="155">
        <v>226</v>
      </c>
      <c r="B299" s="1" t="s">
        <v>294</v>
      </c>
      <c r="C299" s="1" t="s">
        <v>403</v>
      </c>
      <c r="D299" s="1" t="s">
        <v>1705</v>
      </c>
      <c r="E299" s="1" t="s">
        <v>306</v>
      </c>
      <c r="F299" s="195" t="s">
        <v>1706</v>
      </c>
      <c r="G299" s="159" t="str">
        <f>_xlfn.XLOOKUP(ITEquipmentTable[[#This Row],[Name]], IntuneData[Device name], IntuneData[Serial number], "")</f>
        <v/>
      </c>
      <c r="H299" s="168" t="s">
        <v>384</v>
      </c>
      <c r="I299" s="168"/>
      <c r="J299" s="168"/>
      <c r="K299" s="154" t="s">
        <v>508</v>
      </c>
      <c r="L299" s="159" t="str">
        <f>_xlfn.LET(
_xlpm.look, _xlfn.XLOOKUP(ITEquipmentTable[[#This Row],[Name]], VNCTable[ClientName], VNCTable[IP], ""),
_xlpm.chkk, IF(ITEquipmentTable[[#This Row],[IPv4 Address]] = "N/A", "N/A", _xlpm.look),
IF(ITEquipmentTable[[#This Row],[Name]] = "", "", _xlpm.chkk))</f>
        <v/>
      </c>
      <c r="M299" s="168" t="s">
        <v>1707</v>
      </c>
      <c r="N299" s="161" t="str">
        <f>_xlfn.LET(_xlpm.emp, IF(_xlfn.XLOOKUP(ITEquipmentTable[[#This Row],[Assigned Employee]], EmployeeTable[name], EmployeeTable[Active], TRUE), "Employee", "Recover"),
IF(ITEquipmentTable[[#This Row],[Storage Location]] = "Assigned to Employee", _xlpm.emp, "N/A"))</f>
        <v>Employee</v>
      </c>
      <c r="O299" s="161" t="str" cm="1">
        <f t="array" ref="O29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29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299" s="168"/>
      <c r="R299" s="168"/>
      <c r="S299" s="1" t="s">
        <v>405</v>
      </c>
      <c r="T299" s="194"/>
      <c r="X299" s="1">
        <v>8911</v>
      </c>
      <c r="Y299" s="223" t="s">
        <v>1270</v>
      </c>
      <c r="Z299" s="1" t="b">
        <v>0</v>
      </c>
      <c r="AA299"/>
    </row>
    <row r="300" spans="1:27" s="1" customFormat="1" x14ac:dyDescent="0.2">
      <c r="A300" s="155">
        <v>227</v>
      </c>
      <c r="B300" s="189" t="s">
        <v>304</v>
      </c>
      <c r="C300" s="189" t="s">
        <v>403</v>
      </c>
      <c r="D300" s="189" t="s">
        <v>949</v>
      </c>
      <c r="E300" s="189" t="s">
        <v>306</v>
      </c>
      <c r="F300" s="201" t="s">
        <v>972</v>
      </c>
      <c r="G300" s="159" t="str">
        <f>_xlfn.XLOOKUP(ITEquipmentTable[[#This Row],[Name]], IntuneData[Device name], IntuneData[Serial number], "")</f>
        <v>MXL9032JK4</v>
      </c>
      <c r="H300" s="189" t="s">
        <v>295</v>
      </c>
      <c r="I300" s="189" t="s">
        <v>681</v>
      </c>
      <c r="J300" s="189"/>
      <c r="K300" s="219"/>
      <c r="L300" s="159" t="str">
        <f>_xlfn.LET(
_xlpm.look, _xlfn.XLOOKUP(ITEquipmentTable[[#This Row],[Name]], VNCTable[ClientName], VNCTable[IP], ""),
_xlpm.chkk, IF(ITEquipmentTable[[#This Row],[IPv4 Address]] = "N/A", "N/A", _xlpm.look),
IF(ITEquipmentTable[[#This Row],[Name]] = "", "", _xlpm.chkk))</f>
        <v/>
      </c>
      <c r="M300" s="189" t="s">
        <v>973</v>
      </c>
      <c r="N300" s="159" t="str">
        <f>_xlfn.LET(_xlpm.emp, IF(_xlfn.XLOOKUP(ITEquipmentTable[[#This Row],[Assigned Employee]], EmployeeTable[name], EmployeeTable[Active], TRUE), "Employee", "Recover"),
IF(ITEquipmentTable[[#This Row],[Storage Location]] = "Assigned to Employee", _xlpm.emp, "N/A"))</f>
        <v>N/A</v>
      </c>
      <c r="O300" s="159" t="str" cm="1">
        <f t="array" ref="O30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22H2</v>
      </c>
      <c r="P30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300" s="189"/>
      <c r="R300" s="189" t="s">
        <v>312</v>
      </c>
      <c r="S300" s="189"/>
      <c r="T300" s="194"/>
      <c r="X300" s="1">
        <v>8915</v>
      </c>
      <c r="Y300" s="223" t="s">
        <v>1273</v>
      </c>
      <c r="Z300" s="1" t="b">
        <v>0</v>
      </c>
      <c r="AA300"/>
    </row>
    <row r="301" spans="1:27" s="1" customFormat="1" hidden="1" x14ac:dyDescent="0.2">
      <c r="A301" s="155">
        <v>662</v>
      </c>
      <c r="B301" s="1" t="s">
        <v>323</v>
      </c>
      <c r="E301" s="1" t="s">
        <v>306</v>
      </c>
      <c r="F301" s="195"/>
      <c r="G301" s="164" t="str">
        <f>_xlfn.XLOOKUP(ITEquipmentTable[[#This Row],[Name]], IntuneData[Device name], IntuneData[Serial number], "")</f>
        <v/>
      </c>
      <c r="K301" s="154"/>
      <c r="L301" s="164" t="str">
        <f>_xlfn.LET(
_xlpm.look, _xlfn.XLOOKUP(ITEquipmentTable[[#This Row],[Name]], VNCTable[ClientName], VNCTable[IP], ""),
_xlpm.chkk, IF(ITEquipmentTable[[#This Row],[IPv4 Address]] = "N/A", "N/A", _xlpm.look),
IF(ITEquipmentTable[[#This Row],[Name]] = "", "", _xlpm.chkk))</f>
        <v/>
      </c>
      <c r="M301" s="1" t="s">
        <v>1708</v>
      </c>
      <c r="N301" s="159" t="str">
        <f>_xlfn.LET(_xlpm.emp, IF(_xlfn.XLOOKUP(ITEquipmentTable[[#This Row],[Assigned Employee]], EmployeeTable[name], EmployeeTable[Active], TRUE), "Employee", "Recover"),
IF(ITEquipmentTable[[#This Row],[Storage Location]] = "Assigned to Employee", _xlpm.emp, "N/A"))</f>
        <v>N/A</v>
      </c>
      <c r="O301" s="161" t="str" cm="1">
        <f t="array" ref="O30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0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301" s="1" t="s">
        <v>298</v>
      </c>
      <c r="T301" s="194"/>
      <c r="X301" s="1">
        <v>8917</v>
      </c>
      <c r="Y301" s="223" t="s">
        <v>1275</v>
      </c>
      <c r="Z301" s="1" t="b">
        <v>0</v>
      </c>
      <c r="AA301"/>
    </row>
    <row r="302" spans="1:27" s="1" customFormat="1" hidden="1" x14ac:dyDescent="0.2">
      <c r="A302" s="155">
        <v>228</v>
      </c>
      <c r="B302" s="1" t="s">
        <v>294</v>
      </c>
      <c r="C302" s="1" t="s">
        <v>403</v>
      </c>
      <c r="D302" s="1" t="s">
        <v>1179</v>
      </c>
      <c r="E302" s="1" t="s">
        <v>306</v>
      </c>
      <c r="F302" s="195" t="s">
        <v>1709</v>
      </c>
      <c r="G302" s="159" t="str">
        <f>_xlfn.XLOOKUP(ITEquipmentTable[[#This Row],[Name]], IntuneData[Device name], IntuneData[Serial number], "")</f>
        <v/>
      </c>
      <c r="H302" s="168"/>
      <c r="I302" s="168"/>
      <c r="J302" s="168"/>
      <c r="K302" s="154" t="s">
        <v>508</v>
      </c>
      <c r="L302" s="159" t="str">
        <f>_xlfn.LET(
_xlpm.look, _xlfn.XLOOKUP(ITEquipmentTable[[#This Row],[Name]], VNCTable[ClientName], VNCTable[IP], ""),
_xlpm.chkk, IF(ITEquipmentTable[[#This Row],[IPv4 Address]] = "N/A", "N/A", _xlpm.look),
IF(ITEquipmentTable[[#This Row],[Name]] = "", "", _xlpm.chkk))</f>
        <v/>
      </c>
      <c r="M302" s="168" t="s">
        <v>1710</v>
      </c>
      <c r="N302" s="161" t="str">
        <f>_xlfn.LET(_xlpm.emp, IF(_xlfn.XLOOKUP(ITEquipmentTable[[#This Row],[Assigned Employee]], EmployeeTable[name], EmployeeTable[Active], TRUE), "Employee", "Recover"),
IF(ITEquipmentTable[[#This Row],[Storage Location]] = "Assigned to Employee", _xlpm.emp, "N/A"))</f>
        <v>N/A</v>
      </c>
      <c r="O302" s="161" t="str" cm="1">
        <f t="array" ref="O30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0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02" s="168"/>
      <c r="R302" s="168"/>
      <c r="S302" s="1" t="s">
        <v>405</v>
      </c>
      <c r="T302" s="194"/>
      <c r="X302" s="1">
        <v>8924</v>
      </c>
      <c r="Y302" s="223" t="s">
        <v>1278</v>
      </c>
      <c r="Z302" s="1" t="b">
        <v>0</v>
      </c>
      <c r="AA302"/>
    </row>
    <row r="303" spans="1:27" s="1" customFormat="1" hidden="1" x14ac:dyDescent="0.2">
      <c r="A303" s="155">
        <v>229</v>
      </c>
      <c r="B303" s="1" t="s">
        <v>294</v>
      </c>
      <c r="C303" s="1" t="s">
        <v>403</v>
      </c>
      <c r="D303" s="1" t="s">
        <v>1179</v>
      </c>
      <c r="E303" s="1" t="s">
        <v>306</v>
      </c>
      <c r="F303" s="195" t="s">
        <v>1711</v>
      </c>
      <c r="G303" s="159" t="str">
        <f>_xlfn.XLOOKUP(ITEquipmentTable[[#This Row],[Name]], IntuneData[Device name], IntuneData[Serial number], "")</f>
        <v/>
      </c>
      <c r="H303" s="168"/>
      <c r="I303" s="168"/>
      <c r="J303" s="168"/>
      <c r="K303" s="154" t="s">
        <v>508</v>
      </c>
      <c r="L303" s="159" t="str">
        <f>_xlfn.LET(
_xlpm.look, _xlfn.XLOOKUP(ITEquipmentTable[[#This Row],[Name]], VNCTable[ClientName], VNCTable[IP], ""),
_xlpm.chkk, IF(ITEquipmentTable[[#This Row],[IPv4 Address]] = "N/A", "N/A", _xlpm.look),
IF(ITEquipmentTable[[#This Row],[Name]] = "", "", _xlpm.chkk))</f>
        <v/>
      </c>
      <c r="M303" s="168" t="s">
        <v>1712</v>
      </c>
      <c r="N303" s="161" t="str">
        <f>_xlfn.LET(_xlpm.emp, IF(_xlfn.XLOOKUP(ITEquipmentTable[[#This Row],[Assigned Employee]], EmployeeTable[name], EmployeeTable[Active], TRUE), "Employee", "Recover"),
IF(ITEquipmentTable[[#This Row],[Storage Location]] = "Assigned to Employee", _xlpm.emp, "N/A"))</f>
        <v>N/A</v>
      </c>
      <c r="O303" s="161" t="str" cm="1">
        <f t="array" ref="O30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0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03" s="168"/>
      <c r="R303" s="168"/>
      <c r="S303" s="1" t="s">
        <v>405</v>
      </c>
      <c r="T303" s="194"/>
      <c r="X303" s="1">
        <v>8925</v>
      </c>
      <c r="Y303" s="223" t="s">
        <v>1281</v>
      </c>
      <c r="Z303" s="1" t="b">
        <v>0</v>
      </c>
      <c r="AA303"/>
    </row>
    <row r="304" spans="1:27" s="1" customFormat="1" hidden="1" x14ac:dyDescent="0.2">
      <c r="A304" s="155">
        <v>230</v>
      </c>
      <c r="B304" s="1" t="s">
        <v>323</v>
      </c>
      <c r="C304" s="1" t="s">
        <v>562</v>
      </c>
      <c r="D304" s="1" t="s">
        <v>1440</v>
      </c>
      <c r="E304" s="1" t="s">
        <v>306</v>
      </c>
      <c r="F304" s="195" t="s">
        <v>1713</v>
      </c>
      <c r="G304" s="159" t="str">
        <f>_xlfn.XLOOKUP(ITEquipmentTable[[#This Row],[Name]], IntuneData[Device name], IntuneData[Serial number], "")</f>
        <v/>
      </c>
      <c r="H304" s="168"/>
      <c r="I304" s="168"/>
      <c r="J304" s="168"/>
      <c r="K304" s="223" t="s">
        <v>508</v>
      </c>
      <c r="L304" s="159" t="str">
        <f>_xlfn.LET(
_xlpm.look, _xlfn.XLOOKUP(ITEquipmentTable[[#This Row],[Name]], VNCTable[ClientName], VNCTable[IP], ""),
_xlpm.chkk, IF(ITEquipmentTable[[#This Row],[IPv4 Address]] = "N/A", "N/A", _xlpm.look),
IF(ITEquipmentTable[[#This Row],[Name]] = "", "", _xlpm.chkk))</f>
        <v/>
      </c>
      <c r="M304" s="168" t="s">
        <v>1714</v>
      </c>
      <c r="N304" s="161" t="str">
        <f>_xlfn.LET(_xlpm.emp, IF(_xlfn.XLOOKUP(ITEquipmentTable[[#This Row],[Assigned Employee]], EmployeeTable[name], EmployeeTable[Active], TRUE), "Employee", "Recover"),
IF(ITEquipmentTable[[#This Row],[Storage Location]] = "Assigned to Employee", _xlpm.emp, "N/A"))</f>
        <v>N/A</v>
      </c>
      <c r="O304" s="161" t="str" cm="1">
        <f t="array" ref="O30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0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04" s="168"/>
      <c r="R304" s="168"/>
      <c r="S304" s="1" t="s">
        <v>405</v>
      </c>
      <c r="T304" s="194"/>
      <c r="X304" s="1">
        <v>8933</v>
      </c>
      <c r="Y304" s="223" t="s">
        <v>1285</v>
      </c>
      <c r="Z304" s="1" t="b">
        <v>0</v>
      </c>
      <c r="AA304"/>
    </row>
    <row r="305" spans="1:27" s="1" customFormat="1" x14ac:dyDescent="0.2">
      <c r="A305" s="155">
        <v>231</v>
      </c>
      <c r="B305" s="1" t="s">
        <v>304</v>
      </c>
      <c r="C305" s="1" t="s">
        <v>403</v>
      </c>
      <c r="D305" s="1" t="s">
        <v>975</v>
      </c>
      <c r="E305" s="1" t="s">
        <v>306</v>
      </c>
      <c r="F305" s="195" t="s">
        <v>976</v>
      </c>
      <c r="G305" s="159" t="str">
        <f>_xlfn.XLOOKUP(ITEquipmentTable[[#This Row],[Name]], IntuneData[Device name], IntuneData[Serial number], "")</f>
        <v/>
      </c>
      <c r="H305" s="168"/>
      <c r="I305" s="168"/>
      <c r="J305" s="168"/>
      <c r="K305" s="223"/>
      <c r="L305" s="159" t="str">
        <f>_xlfn.LET(
_xlpm.look, _xlfn.XLOOKUP(ITEquipmentTable[[#This Row],[Name]], VNCTable[ClientName], VNCTable[IP], ""),
_xlpm.chkk, IF(ITEquipmentTable[[#This Row],[IPv4 Address]] = "N/A", "N/A", _xlpm.look),
IF(ITEquipmentTable[[#This Row],[Name]] = "", "", _xlpm.chkk))</f>
        <v/>
      </c>
      <c r="M305" s="168" t="s">
        <v>977</v>
      </c>
      <c r="N305" s="161" t="str">
        <f>_xlfn.LET(_xlpm.emp, IF(_xlfn.XLOOKUP(ITEquipmentTable[[#This Row],[Assigned Employee]], EmployeeTable[name], EmployeeTable[Active], TRUE), "Employee", "Recover"),
IF(ITEquipmentTable[[#This Row],[Storage Location]] = "Assigned to Employee", _xlpm.emp, "N/A"))</f>
        <v>N/A</v>
      </c>
      <c r="O305" s="161" t="str" cm="1">
        <f t="array" ref="O30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0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05" s="168"/>
      <c r="R305" s="168"/>
      <c r="S305" s="1" t="s">
        <v>405</v>
      </c>
      <c r="T305" s="194"/>
      <c r="X305" s="1">
        <v>8934</v>
      </c>
      <c r="Y305" s="223" t="s">
        <v>1289</v>
      </c>
      <c r="Z305" s="1" t="b">
        <v>0</v>
      </c>
      <c r="AA305"/>
    </row>
    <row r="306" spans="1:27" s="1" customFormat="1" hidden="1" x14ac:dyDescent="0.2">
      <c r="A306" s="155">
        <v>232</v>
      </c>
      <c r="B306" s="189" t="s">
        <v>304</v>
      </c>
      <c r="F306" s="195"/>
      <c r="G306" s="159" t="str">
        <f>_xlfn.XLOOKUP(ITEquipmentTable[[#This Row],[Name]], IntuneData[Device name], IntuneData[Serial number], "")</f>
        <v/>
      </c>
      <c r="H306" s="193" t="s">
        <v>295</v>
      </c>
      <c r="I306" s="193"/>
      <c r="J306" s="193"/>
      <c r="K306" s="225"/>
      <c r="L306" s="159" t="str">
        <f>_xlfn.LET(
_xlpm.look, _xlfn.XLOOKUP(ITEquipmentTable[[#This Row],[Name]], VNCTable[ClientName], VNCTable[IP], ""),
_xlpm.chkk, IF(ITEquipmentTable[[#This Row],[IPv4 Address]] = "N/A", "N/A", _xlpm.look),
IF(ITEquipmentTable[[#This Row],[Name]] = "", "", _xlpm.chkk))</f>
        <v/>
      </c>
      <c r="M306" s="193" t="s">
        <v>979</v>
      </c>
      <c r="N306" s="161" t="str">
        <f>_xlfn.LET(_xlpm.emp, IF(_xlfn.XLOOKUP(ITEquipmentTable[[#This Row],[Assigned Employee]], EmployeeTable[name], EmployeeTable[Active], TRUE), "Employee", "Recover"),
IF(ITEquipmentTable[[#This Row],[Storage Location]] = "Assigned to Employee", _xlpm.emp, "N/A"))</f>
        <v>N/A</v>
      </c>
      <c r="O306" s="161" t="str" cm="1">
        <f t="array" ref="O30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LTSB</v>
      </c>
      <c r="P30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06" s="193"/>
      <c r="R306" s="189" t="s">
        <v>312</v>
      </c>
      <c r="S306" s="189" t="s">
        <v>299</v>
      </c>
      <c r="T306" s="194"/>
      <c r="X306" s="1">
        <v>8942</v>
      </c>
      <c r="Y306" s="223" t="s">
        <v>1291</v>
      </c>
      <c r="Z306" s="1" t="b">
        <v>0</v>
      </c>
      <c r="AA306"/>
    </row>
    <row r="307" spans="1:27" s="1" customFormat="1" hidden="1" x14ac:dyDescent="0.2">
      <c r="A307" s="155">
        <v>663</v>
      </c>
      <c r="B307" s="1" t="s">
        <v>294</v>
      </c>
      <c r="C307" s="1" t="s">
        <v>403</v>
      </c>
      <c r="E307" s="1" t="s">
        <v>306</v>
      </c>
      <c r="F307" s="195"/>
      <c r="G307" s="164" t="str">
        <f>_xlfn.XLOOKUP(ITEquipmentTable[[#This Row],[Name]], IntuneData[Device name], IntuneData[Serial number], "")</f>
        <v/>
      </c>
      <c r="K307" s="154" t="s">
        <v>508</v>
      </c>
      <c r="L307" s="164" t="str">
        <f>_xlfn.LET(
_xlpm.look, _xlfn.XLOOKUP(ITEquipmentTable[[#This Row],[Name]], VNCTable[ClientName], VNCTable[IP], ""),
_xlpm.chkk, IF(ITEquipmentTable[[#This Row],[IPv4 Address]] = "N/A", "N/A", _xlpm.look),
IF(ITEquipmentTable[[#This Row],[Name]] = "", "", _xlpm.chkk))</f>
        <v/>
      </c>
      <c r="M307" s="1" t="s">
        <v>1719</v>
      </c>
      <c r="N307" s="159" t="str">
        <f>_xlfn.LET(_xlpm.emp, IF(_xlfn.XLOOKUP(ITEquipmentTable[[#This Row],[Assigned Employee]], EmployeeTable[name], EmployeeTable[Active], TRUE), "Employee", "Recover"),
IF(ITEquipmentTable[[#This Row],[Storage Location]] = "Assigned to Employee", _xlpm.emp, "N/A"))</f>
        <v>N/A</v>
      </c>
      <c r="O307" s="161" t="str" cm="1">
        <f t="array" ref="O30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0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307" s="1" t="s">
        <v>298</v>
      </c>
      <c r="T307" s="194"/>
      <c r="X307" s="1">
        <v>8943</v>
      </c>
      <c r="Y307" s="223" t="s">
        <v>1295</v>
      </c>
      <c r="Z307" s="1" t="b">
        <v>0</v>
      </c>
      <c r="AA307"/>
    </row>
    <row r="308" spans="1:27" s="1" customFormat="1" hidden="1" x14ac:dyDescent="0.2">
      <c r="A308" s="155">
        <v>108</v>
      </c>
      <c r="B308" s="189" t="s">
        <v>304</v>
      </c>
      <c r="C308" s="189" t="s">
        <v>308</v>
      </c>
      <c r="D308" s="1" t="s">
        <v>309</v>
      </c>
      <c r="E308" s="189" t="s">
        <v>310</v>
      </c>
      <c r="F308" s="201" t="s">
        <v>851</v>
      </c>
      <c r="G308" s="159" t="str">
        <f>_xlfn.XLOOKUP(ITEquipmentTable[[#This Row],[Name]], IntuneData[Device name], IntuneData[Serial number], "")</f>
        <v/>
      </c>
      <c r="H308" s="189" t="s">
        <v>318</v>
      </c>
      <c r="I308" s="189"/>
      <c r="J308" s="189"/>
      <c r="K308" s="219" t="s">
        <v>226</v>
      </c>
      <c r="L308" s="159" t="str">
        <f>_xlfn.LET(
_xlpm.look, _xlfn.XLOOKUP(ITEquipmentTable[[#This Row],[Name]], VNCTable[ClientName], VNCTable[IP], ""),
_xlpm.chkk, IF(ITEquipmentTable[[#This Row],[IPv4 Address]] = "N/A", "N/A", _xlpm.look),
IF(ITEquipmentTable[[#This Row],[Name]] = "", "", _xlpm.chkk))</f>
        <v>N/A</v>
      </c>
      <c r="M308" s="189" t="s">
        <v>226</v>
      </c>
      <c r="N308" s="159" t="str">
        <f>_xlfn.LET(_xlpm.emp, IF(_xlfn.XLOOKUP(ITEquipmentTable[[#This Row],[Assigned Employee]], EmployeeTable[name], EmployeeTable[Active], TRUE), "Employee", "Recover"),
IF(ITEquipmentTable[[#This Row],[Storage Location]] = "Assigned to Employee", _xlpm.emp, "N/A"))</f>
        <v>N/A</v>
      </c>
      <c r="O308" s="159" t="str" cm="1">
        <f t="array" ref="O30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30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308" s="189" t="s">
        <v>454</v>
      </c>
      <c r="R308" s="189" t="s">
        <v>351</v>
      </c>
      <c r="S308" s="189"/>
      <c r="T308" s="194"/>
      <c r="X308" s="1">
        <v>8944</v>
      </c>
      <c r="Y308" s="223" t="s">
        <v>1299</v>
      </c>
      <c r="Z308" s="1" t="b">
        <v>0</v>
      </c>
      <c r="AA308"/>
    </row>
    <row r="309" spans="1:27" s="1" customFormat="1" hidden="1" x14ac:dyDescent="0.2">
      <c r="A309" s="155">
        <v>234</v>
      </c>
      <c r="B309" s="1" t="s">
        <v>294</v>
      </c>
      <c r="C309" s="1" t="s">
        <v>403</v>
      </c>
      <c r="D309" s="1" t="s">
        <v>1170</v>
      </c>
      <c r="E309" s="1" t="s">
        <v>306</v>
      </c>
      <c r="F309" s="195" t="s">
        <v>1720</v>
      </c>
      <c r="G309" s="159" t="str">
        <f>_xlfn.XLOOKUP(ITEquipmentTable[[#This Row],[Name]], IntuneData[Device name], IntuneData[Serial number], "")</f>
        <v/>
      </c>
      <c r="H309" s="168"/>
      <c r="I309" s="168"/>
      <c r="J309" s="168"/>
      <c r="K309" s="154" t="s">
        <v>508</v>
      </c>
      <c r="L309" s="159" t="str">
        <f>_xlfn.LET(
_xlpm.look, _xlfn.XLOOKUP(ITEquipmentTable[[#This Row],[Name]], VNCTable[ClientName], VNCTable[IP], ""),
_xlpm.chkk, IF(ITEquipmentTable[[#This Row],[IPv4 Address]] = "N/A", "N/A", _xlpm.look),
IF(ITEquipmentTable[[#This Row],[Name]] = "", "", _xlpm.chkk))</f>
        <v/>
      </c>
      <c r="M309" s="168" t="s">
        <v>1721</v>
      </c>
      <c r="N309" s="161" t="str">
        <f>_xlfn.LET(_xlpm.emp, IF(_xlfn.XLOOKUP(ITEquipmentTable[[#This Row],[Assigned Employee]], EmployeeTable[name], EmployeeTable[Active], TRUE), "Employee", "Recover"),
IF(ITEquipmentTable[[#This Row],[Storage Location]] = "Assigned to Employee", _xlpm.emp, "N/A"))</f>
        <v>N/A</v>
      </c>
      <c r="O309" s="161" t="str" cm="1">
        <f t="array" ref="O30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0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09" s="168"/>
      <c r="R309" s="168"/>
      <c r="S309" s="1" t="s">
        <v>405</v>
      </c>
      <c r="T309" s="194"/>
      <c r="X309" s="1">
        <v>8945</v>
      </c>
      <c r="Y309" s="223" t="s">
        <v>1302</v>
      </c>
      <c r="Z309" s="1" t="b">
        <v>0</v>
      </c>
      <c r="AA309"/>
    </row>
    <row r="310" spans="1:27" s="1" customFormat="1" hidden="1" x14ac:dyDescent="0.2">
      <c r="A310" s="155">
        <v>236</v>
      </c>
      <c r="B310" s="1" t="s">
        <v>294</v>
      </c>
      <c r="C310" s="1" t="s">
        <v>403</v>
      </c>
      <c r="D310" s="1" t="s">
        <v>656</v>
      </c>
      <c r="E310" s="1" t="s">
        <v>306</v>
      </c>
      <c r="F310" s="195" t="s">
        <v>1723</v>
      </c>
      <c r="G310" s="159" t="str">
        <f>_xlfn.XLOOKUP(ITEquipmentTable[[#This Row],[Name]], IntuneData[Device name], IntuneData[Serial number], "")</f>
        <v/>
      </c>
      <c r="H310" s="168"/>
      <c r="I310" s="168"/>
      <c r="J310" s="168"/>
      <c r="K310" s="154" t="s">
        <v>508</v>
      </c>
      <c r="L310" s="159" t="str">
        <f>_xlfn.LET(
_xlpm.look, _xlfn.XLOOKUP(ITEquipmentTable[[#This Row],[Name]], VNCTable[ClientName], VNCTable[IP], ""),
_xlpm.chkk, IF(ITEquipmentTable[[#This Row],[IPv4 Address]] = "N/A", "N/A", _xlpm.look),
IF(ITEquipmentTable[[#This Row],[Name]] = "", "", _xlpm.chkk))</f>
        <v/>
      </c>
      <c r="M310" s="168" t="s">
        <v>1724</v>
      </c>
      <c r="N310" s="161" t="str">
        <f>_xlfn.LET(_xlpm.emp, IF(_xlfn.XLOOKUP(ITEquipmentTable[[#This Row],[Assigned Employee]], EmployeeTable[name], EmployeeTable[Active], TRUE), "Employee", "Recover"),
IF(ITEquipmentTable[[#This Row],[Storage Location]] = "Assigned to Employee", _xlpm.emp, "N/A"))</f>
        <v>N/A</v>
      </c>
      <c r="O310" s="161" t="str" cm="1">
        <f t="array" ref="O31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1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10" s="168"/>
      <c r="R310" s="168"/>
      <c r="S310" s="1" t="s">
        <v>405</v>
      </c>
      <c r="T310" s="194"/>
      <c r="X310" s="1">
        <v>8969</v>
      </c>
      <c r="Y310" s="223" t="s">
        <v>1304</v>
      </c>
      <c r="Z310" s="1" t="b">
        <v>0</v>
      </c>
      <c r="AA310"/>
    </row>
    <row r="311" spans="1:27" s="1" customFormat="1" hidden="1" x14ac:dyDescent="0.2">
      <c r="A311" s="155">
        <v>664</v>
      </c>
      <c r="B311" s="1" t="s">
        <v>323</v>
      </c>
      <c r="E311" s="1" t="s">
        <v>306</v>
      </c>
      <c r="F311" s="195"/>
      <c r="G311" s="164" t="str">
        <f>_xlfn.XLOOKUP(ITEquipmentTable[[#This Row],[Name]], IntuneData[Device name], IntuneData[Serial number], "")</f>
        <v/>
      </c>
      <c r="K311" s="154"/>
      <c r="L311" s="164" t="str">
        <f>_xlfn.LET(
_xlpm.look, _xlfn.XLOOKUP(ITEquipmentTable[[#This Row],[Name]], VNCTable[ClientName], VNCTable[IP], ""),
_xlpm.chkk, IF(ITEquipmentTable[[#This Row],[IPv4 Address]] = "N/A", "N/A", _xlpm.look),
IF(ITEquipmentTable[[#This Row],[Name]] = "", "", _xlpm.chkk))</f>
        <v/>
      </c>
      <c r="M311" s="1" t="s">
        <v>1725</v>
      </c>
      <c r="N311" s="159" t="str">
        <f>_xlfn.LET(_xlpm.emp, IF(_xlfn.XLOOKUP(ITEquipmentTable[[#This Row],[Assigned Employee]], EmployeeTable[name], EmployeeTable[Active], TRUE), "Employee", "Recover"),
IF(ITEquipmentTable[[#This Row],[Storage Location]] = "Assigned to Employee", _xlpm.emp, "N/A"))</f>
        <v>N/A</v>
      </c>
      <c r="O311" s="161" t="str" cm="1">
        <f t="array" ref="O31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1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311" s="1" t="s">
        <v>298</v>
      </c>
      <c r="T311" s="194"/>
      <c r="X311" s="1">
        <v>8981</v>
      </c>
      <c r="Y311" s="223" t="s">
        <v>1306</v>
      </c>
      <c r="Z311" s="1" t="b">
        <v>0</v>
      </c>
      <c r="AA311"/>
    </row>
    <row r="312" spans="1:27" s="1" customFormat="1" hidden="1" x14ac:dyDescent="0.2">
      <c r="A312" s="155">
        <v>237</v>
      </c>
      <c r="B312" s="1" t="s">
        <v>294</v>
      </c>
      <c r="C312" s="1" t="s">
        <v>403</v>
      </c>
      <c r="D312" s="1" t="s">
        <v>1155</v>
      </c>
      <c r="E312" s="1" t="s">
        <v>306</v>
      </c>
      <c r="F312" s="195" t="s">
        <v>1728</v>
      </c>
      <c r="G312" s="159" t="str">
        <f>_xlfn.XLOOKUP(ITEquipmentTable[[#This Row],[Name]], IntuneData[Device name], IntuneData[Serial number], "")</f>
        <v/>
      </c>
      <c r="H312" s="168" t="s">
        <v>384</v>
      </c>
      <c r="I312" s="168"/>
      <c r="J312" s="168"/>
      <c r="K312" s="154" t="s">
        <v>508</v>
      </c>
      <c r="L312" s="159" t="str">
        <f>_xlfn.LET(
_xlpm.look, _xlfn.XLOOKUP(ITEquipmentTable[[#This Row],[Name]], VNCTable[ClientName], VNCTable[IP], ""),
_xlpm.chkk, IF(ITEquipmentTable[[#This Row],[IPv4 Address]] = "N/A", "N/A", _xlpm.look),
IF(ITEquipmentTable[[#This Row],[Name]] = "", "", _xlpm.chkk))</f>
        <v/>
      </c>
      <c r="M312" s="168" t="s">
        <v>1729</v>
      </c>
      <c r="N312" s="161" t="str">
        <f>_xlfn.LET(_xlpm.emp, IF(_xlfn.XLOOKUP(ITEquipmentTable[[#This Row],[Assigned Employee]], EmployeeTable[name], EmployeeTable[Active], TRUE), "Employee", "Recover"),
IF(ITEquipmentTable[[#This Row],[Storage Location]] = "Assigned to Employee", _xlpm.emp, "N/A"))</f>
        <v>Employee</v>
      </c>
      <c r="O312" s="161" t="str" cm="1">
        <f t="array" ref="O31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1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312" s="168"/>
      <c r="R312" s="168"/>
      <c r="S312" s="1" t="s">
        <v>405</v>
      </c>
      <c r="T312" s="194"/>
      <c r="X312" s="1">
        <v>8999</v>
      </c>
      <c r="Y312" s="223" t="s">
        <v>1309</v>
      </c>
      <c r="Z312" s="1" t="b">
        <v>0</v>
      </c>
      <c r="AA312"/>
    </row>
    <row r="313" spans="1:27" s="1" customFormat="1" hidden="1" x14ac:dyDescent="0.2">
      <c r="A313" s="155">
        <v>272</v>
      </c>
      <c r="B313" s="189" t="s">
        <v>304</v>
      </c>
      <c r="C313" s="189" t="s">
        <v>308</v>
      </c>
      <c r="D313" s="1" t="s">
        <v>309</v>
      </c>
      <c r="E313" s="189" t="s">
        <v>310</v>
      </c>
      <c r="F313" s="201" t="s">
        <v>1124</v>
      </c>
      <c r="G313" s="159" t="str">
        <f>_xlfn.XLOOKUP(ITEquipmentTable[[#This Row],[Name]], IntuneData[Device name], IntuneData[Serial number], "")</f>
        <v/>
      </c>
      <c r="H313" s="193" t="s">
        <v>295</v>
      </c>
      <c r="I313" s="1" t="s">
        <v>1125</v>
      </c>
      <c r="J313" s="193"/>
      <c r="K313" s="225"/>
      <c r="L313" s="159" t="str">
        <f>_xlfn.LET(
_xlpm.look, _xlfn.XLOOKUP(ITEquipmentTable[[#This Row],[Name]], VNCTable[ClientName], VNCTable[IP], ""),
_xlpm.chkk, IF(ITEquipmentTable[[#This Row],[IPv4 Address]] = "N/A", "N/A", _xlpm.look),
IF(ITEquipmentTable[[#This Row],[Name]] = "", "", _xlpm.chkk))</f>
        <v/>
      </c>
      <c r="M313" s="1" t="s">
        <v>1126</v>
      </c>
      <c r="N313" s="159" t="str">
        <f>_xlfn.LET(_xlpm.emp, IF(_xlfn.XLOOKUP(ITEquipmentTable[[#This Row],[Assigned Employee]], EmployeeTable[name], EmployeeTable[Active], TRUE), "Employee", "Recover"),
IF(ITEquipmentTable[[#This Row],[Storage Location]] = "Assigned to Employee", _xlpm.emp, "N/A"))</f>
        <v>N/A</v>
      </c>
      <c r="O313" s="161" t="str" cm="1">
        <f t="array" ref="O31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1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313" s="193"/>
      <c r="R313" s="1" t="s">
        <v>312</v>
      </c>
      <c r="S313" s="189"/>
      <c r="T313" s="194"/>
      <c r="X313" s="1">
        <v>9000</v>
      </c>
      <c r="Y313" s="223" t="s">
        <v>1313</v>
      </c>
      <c r="Z313" s="1" t="b">
        <v>0</v>
      </c>
      <c r="AA313"/>
    </row>
    <row r="314" spans="1:27" s="1" customFormat="1" hidden="1" x14ac:dyDescent="0.2">
      <c r="A314" s="155">
        <v>116</v>
      </c>
      <c r="B314" s="189" t="s">
        <v>304</v>
      </c>
      <c r="C314" s="189" t="s">
        <v>308</v>
      </c>
      <c r="D314" s="1" t="s">
        <v>309</v>
      </c>
      <c r="E314" s="189" t="s">
        <v>310</v>
      </c>
      <c r="F314" s="201" t="s">
        <v>872</v>
      </c>
      <c r="G314" s="159" t="str">
        <f>_xlfn.XLOOKUP(ITEquipmentTable[[#This Row],[Name]], IntuneData[Device name], IntuneData[Serial number], "")</f>
        <v/>
      </c>
      <c r="H314" s="189" t="s">
        <v>318</v>
      </c>
      <c r="I314" s="189"/>
      <c r="J314" s="189"/>
      <c r="K314" s="154" t="s">
        <v>226</v>
      </c>
      <c r="L314" s="354" t="str">
        <f>_xlfn.LET(
_xlpm.look, _xlfn.XLOOKUP(ITEquipmentTable[[#This Row],[Name]], VNCTable[ClientName], VNCTable[IP], ""),
_xlpm.chkk, IF(ITEquipmentTable[[#This Row],[IPv4 Address]] = "N/A", "N/A", _xlpm.look),
IF(ITEquipmentTable[[#This Row],[Name]] = "", "", _xlpm.chkk))</f>
        <v/>
      </c>
      <c r="M314" s="189"/>
      <c r="N314" s="159" t="str">
        <f>_xlfn.LET(_xlpm.emp, IF(_xlfn.XLOOKUP(ITEquipmentTable[[#This Row],[Assigned Employee]], EmployeeTable[name], EmployeeTable[Active], TRUE), "Employee", "Recover"),
IF(ITEquipmentTable[[#This Row],[Storage Location]] = "Assigned to Employee", _xlpm.emp, "N/A"))</f>
        <v>N/A</v>
      </c>
      <c r="O314" s="159" t="str" cm="1">
        <f t="array" ref="O31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31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314" s="189"/>
      <c r="R314" s="189"/>
      <c r="S314" s="189"/>
      <c r="T314" s="194"/>
      <c r="X314" s="1">
        <v>9014</v>
      </c>
      <c r="Y314" s="223" t="s">
        <v>1317</v>
      </c>
      <c r="Z314" s="1" t="b">
        <v>0</v>
      </c>
      <c r="AA314"/>
    </row>
    <row r="315" spans="1:27" s="1" customFormat="1" hidden="1" x14ac:dyDescent="0.2">
      <c r="A315" s="155">
        <v>97</v>
      </c>
      <c r="B315" s="1" t="s">
        <v>304</v>
      </c>
      <c r="C315" s="1" t="s">
        <v>308</v>
      </c>
      <c r="D315" s="1" t="s">
        <v>309</v>
      </c>
      <c r="E315" s="1" t="s">
        <v>310</v>
      </c>
      <c r="F315" s="195" t="s">
        <v>804</v>
      </c>
      <c r="G315" s="159" t="str">
        <f>_xlfn.XLOOKUP(ITEquipmentTable[[#This Row],[Name]], IntuneData[Device name], IntuneData[Serial number], "")</f>
        <v>8X777J2</v>
      </c>
      <c r="H315" s="168" t="s">
        <v>295</v>
      </c>
      <c r="I315" s="168" t="s">
        <v>805</v>
      </c>
      <c r="J315" s="168"/>
      <c r="K315" s="223"/>
      <c r="L315" s="159" t="str">
        <f>_xlfn.LET(
_xlpm.look, _xlfn.XLOOKUP(ITEquipmentTable[[#This Row],[Name]], VNCTable[ClientName], VNCTable[IP], ""),
_xlpm.chkk, IF(ITEquipmentTable[[#This Row],[IPv4 Address]] = "N/A", "N/A", _xlpm.look),
IF(ITEquipmentTable[[#This Row],[Name]] = "", "", _xlpm.chkk))</f>
        <v/>
      </c>
      <c r="M315" s="168" t="s">
        <v>806</v>
      </c>
      <c r="N315" s="161" t="str">
        <f>_xlfn.LET(_xlpm.emp, IF(_xlfn.XLOOKUP(ITEquipmentTable[[#This Row],[Assigned Employee]], EmployeeTable[name], EmployeeTable[Active], TRUE), "Employee", "Recover"),
IF(ITEquipmentTable[[#This Row],[Storage Location]] = "Assigned to Employee", _xlpm.emp, "N/A"))</f>
        <v>N/A</v>
      </c>
      <c r="O315" s="161" t="str" cm="1">
        <f t="array" ref="O31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31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315" s="189" t="s">
        <v>312</v>
      </c>
      <c r="T315" s="194"/>
      <c r="X315" s="1">
        <v>9015</v>
      </c>
      <c r="Y315" s="223" t="s">
        <v>1320</v>
      </c>
      <c r="Z315" s="1" t="b">
        <v>0</v>
      </c>
      <c r="AA315"/>
    </row>
    <row r="316" spans="1:27" s="1" customFormat="1" hidden="1" x14ac:dyDescent="0.2">
      <c r="A316" s="155">
        <v>60</v>
      </c>
      <c r="B316" s="1" t="s">
        <v>304</v>
      </c>
      <c r="C316" s="1" t="s">
        <v>308</v>
      </c>
      <c r="D316" s="1" t="s">
        <v>309</v>
      </c>
      <c r="E316" s="1" t="s">
        <v>310</v>
      </c>
      <c r="F316" s="195" t="s">
        <v>502</v>
      </c>
      <c r="G316" s="159" t="str">
        <f>_xlfn.XLOOKUP(ITEquipmentTable[[#This Row],[Name]], IntuneData[Device name], IntuneData[Serial number], "")</f>
        <v/>
      </c>
      <c r="H316" s="1" t="s">
        <v>295</v>
      </c>
      <c r="I316" s="1" t="s">
        <v>503</v>
      </c>
      <c r="K316" s="154" t="s">
        <v>504</v>
      </c>
      <c r="L316" s="159" t="str">
        <f>_xlfn.LET(
_xlpm.look, _xlfn.XLOOKUP(ITEquipmentTable[[#This Row],[Name]], VNCTable[ClientName], VNCTable[IP], ""),
_xlpm.chkk, IF(ITEquipmentTable[[#This Row],[IPv4 Address]] = "N/A", "N/A", _xlpm.look),
IF(ITEquipmentTable[[#This Row],[Name]] = "", "", _xlpm.chkk))</f>
        <v/>
      </c>
      <c r="M316" s="1" t="s">
        <v>505</v>
      </c>
      <c r="N316" s="159" t="str">
        <f>_xlfn.LET(_xlpm.emp, IF(_xlfn.XLOOKUP(ITEquipmentTable[[#This Row],[Assigned Employee]], EmployeeTable[name], EmployeeTable[Active], TRUE), "Employee", "Recover"),
IF(ITEquipmentTable[[#This Row],[Storage Location]] = "Assigned to Employee", _xlpm.emp, "N/A"))</f>
        <v>N/A</v>
      </c>
      <c r="O316" s="159" t="str" cm="1">
        <f t="array" ref="O31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1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316" s="189" t="s">
        <v>312</v>
      </c>
      <c r="T316" s="194"/>
      <c r="X316" s="1">
        <v>9018</v>
      </c>
      <c r="Y316" s="223" t="s">
        <v>1323</v>
      </c>
      <c r="Z316" s="1" t="b">
        <v>0</v>
      </c>
      <c r="AA316"/>
    </row>
    <row r="317" spans="1:27" s="1" customFormat="1" hidden="1" x14ac:dyDescent="0.2">
      <c r="A317" s="155">
        <v>233</v>
      </c>
      <c r="B317" s="1" t="s">
        <v>304</v>
      </c>
      <c r="C317" s="1" t="s">
        <v>308</v>
      </c>
      <c r="D317" s="1" t="s">
        <v>309</v>
      </c>
      <c r="E317" s="1" t="s">
        <v>310</v>
      </c>
      <c r="F317" s="195" t="s">
        <v>981</v>
      </c>
      <c r="G317" s="159" t="str">
        <f>_xlfn.XLOOKUP(ITEquipmentTable[[#This Row],[Name]], IntuneData[Device name], IntuneData[Serial number], "")</f>
        <v/>
      </c>
      <c r="H317" s="1" t="s">
        <v>295</v>
      </c>
      <c r="I317" s="1" t="s">
        <v>982</v>
      </c>
      <c r="K317" s="154" t="s">
        <v>983</v>
      </c>
      <c r="L317" s="159" t="str">
        <f>_xlfn.LET(
_xlpm.look, _xlfn.XLOOKUP(ITEquipmentTable[[#This Row],[Name]], VNCTable[ClientName], VNCTable[IP], ""),
_xlpm.chkk, IF(ITEquipmentTable[[#This Row],[IPv4 Address]] = "N/A", "N/A", _xlpm.look),
IF(ITEquipmentTable[[#This Row],[Name]] = "", "", _xlpm.chkk))</f>
        <v>10.68.134.147</v>
      </c>
      <c r="M317" s="1" t="s">
        <v>984</v>
      </c>
      <c r="N317" s="159" t="str">
        <f>_xlfn.LET(_xlpm.emp, IF(_xlfn.XLOOKUP(ITEquipmentTable[[#This Row],[Assigned Employee]], EmployeeTable[name], EmployeeTable[Active], TRUE), "Employee", "Recover"),
IF(ITEquipmentTable[[#This Row],[Storage Location]] = "Assigned to Employee", _xlpm.emp, "N/A"))</f>
        <v>N/A</v>
      </c>
      <c r="O317" s="159" t="str" cm="1">
        <f t="array" ref="O31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1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317" s="189" t="s">
        <v>312</v>
      </c>
      <c r="T317" s="194"/>
      <c r="X317" s="1">
        <v>9021</v>
      </c>
      <c r="Y317" s="223" t="s">
        <v>1326</v>
      </c>
      <c r="Z317" s="1" t="b">
        <v>0</v>
      </c>
      <c r="AA317"/>
    </row>
    <row r="318" spans="1:27" s="1" customFormat="1" hidden="1" x14ac:dyDescent="0.2">
      <c r="A318" s="155">
        <v>180</v>
      </c>
      <c r="B318" s="1" t="s">
        <v>304</v>
      </c>
      <c r="C318" s="1" t="s">
        <v>308</v>
      </c>
      <c r="D318" s="1" t="s">
        <v>309</v>
      </c>
      <c r="E318" s="1" t="s">
        <v>310</v>
      </c>
      <c r="F318" s="195" t="s">
        <v>934</v>
      </c>
      <c r="G318" s="159" t="str">
        <f>_xlfn.XLOOKUP(ITEquipmentTable[[#This Row],[Name]], IntuneData[Device name], IntuneData[Serial number], "")</f>
        <v/>
      </c>
      <c r="H318" s="168"/>
      <c r="I318" s="168"/>
      <c r="J318" s="168"/>
      <c r="K318" s="223"/>
      <c r="L318" s="159" t="str">
        <f>_xlfn.LET(
_xlpm.look, _xlfn.XLOOKUP(ITEquipmentTable[[#This Row],[Name]], VNCTable[ClientName], VNCTable[IP], ""),
_xlpm.chkk, IF(ITEquipmentTable[[#This Row],[IPv4 Address]] = "N/A", "N/A", _xlpm.look),
IF(ITEquipmentTable[[#This Row],[Name]] = "", "", _xlpm.chkk))</f>
        <v/>
      </c>
      <c r="M318" s="168" t="s">
        <v>935</v>
      </c>
      <c r="N318" s="161" t="str">
        <f>_xlfn.LET(_xlpm.emp, IF(_xlfn.XLOOKUP(ITEquipmentTable[[#This Row],[Assigned Employee]], EmployeeTable[name], EmployeeTable[Active], TRUE), "Employee", "Recover"),
IF(ITEquipmentTable[[#This Row],[Storage Location]] = "Assigned to Employee", _xlpm.emp, "N/A"))</f>
        <v>N/A</v>
      </c>
      <c r="O318" s="161" t="str" cm="1">
        <f t="array" ref="O31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1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18" s="168"/>
      <c r="R318" s="168"/>
      <c r="S318" s="1" t="s">
        <v>405</v>
      </c>
      <c r="T318" s="194"/>
      <c r="X318" s="1">
        <v>9029</v>
      </c>
      <c r="Y318" s="223" t="s">
        <v>1328</v>
      </c>
      <c r="Z318" s="1" t="b">
        <v>0</v>
      </c>
      <c r="AA318"/>
    </row>
    <row r="319" spans="1:27" s="1" customFormat="1" hidden="1" x14ac:dyDescent="0.2">
      <c r="A319" s="155">
        <v>89</v>
      </c>
      <c r="B319" s="1" t="s">
        <v>304</v>
      </c>
      <c r="C319" s="1" t="s">
        <v>308</v>
      </c>
      <c r="D319" s="1" t="s">
        <v>309</v>
      </c>
      <c r="E319" s="1" t="s">
        <v>310</v>
      </c>
      <c r="F319" s="195" t="s">
        <v>772</v>
      </c>
      <c r="G319" s="159" t="str">
        <f>_xlfn.XLOOKUP(ITEquipmentTable[[#This Row],[Name]], IntuneData[Device name], IntuneData[Serial number], "")</f>
        <v/>
      </c>
      <c r="H319" s="1" t="s">
        <v>295</v>
      </c>
      <c r="I319" s="1" t="s">
        <v>457</v>
      </c>
      <c r="K319" s="154" t="s">
        <v>773</v>
      </c>
      <c r="L319" s="159" t="str">
        <f>_xlfn.LET(
_xlpm.look, _xlfn.XLOOKUP(ITEquipmentTable[[#This Row],[Name]], VNCTable[ClientName], VNCTable[IP], ""),
_xlpm.chkk, IF(ITEquipmentTable[[#This Row],[IPv4 Address]] = "N/A", "N/A", _xlpm.look),
IF(ITEquipmentTable[[#This Row],[Name]] = "", "", _xlpm.chkk))</f>
        <v>10.68.134.23</v>
      </c>
      <c r="M319" s="1" t="s">
        <v>774</v>
      </c>
      <c r="N319" s="159" t="str">
        <f>_xlfn.LET(_xlpm.emp, IF(_xlfn.XLOOKUP(ITEquipmentTable[[#This Row],[Assigned Employee]], EmployeeTable[name], EmployeeTable[Active], TRUE), "Employee", "Recover"),
IF(ITEquipmentTable[[#This Row],[Storage Location]] = "Assigned to Employee", _xlpm.emp, "N/A"))</f>
        <v>N/A</v>
      </c>
      <c r="O319" s="159" t="str" cm="1">
        <f t="array" ref="O31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1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319" s="189" t="s">
        <v>312</v>
      </c>
      <c r="T319" s="194"/>
      <c r="X319" s="1">
        <v>9053</v>
      </c>
      <c r="Y319" s="223" t="s">
        <v>1330</v>
      </c>
      <c r="Z319" s="1" t="b">
        <v>0</v>
      </c>
      <c r="AA319"/>
    </row>
    <row r="320" spans="1:27" s="1" customFormat="1" hidden="1" x14ac:dyDescent="0.2">
      <c r="A320" s="155">
        <v>411</v>
      </c>
      <c r="B320" s="1" t="s">
        <v>304</v>
      </c>
      <c r="C320" s="1" t="s">
        <v>308</v>
      </c>
      <c r="D320" s="1" t="s">
        <v>309</v>
      </c>
      <c r="E320" s="1" t="s">
        <v>310</v>
      </c>
      <c r="F320" s="195" t="s">
        <v>1513</v>
      </c>
      <c r="G320" s="159" t="str">
        <f>_xlfn.XLOOKUP(ITEquipmentTable[[#This Row],[Name]], IntuneData[Device name], IntuneData[Serial number], "")</f>
        <v/>
      </c>
      <c r="H320" s="189"/>
      <c r="I320" s="168"/>
      <c r="J320" s="168"/>
      <c r="K320" s="223"/>
      <c r="L320" s="354" t="str">
        <f>_xlfn.LET(
_xlpm.look, _xlfn.XLOOKUP(ITEquipmentTable[[#This Row],[Name]], VNCTable[ClientName], VNCTable[IP], ""),
_xlpm.chkk, IF(ITEquipmentTable[[#This Row],[IPv4 Address]] = "N/A", "N/A", _xlpm.look),
IF(ITEquipmentTable[[#This Row],[Name]] = "", "", _xlpm.chkk))</f>
        <v/>
      </c>
      <c r="M320" s="168"/>
      <c r="N320" s="161" t="str">
        <f>_xlfn.LET(_xlpm.emp, IF(_xlfn.XLOOKUP(ITEquipmentTable[[#This Row],[Assigned Employee]], EmployeeTable[name], EmployeeTable[Active], TRUE), "Employee", "Recover"),
IF(ITEquipmentTable[[#This Row],[Storage Location]] = "Assigned to Employee", _xlpm.emp, "N/A"))</f>
        <v>N/A</v>
      </c>
      <c r="O320" s="161" t="str" cm="1">
        <f t="array" ref="O32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32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20" s="168"/>
      <c r="R320" s="168"/>
      <c r="S320" s="1" t="s">
        <v>405</v>
      </c>
      <c r="T320" s="194"/>
      <c r="X320" s="1">
        <v>9057</v>
      </c>
      <c r="Y320" s="223" t="s">
        <v>1332</v>
      </c>
      <c r="Z320" s="1" t="b">
        <v>0</v>
      </c>
      <c r="AA320"/>
    </row>
    <row r="321" spans="1:27" s="1" customFormat="1" hidden="1" x14ac:dyDescent="0.2">
      <c r="A321" s="155">
        <v>238</v>
      </c>
      <c r="B321" s="1" t="s">
        <v>294</v>
      </c>
      <c r="C321" s="1" t="s">
        <v>403</v>
      </c>
      <c r="D321" s="1" t="s">
        <v>1179</v>
      </c>
      <c r="E321" s="1" t="s">
        <v>306</v>
      </c>
      <c r="F321" s="195" t="s">
        <v>1738</v>
      </c>
      <c r="G321" s="159" t="str">
        <f>_xlfn.XLOOKUP(ITEquipmentTable[[#This Row],[Name]], IntuneData[Device name], IntuneData[Serial number], "")</f>
        <v/>
      </c>
      <c r="H321" s="168"/>
      <c r="I321" s="168"/>
      <c r="J321" s="168"/>
      <c r="K321" s="154" t="s">
        <v>508</v>
      </c>
      <c r="L321" s="159" t="str">
        <f>_xlfn.LET(
_xlpm.look, _xlfn.XLOOKUP(ITEquipmentTable[[#This Row],[Name]], VNCTable[ClientName], VNCTable[IP], ""),
_xlpm.chkk, IF(ITEquipmentTable[[#This Row],[IPv4 Address]] = "N/A", "N/A", _xlpm.look),
IF(ITEquipmentTable[[#This Row],[Name]] = "", "", _xlpm.chkk))</f>
        <v/>
      </c>
      <c r="M321" s="168" t="s">
        <v>1739</v>
      </c>
      <c r="N321" s="161" t="str">
        <f>_xlfn.LET(_xlpm.emp, IF(_xlfn.XLOOKUP(ITEquipmentTable[[#This Row],[Assigned Employee]], EmployeeTable[name], EmployeeTable[Active], TRUE), "Employee", "Recover"),
IF(ITEquipmentTable[[#This Row],[Storage Location]] = "Assigned to Employee", _xlpm.emp, "N/A"))</f>
        <v>N/A</v>
      </c>
      <c r="O321" s="161" t="str" cm="1">
        <f t="array" ref="O32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2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21" s="168"/>
      <c r="R321" s="168"/>
      <c r="S321" s="1" t="s">
        <v>405</v>
      </c>
      <c r="T321" s="194"/>
      <c r="X321" s="1">
        <v>9065</v>
      </c>
      <c r="Y321" s="223" t="s">
        <v>1335</v>
      </c>
      <c r="Z321" s="1" t="b">
        <v>0</v>
      </c>
      <c r="AA321"/>
    </row>
    <row r="322" spans="1:27" s="1" customFormat="1" hidden="1" x14ac:dyDescent="0.2">
      <c r="A322" s="155">
        <v>673</v>
      </c>
      <c r="B322" s="1" t="s">
        <v>323</v>
      </c>
      <c r="C322" s="1" t="s">
        <v>562</v>
      </c>
      <c r="D322" s="1" t="s">
        <v>563</v>
      </c>
      <c r="E322" s="1" t="s">
        <v>306</v>
      </c>
      <c r="F322" s="195"/>
      <c r="G322" s="164" t="str">
        <f>_xlfn.XLOOKUP(ITEquipmentTable[[#This Row],[Name]], IntuneData[Device name], IntuneData[Serial number], "")</f>
        <v/>
      </c>
      <c r="H322" s="1" t="s">
        <v>295</v>
      </c>
      <c r="I322" s="1" t="s">
        <v>661</v>
      </c>
      <c r="K322" s="154" t="s">
        <v>3564</v>
      </c>
      <c r="L322" s="164" t="str">
        <f>_xlfn.LET(
_xlpm.look, _xlfn.XLOOKUP(ITEquipmentTable[[#This Row],[Name]], VNCTable[ClientName], VNCTable[IP], ""),
_xlpm.chkk, IF(ITEquipmentTable[[#This Row],[IPv4 Address]] = "N/A", "N/A", _xlpm.look),
IF(ITEquipmentTable[[#This Row],[Name]] = "", "", _xlpm.chkk))</f>
        <v>10.68.89.112</v>
      </c>
      <c r="M322" s="1" t="s">
        <v>662</v>
      </c>
      <c r="N322" s="161" t="str">
        <f>_xlfn.LET(_xlpm.emp, IF(_xlfn.XLOOKUP(ITEquipmentTable[[#This Row],[Assigned Employee]], EmployeeTable[name], EmployeeTable[Active], TRUE), "Employee", "Recover"),
IF(ITEquipmentTable[[#This Row],[Storage Location]] = "Assigned to Employee", _xlpm.emp, "N/A"))</f>
        <v>N/A</v>
      </c>
      <c r="O322" s="161" t="str" cm="1">
        <f t="array" ref="O32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2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322" s="1" t="s">
        <v>319</v>
      </c>
      <c r="T322" s="194"/>
      <c r="X322" s="1">
        <v>9066</v>
      </c>
      <c r="Y322" s="223" t="s">
        <v>1337</v>
      </c>
      <c r="Z322" s="1" t="b">
        <v>0</v>
      </c>
      <c r="AA322"/>
    </row>
    <row r="323" spans="1:27" s="1" customFormat="1" hidden="1" x14ac:dyDescent="0.2">
      <c r="A323" s="155">
        <v>674</v>
      </c>
      <c r="B323" s="1" t="s">
        <v>323</v>
      </c>
      <c r="E323" s="1" t="s">
        <v>306</v>
      </c>
      <c r="F323" s="195"/>
      <c r="G323" s="164" t="str">
        <f>_xlfn.XLOOKUP(ITEquipmentTable[[#This Row],[Name]], IntuneData[Device name], IntuneData[Serial number], "")</f>
        <v/>
      </c>
      <c r="K323" s="154"/>
      <c r="L323" s="164" t="str">
        <f>_xlfn.LET(
_xlpm.look, _xlfn.XLOOKUP(ITEquipmentTable[[#This Row],[Name]], VNCTable[ClientName], VNCTable[IP], ""),
_xlpm.chkk, IF(ITEquipmentTable[[#This Row],[IPv4 Address]] = "N/A", "N/A", _xlpm.look),
IF(ITEquipmentTable[[#This Row],[Name]] = "", "", _xlpm.chkk))</f>
        <v/>
      </c>
      <c r="M323" s="1" t="s">
        <v>1740</v>
      </c>
      <c r="N323" s="159" t="str">
        <f>_xlfn.LET(_xlpm.emp, IF(_xlfn.XLOOKUP(ITEquipmentTable[[#This Row],[Assigned Employee]], EmployeeTable[name], EmployeeTable[Active], TRUE), "Employee", "Recover"),
IF(ITEquipmentTable[[#This Row],[Storage Location]] = "Assigned to Employee", _xlpm.emp, "N/A"))</f>
        <v>N/A</v>
      </c>
      <c r="O323" s="161" t="str" cm="1">
        <f t="array" ref="O32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32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323" s="1" t="s">
        <v>298</v>
      </c>
      <c r="T323" s="194"/>
      <c r="X323" s="1">
        <v>9070</v>
      </c>
      <c r="Y323" s="223" t="s">
        <v>1339</v>
      </c>
      <c r="Z323" s="1" t="b">
        <v>0</v>
      </c>
      <c r="AA323"/>
    </row>
    <row r="324" spans="1:27" s="1" customFormat="1" hidden="1" x14ac:dyDescent="0.2">
      <c r="A324" s="217">
        <v>202</v>
      </c>
      <c r="B324" s="189" t="s">
        <v>323</v>
      </c>
      <c r="C324" s="189" t="s">
        <v>562</v>
      </c>
      <c r="E324" s="189" t="s">
        <v>306</v>
      </c>
      <c r="F324" s="195"/>
      <c r="G324" s="159" t="str">
        <f>_xlfn.XLOOKUP(ITEquipmentTable[[#This Row],[Name]], IntuneData[Device name], IntuneData[Serial number], "")</f>
        <v/>
      </c>
      <c r="H324" s="189" t="s">
        <v>295</v>
      </c>
      <c r="I324" s="189" t="s">
        <v>573</v>
      </c>
      <c r="J324" s="189"/>
      <c r="K324" s="219"/>
      <c r="L324" s="159" t="str">
        <f>_xlfn.LET(
_xlpm.look, _xlfn.XLOOKUP(ITEquipmentTable[[#This Row],[Name]], VNCTable[ClientName], VNCTable[IP], ""),
_xlpm.chkk, IF(ITEquipmentTable[[#This Row],[IPv4 Address]] = "N/A", "N/A", _xlpm.look),
IF(ITEquipmentTable[[#This Row],[Name]] = "", "", _xlpm.chkk))</f>
        <v/>
      </c>
      <c r="M324" s="189" t="s">
        <v>574</v>
      </c>
      <c r="N324" s="159" t="str">
        <f>_xlfn.LET(_xlpm.emp, IF(_xlfn.XLOOKUP(ITEquipmentTable[[#This Row],[Assigned Employee]], EmployeeTable[name], EmployeeTable[Active], TRUE), "Employee", "Recover"),
IF(ITEquipmentTable[[#This Row],[Storage Location]] = "Assigned to Employee", _xlpm.emp, "N/A"))</f>
        <v>N/A</v>
      </c>
      <c r="O324" s="159" t="str" cm="1">
        <f t="array" ref="O32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32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24" s="189"/>
      <c r="R324" s="189" t="s">
        <v>312</v>
      </c>
      <c r="S324" s="189" t="s">
        <v>313</v>
      </c>
      <c r="T324" s="194"/>
      <c r="X324" s="1">
        <v>9082</v>
      </c>
      <c r="Y324" s="223" t="s">
        <v>1343</v>
      </c>
      <c r="Z324" s="1" t="b">
        <v>0</v>
      </c>
      <c r="AA324"/>
    </row>
    <row r="325" spans="1:27" s="1" customFormat="1" hidden="1" x14ac:dyDescent="0.2">
      <c r="A325" s="155">
        <v>675</v>
      </c>
      <c r="B325" s="1" t="s">
        <v>323</v>
      </c>
      <c r="E325" s="1" t="s">
        <v>306</v>
      </c>
      <c r="F325" s="195"/>
      <c r="G325" s="164" t="str">
        <f>_xlfn.XLOOKUP(ITEquipmentTable[[#This Row],[Name]], IntuneData[Device name], IntuneData[Serial number], "")</f>
        <v/>
      </c>
      <c r="K325" s="154"/>
      <c r="L325" s="164" t="str">
        <f>_xlfn.LET(
_xlpm.look, _xlfn.XLOOKUP(ITEquipmentTable[[#This Row],[Name]], VNCTable[ClientName], VNCTable[IP], ""),
_xlpm.chkk, IF(ITEquipmentTable[[#This Row],[IPv4 Address]] = "N/A", "N/A", _xlpm.look),
IF(ITEquipmentTable[[#This Row],[Name]] = "", "", _xlpm.chkk))</f>
        <v/>
      </c>
      <c r="M325" s="1" t="s">
        <v>1741</v>
      </c>
      <c r="N325" s="159" t="str">
        <f>_xlfn.LET(_xlpm.emp, IF(_xlfn.XLOOKUP(ITEquipmentTable[[#This Row],[Assigned Employee]], EmployeeTable[name], EmployeeTable[Active], TRUE), "Employee", "Recover"),
IF(ITEquipmentTable[[#This Row],[Storage Location]] = "Assigned to Employee", _xlpm.emp, "N/A"))</f>
        <v>N/A</v>
      </c>
      <c r="O325" s="161" t="str" cm="1">
        <f t="array" ref="O32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2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325" s="1" t="s">
        <v>298</v>
      </c>
      <c r="T325" s="194"/>
      <c r="X325" s="1">
        <v>9093</v>
      </c>
      <c r="Y325" s="223" t="s">
        <v>1346</v>
      </c>
      <c r="Z325" s="1" t="b">
        <v>0</v>
      </c>
      <c r="AA325"/>
    </row>
    <row r="326" spans="1:27" s="1" customFormat="1" hidden="1" x14ac:dyDescent="0.2">
      <c r="A326" s="155">
        <v>676</v>
      </c>
      <c r="B326" s="1" t="s">
        <v>323</v>
      </c>
      <c r="E326" s="1" t="s">
        <v>306</v>
      </c>
      <c r="F326" s="195"/>
      <c r="G326" s="164" t="str">
        <f>_xlfn.XLOOKUP(ITEquipmentTable[[#This Row],[Name]], IntuneData[Device name], IntuneData[Serial number], "")</f>
        <v/>
      </c>
      <c r="K326" s="154"/>
      <c r="L326" s="164" t="str">
        <f>_xlfn.LET(
_xlpm.look, _xlfn.XLOOKUP(ITEquipmentTable[[#This Row],[Name]], VNCTable[ClientName], VNCTable[IP], ""),
_xlpm.chkk, IF(ITEquipmentTable[[#This Row],[IPv4 Address]] = "N/A", "N/A", _xlpm.look),
IF(ITEquipmentTable[[#This Row],[Name]] = "", "", _xlpm.chkk))</f>
        <v/>
      </c>
      <c r="M326" s="1" t="s">
        <v>1742</v>
      </c>
      <c r="N326" s="159" t="str">
        <f>_xlfn.LET(_xlpm.emp, IF(_xlfn.XLOOKUP(ITEquipmentTable[[#This Row],[Assigned Employee]], EmployeeTable[name], EmployeeTable[Active], TRUE), "Employee", "Recover"),
IF(ITEquipmentTable[[#This Row],[Storage Location]] = "Assigned to Employee", _xlpm.emp, "N/A"))</f>
        <v>N/A</v>
      </c>
      <c r="O326" s="161" t="str" cm="1">
        <f t="array" ref="O32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32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326" s="1" t="s">
        <v>298</v>
      </c>
      <c r="T326" s="194"/>
      <c r="X326" s="1">
        <v>9098</v>
      </c>
      <c r="Y326" s="223" t="s">
        <v>1349</v>
      </c>
      <c r="Z326" s="1" t="b">
        <v>0</v>
      </c>
      <c r="AA326"/>
    </row>
    <row r="327" spans="1:27" s="1" customFormat="1" hidden="1" x14ac:dyDescent="0.2">
      <c r="A327" s="155">
        <v>677</v>
      </c>
      <c r="B327" s="1" t="s">
        <v>323</v>
      </c>
      <c r="E327" s="1" t="s">
        <v>306</v>
      </c>
      <c r="F327" s="195"/>
      <c r="G327" s="164" t="str">
        <f>_xlfn.XLOOKUP(ITEquipmentTable[[#This Row],[Name]], IntuneData[Device name], IntuneData[Serial number], "")</f>
        <v/>
      </c>
      <c r="K327" s="154"/>
      <c r="L327" s="164" t="str">
        <f>_xlfn.LET(
_xlpm.look, _xlfn.XLOOKUP(ITEquipmentTable[[#This Row],[Name]], VNCTable[ClientName], VNCTable[IP], ""),
_xlpm.chkk, IF(ITEquipmentTable[[#This Row],[IPv4 Address]] = "N/A", "N/A", _xlpm.look),
IF(ITEquipmentTable[[#This Row],[Name]] = "", "", _xlpm.chkk))</f>
        <v/>
      </c>
      <c r="M327" s="1" t="s">
        <v>1743</v>
      </c>
      <c r="N327" s="159" t="str">
        <f>_xlfn.LET(_xlpm.emp, IF(_xlfn.XLOOKUP(ITEquipmentTable[[#This Row],[Assigned Employee]], EmployeeTable[name], EmployeeTable[Active], TRUE), "Employee", "Recover"),
IF(ITEquipmentTable[[#This Row],[Storage Location]] = "Assigned to Employee", _xlpm.emp, "N/A"))</f>
        <v>N/A</v>
      </c>
      <c r="O327" s="161" t="str" cm="1">
        <f t="array" ref="O32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2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327" s="1" t="s">
        <v>298</v>
      </c>
      <c r="T327" s="194"/>
      <c r="X327" s="1">
        <v>9102</v>
      </c>
      <c r="Y327" s="223" t="s">
        <v>1352</v>
      </c>
      <c r="Z327" s="1" t="b">
        <v>0</v>
      </c>
      <c r="AA327"/>
    </row>
    <row r="328" spans="1:27" s="1" customFormat="1" hidden="1" x14ac:dyDescent="0.2">
      <c r="A328" s="155">
        <v>678</v>
      </c>
      <c r="B328" s="1" t="s">
        <v>323</v>
      </c>
      <c r="E328" s="1" t="s">
        <v>306</v>
      </c>
      <c r="F328" s="195"/>
      <c r="G328" s="164" t="str">
        <f>_xlfn.XLOOKUP(ITEquipmentTable[[#This Row],[Name]], IntuneData[Device name], IntuneData[Serial number], "")</f>
        <v/>
      </c>
      <c r="K328" s="154"/>
      <c r="L328" s="164" t="str">
        <f>_xlfn.LET(
_xlpm.look, _xlfn.XLOOKUP(ITEquipmentTable[[#This Row],[Name]], VNCTable[ClientName], VNCTable[IP], ""),
_xlpm.chkk, IF(ITEquipmentTable[[#This Row],[IPv4 Address]] = "N/A", "N/A", _xlpm.look),
IF(ITEquipmentTable[[#This Row],[Name]] = "", "", _xlpm.chkk))</f>
        <v/>
      </c>
      <c r="M328" s="1" t="s">
        <v>1744</v>
      </c>
      <c r="N328" s="159" t="str">
        <f>_xlfn.LET(_xlpm.emp, IF(_xlfn.XLOOKUP(ITEquipmentTable[[#This Row],[Assigned Employee]], EmployeeTable[name], EmployeeTable[Active], TRUE), "Employee", "Recover"),
IF(ITEquipmentTable[[#This Row],[Storage Location]] = "Assigned to Employee", _xlpm.emp, "N/A"))</f>
        <v>N/A</v>
      </c>
      <c r="O328" s="161" t="str" cm="1">
        <f t="array" ref="O32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2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328" s="1" t="s">
        <v>298</v>
      </c>
      <c r="T328" s="194"/>
      <c r="X328" s="1">
        <v>9103</v>
      </c>
      <c r="Y328" s="223" t="s">
        <v>1355</v>
      </c>
      <c r="Z328" s="1" t="b">
        <v>0</v>
      </c>
      <c r="AA328"/>
    </row>
    <row r="329" spans="1:27" s="1" customFormat="1" hidden="1" x14ac:dyDescent="0.2">
      <c r="A329" s="155">
        <v>679</v>
      </c>
      <c r="B329" s="1" t="s">
        <v>323</v>
      </c>
      <c r="E329" s="1" t="s">
        <v>306</v>
      </c>
      <c r="F329" s="195"/>
      <c r="G329" s="164" t="str">
        <f>_xlfn.XLOOKUP(ITEquipmentTable[[#This Row],[Name]], IntuneData[Device name], IntuneData[Serial number], "")</f>
        <v/>
      </c>
      <c r="K329" s="154"/>
      <c r="L329" s="164" t="str">
        <f>_xlfn.LET(
_xlpm.look, _xlfn.XLOOKUP(ITEquipmentTable[[#This Row],[Name]], VNCTable[ClientName], VNCTable[IP], ""),
_xlpm.chkk, IF(ITEquipmentTable[[#This Row],[IPv4 Address]] = "N/A", "N/A", _xlpm.look),
IF(ITEquipmentTable[[#This Row],[Name]] = "", "", _xlpm.chkk))</f>
        <v/>
      </c>
      <c r="M329" s="1" t="s">
        <v>1745</v>
      </c>
      <c r="N329" s="159" t="str">
        <f>_xlfn.LET(_xlpm.emp, IF(_xlfn.XLOOKUP(ITEquipmentTable[[#This Row],[Assigned Employee]], EmployeeTable[name], EmployeeTable[Active], TRUE), "Employee", "Recover"),
IF(ITEquipmentTable[[#This Row],[Storage Location]] = "Assigned to Employee", _xlpm.emp, "N/A"))</f>
        <v>N/A</v>
      </c>
      <c r="O329" s="161" t="str" cm="1">
        <f t="array" ref="O32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32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329" s="1" t="s">
        <v>298</v>
      </c>
      <c r="T329" s="194"/>
      <c r="X329" s="1">
        <v>9105</v>
      </c>
      <c r="Y329" s="223" t="s">
        <v>1358</v>
      </c>
      <c r="Z329" s="1" t="b">
        <v>0</v>
      </c>
      <c r="AA329"/>
    </row>
    <row r="330" spans="1:27" s="1" customFormat="1" hidden="1" x14ac:dyDescent="0.2">
      <c r="A330" s="155">
        <v>214</v>
      </c>
      <c r="B330" s="1" t="s">
        <v>294</v>
      </c>
      <c r="C330" s="1" t="s">
        <v>403</v>
      </c>
      <c r="D330" s="1" t="s">
        <v>1746</v>
      </c>
      <c r="E330" s="1" t="s">
        <v>306</v>
      </c>
      <c r="F330" s="195" t="s">
        <v>1747</v>
      </c>
      <c r="G330" s="161" t="str">
        <f>_xlfn.XLOOKUP(ITEquipmentTable[[#This Row],[Name]], IntuneData[Device name], IntuneData[Serial number], "")</f>
        <v/>
      </c>
      <c r="H330" s="1" t="s">
        <v>318</v>
      </c>
      <c r="K330" s="154" t="s">
        <v>508</v>
      </c>
      <c r="L330" s="161" t="str">
        <f>_xlfn.LET(
_xlpm.look, _xlfn.XLOOKUP(ITEquipmentTable[[#This Row],[Name]], VNCTable[ClientName], VNCTable[IP], ""),
_xlpm.chkk, IF(ITEquipmentTable[[#This Row],[IPv4 Address]] = "N/A", "N/A", _xlpm.look),
IF(ITEquipmentTable[[#This Row],[Name]] = "", "", _xlpm.chkk))</f>
        <v/>
      </c>
      <c r="M330" s="1" t="s">
        <v>1748</v>
      </c>
      <c r="N330" s="159" t="str">
        <f>_xlfn.LET(_xlpm.emp, IF(_xlfn.XLOOKUP(ITEquipmentTable[[#This Row],[Assigned Employee]], EmployeeTable[name], EmployeeTable[Active], TRUE), "Employee", "Recover"),
IF(ITEquipmentTable[[#This Row],[Storage Location]] = "Assigned to Employee", _xlpm.emp, "N/A"))</f>
        <v>N/A</v>
      </c>
      <c r="O330" s="159" t="str" cm="1">
        <f t="array" ref="O33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3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330" s="193" t="s">
        <v>1749</v>
      </c>
      <c r="R330" s="193" t="s">
        <v>351</v>
      </c>
      <c r="S330" s="193"/>
      <c r="T330" s="194"/>
      <c r="X330" s="1">
        <v>9106</v>
      </c>
      <c r="Y330" s="223" t="s">
        <v>1361</v>
      </c>
      <c r="Z330" s="1" t="b">
        <v>0</v>
      </c>
      <c r="AA330"/>
    </row>
    <row r="331" spans="1:27" s="1" customFormat="1" hidden="1" x14ac:dyDescent="0.2">
      <c r="A331" s="155">
        <v>95</v>
      </c>
      <c r="B331" s="1" t="s">
        <v>304</v>
      </c>
      <c r="C331" s="1" t="s">
        <v>308</v>
      </c>
      <c r="D331" s="1" t="s">
        <v>309</v>
      </c>
      <c r="E331" s="1" t="s">
        <v>310</v>
      </c>
      <c r="F331" s="195" t="s">
        <v>797</v>
      </c>
      <c r="G331" s="159" t="str">
        <f>_xlfn.XLOOKUP(ITEquipmentTable[[#This Row],[Name]], IntuneData[Device name], IntuneData[Serial number], "")</f>
        <v/>
      </c>
      <c r="H331" s="1" t="s">
        <v>295</v>
      </c>
      <c r="I331" s="1" t="s">
        <v>798</v>
      </c>
      <c r="K331" s="154" t="s">
        <v>799</v>
      </c>
      <c r="L331" s="159" t="str">
        <f>_xlfn.LET(
_xlpm.look, _xlfn.XLOOKUP(ITEquipmentTable[[#This Row],[Name]], VNCTable[ClientName], VNCTable[IP], ""),
_xlpm.chkk, IF(ITEquipmentTable[[#This Row],[IPv4 Address]] = "N/A", "N/A", _xlpm.look),
IF(ITEquipmentTable[[#This Row],[Name]] = "", "", _xlpm.chkk))</f>
        <v>10.68.134.31</v>
      </c>
      <c r="M331" s="1" t="s">
        <v>800</v>
      </c>
      <c r="N331" s="159" t="str">
        <f>_xlfn.LET(_xlpm.emp, IF(_xlfn.XLOOKUP(ITEquipmentTable[[#This Row],[Assigned Employee]], EmployeeTable[name], EmployeeTable[Active], TRUE), "Employee", "Recover"),
IF(ITEquipmentTable[[#This Row],[Storage Location]] = "Assigned to Employee", _xlpm.emp, "N/A"))</f>
        <v>N/A</v>
      </c>
      <c r="O331" s="159" t="str" cm="1">
        <f t="array" ref="O33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3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331" s="189" t="s">
        <v>312</v>
      </c>
      <c r="T331" s="194"/>
      <c r="X331" s="1">
        <v>9107</v>
      </c>
      <c r="Y331" s="223" t="s">
        <v>1363</v>
      </c>
      <c r="Z331" s="1" t="b">
        <v>0</v>
      </c>
      <c r="AA331"/>
    </row>
    <row r="332" spans="1:27" s="1" customFormat="1" hidden="1" x14ac:dyDescent="0.2">
      <c r="A332" s="155">
        <v>50</v>
      </c>
      <c r="B332" s="1" t="s">
        <v>304</v>
      </c>
      <c r="C332" s="1" t="s">
        <v>308</v>
      </c>
      <c r="D332" s="1" t="s">
        <v>309</v>
      </c>
      <c r="E332" s="1" t="s">
        <v>310</v>
      </c>
      <c r="F332" s="195" t="s">
        <v>459</v>
      </c>
      <c r="G332" s="159" t="str">
        <f>_xlfn.XLOOKUP(ITEquipmentTable[[#This Row],[Name]], IntuneData[Device name], IntuneData[Serial number], "")</f>
        <v/>
      </c>
      <c r="H332" s="168"/>
      <c r="I332" s="168"/>
      <c r="J332" s="168"/>
      <c r="K332" s="223"/>
      <c r="L332" s="159" t="str">
        <f>_xlfn.LET(
_xlpm.look, _xlfn.XLOOKUP(ITEquipmentTable[[#This Row],[Name]], VNCTable[ClientName], VNCTable[IP], ""),
_xlpm.chkk, IF(ITEquipmentTable[[#This Row],[IPv4 Address]] = "N/A", "N/A", _xlpm.look),
IF(ITEquipmentTable[[#This Row],[Name]] = "", "", _xlpm.chkk))</f>
        <v/>
      </c>
      <c r="M332" s="168" t="s">
        <v>460</v>
      </c>
      <c r="N332" s="161" t="str">
        <f>_xlfn.LET(_xlpm.emp, IF(_xlfn.XLOOKUP(ITEquipmentTable[[#This Row],[Assigned Employee]], EmployeeTable[name], EmployeeTable[Active], TRUE), "Employee", "Recover"),
IF(ITEquipmentTable[[#This Row],[Storage Location]] = "Assigned to Employee", _xlpm.emp, "N/A"))</f>
        <v>N/A</v>
      </c>
      <c r="O332" s="161" t="str" cm="1">
        <f t="array" ref="O33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3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32" s="168"/>
      <c r="R332" s="168"/>
      <c r="S332" s="1" t="s">
        <v>405</v>
      </c>
      <c r="T332" s="194"/>
      <c r="X332" s="1">
        <v>9108</v>
      </c>
      <c r="Y332" s="223" t="s">
        <v>1366</v>
      </c>
      <c r="Z332" s="1" t="b">
        <v>0</v>
      </c>
      <c r="AA332"/>
    </row>
    <row r="333" spans="1:27" s="1" customFormat="1" hidden="1" x14ac:dyDescent="0.2">
      <c r="A333" s="155">
        <v>99</v>
      </c>
      <c r="B333" s="189" t="s">
        <v>304</v>
      </c>
      <c r="C333" s="189" t="s">
        <v>308</v>
      </c>
      <c r="D333" s="1" t="s">
        <v>309</v>
      </c>
      <c r="E333" s="189" t="s">
        <v>310</v>
      </c>
      <c r="F333" s="201" t="s">
        <v>808</v>
      </c>
      <c r="G333" s="159" t="str">
        <f>_xlfn.XLOOKUP(ITEquipmentTable[[#This Row],[Name]], IntuneData[Device name], IntuneData[Serial number], "")</f>
        <v/>
      </c>
      <c r="H333" s="189" t="s">
        <v>318</v>
      </c>
      <c r="I333" s="189"/>
      <c r="J333" s="189"/>
      <c r="K333" s="154" t="s">
        <v>226</v>
      </c>
      <c r="L333" s="354" t="str">
        <f>_xlfn.LET(
_xlpm.look, _xlfn.XLOOKUP(ITEquipmentTable[[#This Row],[Name]], VNCTable[ClientName], VNCTable[IP], ""),
_xlpm.chkk, IF(ITEquipmentTable[[#This Row],[IPv4 Address]] = "N/A", "N/A", _xlpm.look),
IF(ITEquipmentTable[[#This Row],[Name]] = "", "", _xlpm.chkk))</f>
        <v/>
      </c>
      <c r="M333" s="189"/>
      <c r="N333" s="159" t="str">
        <f>_xlfn.LET(_xlpm.emp, IF(_xlfn.XLOOKUP(ITEquipmentTable[[#This Row],[Assigned Employee]], EmployeeTable[name], EmployeeTable[Active], TRUE), "Employee", "Recover"),
IF(ITEquipmentTable[[#This Row],[Storage Location]] = "Assigned to Employee", _xlpm.emp, "N/A"))</f>
        <v>N/A</v>
      </c>
      <c r="O333" s="159" t="str" cm="1">
        <f t="array" ref="O33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33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333" s="189"/>
      <c r="R333" s="189"/>
      <c r="S333" s="189"/>
      <c r="T333" s="194"/>
      <c r="X333" s="1">
        <v>9109</v>
      </c>
      <c r="Y333" s="223" t="s">
        <v>1368</v>
      </c>
      <c r="Z333" s="1" t="b">
        <v>0</v>
      </c>
      <c r="AA333"/>
    </row>
    <row r="334" spans="1:27" s="1" customFormat="1" hidden="1" x14ac:dyDescent="0.2">
      <c r="A334" s="155">
        <v>239</v>
      </c>
      <c r="B334" s="1" t="s">
        <v>294</v>
      </c>
      <c r="C334" s="1" t="s">
        <v>403</v>
      </c>
      <c r="D334" s="1" t="s">
        <v>1170</v>
      </c>
      <c r="E334" s="1" t="s">
        <v>306</v>
      </c>
      <c r="F334" s="195" t="s">
        <v>1750</v>
      </c>
      <c r="G334" s="159" t="str">
        <f>_xlfn.XLOOKUP(ITEquipmentTable[[#This Row],[Name]], IntuneData[Device name], IntuneData[Serial number], "")</f>
        <v/>
      </c>
      <c r="H334" s="168"/>
      <c r="I334" s="168"/>
      <c r="J334" s="168"/>
      <c r="K334" s="154" t="s">
        <v>508</v>
      </c>
      <c r="L334" s="159" t="str">
        <f>_xlfn.LET(
_xlpm.look, _xlfn.XLOOKUP(ITEquipmentTable[[#This Row],[Name]], VNCTable[ClientName], VNCTable[IP], ""),
_xlpm.chkk, IF(ITEquipmentTable[[#This Row],[IPv4 Address]] = "N/A", "N/A", _xlpm.look),
IF(ITEquipmentTable[[#This Row],[Name]] = "", "", _xlpm.chkk))</f>
        <v/>
      </c>
      <c r="M334" s="168" t="s">
        <v>1751</v>
      </c>
      <c r="N334" s="161" t="str">
        <f>_xlfn.LET(_xlpm.emp, IF(_xlfn.XLOOKUP(ITEquipmentTable[[#This Row],[Assigned Employee]], EmployeeTable[name], EmployeeTable[Active], TRUE), "Employee", "Recover"),
IF(ITEquipmentTable[[#This Row],[Storage Location]] = "Assigned to Employee", _xlpm.emp, "N/A"))</f>
        <v>N/A</v>
      </c>
      <c r="O334" s="161" t="str" cm="1">
        <f t="array" ref="O33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3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34" s="168"/>
      <c r="R334" s="168"/>
      <c r="S334" s="1" t="s">
        <v>405</v>
      </c>
      <c r="T334" s="194"/>
      <c r="X334" s="1">
        <v>9111</v>
      </c>
      <c r="Y334" s="223" t="s">
        <v>1370</v>
      </c>
      <c r="Z334" s="1" t="b">
        <v>0</v>
      </c>
      <c r="AA334"/>
    </row>
    <row r="335" spans="1:27" s="1" customFormat="1" hidden="1" x14ac:dyDescent="0.2">
      <c r="A335" s="155">
        <v>680</v>
      </c>
      <c r="F335" s="195"/>
      <c r="G335" s="164" t="str">
        <f>_xlfn.XLOOKUP(ITEquipmentTable[[#This Row],[Name]], IntuneData[Device name], IntuneData[Serial number], "")</f>
        <v/>
      </c>
      <c r="K335" s="154"/>
      <c r="L335" s="164" t="str">
        <f>_xlfn.LET(
_xlpm.look, _xlfn.XLOOKUP(ITEquipmentTable[[#This Row],[Name]], VNCTable[ClientName], VNCTable[IP], ""),
_xlpm.chkk, IF(ITEquipmentTable[[#This Row],[IPv4 Address]] = "N/A", "N/A", _xlpm.look),
IF(ITEquipmentTable[[#This Row],[Name]] = "", "", _xlpm.chkk))</f>
        <v/>
      </c>
      <c r="M335" s="1" t="s">
        <v>1752</v>
      </c>
      <c r="N335" s="159" t="str">
        <f>_xlfn.LET(_xlpm.emp, IF(_xlfn.XLOOKUP(ITEquipmentTable[[#This Row],[Assigned Employee]], EmployeeTable[name], EmployeeTable[Active], TRUE), "Employee", "Recover"),
IF(ITEquipmentTable[[#This Row],[Storage Location]] = "Assigned to Employee", _xlpm.emp, "N/A"))</f>
        <v>N/A</v>
      </c>
      <c r="O335" s="161" t="str" cm="1">
        <f t="array" ref="O33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33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335" s="1" t="s">
        <v>298</v>
      </c>
      <c r="T335" s="194"/>
      <c r="X335" s="1">
        <v>9112</v>
      </c>
      <c r="Y335" s="223" t="s">
        <v>1373</v>
      </c>
      <c r="Z335" s="1" t="b">
        <v>0</v>
      </c>
      <c r="AA335"/>
    </row>
    <row r="336" spans="1:27" s="1" customFormat="1" hidden="1" x14ac:dyDescent="0.2">
      <c r="A336" s="155">
        <v>681</v>
      </c>
      <c r="F336" s="195"/>
      <c r="G336" s="164" t="str">
        <f>_xlfn.XLOOKUP(ITEquipmentTable[[#This Row],[Name]], IntuneData[Device name], IntuneData[Serial number], "")</f>
        <v/>
      </c>
      <c r="K336" s="154"/>
      <c r="L336" s="164" t="str">
        <f>_xlfn.LET(
_xlpm.look, _xlfn.XLOOKUP(ITEquipmentTable[[#This Row],[Name]], VNCTable[ClientName], VNCTable[IP], ""),
_xlpm.chkk, IF(ITEquipmentTable[[#This Row],[IPv4 Address]] = "N/A", "N/A", _xlpm.look),
IF(ITEquipmentTable[[#This Row],[Name]] = "", "", _xlpm.chkk))</f>
        <v/>
      </c>
      <c r="M336" s="1" t="s">
        <v>1753</v>
      </c>
      <c r="N336" s="159" t="str">
        <f>_xlfn.LET(_xlpm.emp, IF(_xlfn.XLOOKUP(ITEquipmentTable[[#This Row],[Assigned Employee]], EmployeeTable[name], EmployeeTable[Active], TRUE), "Employee", "Recover"),
IF(ITEquipmentTable[[#This Row],[Storage Location]] = "Assigned to Employee", _xlpm.emp, "N/A"))</f>
        <v>N/A</v>
      </c>
      <c r="O336" s="161" t="str" cm="1">
        <f t="array" ref="O33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33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336" s="1" t="s">
        <v>298</v>
      </c>
      <c r="T336" s="194"/>
      <c r="X336" s="1">
        <v>9113</v>
      </c>
      <c r="Y336" s="223" t="s">
        <v>1375</v>
      </c>
      <c r="Z336" s="1" t="b">
        <v>0</v>
      </c>
      <c r="AA336"/>
    </row>
    <row r="337" spans="1:27" s="1" customFormat="1" x14ac:dyDescent="0.2">
      <c r="A337" s="155">
        <v>241</v>
      </c>
      <c r="B337" s="189" t="s">
        <v>304</v>
      </c>
      <c r="C337" s="1" t="s">
        <v>403</v>
      </c>
      <c r="E337" s="1" t="s">
        <v>306</v>
      </c>
      <c r="F337" s="195"/>
      <c r="G337" s="159" t="str">
        <f>_xlfn.XLOOKUP(ITEquipmentTable[[#This Row],[Name]], IntuneData[Device name], IntuneData[Serial number], "")</f>
        <v/>
      </c>
      <c r="H337" s="189" t="s">
        <v>295</v>
      </c>
      <c r="I337" s="189" t="s">
        <v>841</v>
      </c>
      <c r="J337" s="189"/>
      <c r="K337" s="154" t="s">
        <v>988</v>
      </c>
      <c r="L337" s="159" t="str">
        <f>_xlfn.LET(
_xlpm.look, _xlfn.XLOOKUP(ITEquipmentTable[[#This Row],[Name]], VNCTable[ClientName], VNCTable[IP], ""),
_xlpm.chkk, IF(ITEquipmentTable[[#This Row],[IPv4 Address]] = "N/A", "N/A", _xlpm.look),
IF(ITEquipmentTable[[#This Row],[Name]] = "", "", _xlpm.chkk))</f>
        <v>10.68.134.229</v>
      </c>
      <c r="M337" s="189" t="s">
        <v>989</v>
      </c>
      <c r="N337" s="159" t="str">
        <f>_xlfn.LET(_xlpm.emp, IF(_xlfn.XLOOKUP(ITEquipmentTable[[#This Row],[Assigned Employee]], EmployeeTable[name], EmployeeTable[Active], TRUE), "Employee", "Recover"),
IF(ITEquipmentTable[[#This Row],[Storage Location]] = "Assigned to Employee", _xlpm.emp, "N/A"))</f>
        <v>N/A</v>
      </c>
      <c r="O337" s="159" t="str" cm="1">
        <f t="array" ref="O33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3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37" s="193"/>
      <c r="R337" s="189" t="s">
        <v>312</v>
      </c>
      <c r="S337" s="189" t="s">
        <v>299</v>
      </c>
      <c r="T337" s="194"/>
      <c r="X337" s="1">
        <v>9114</v>
      </c>
      <c r="Y337" s="223" t="s">
        <v>1379</v>
      </c>
      <c r="Z337" s="1" t="b">
        <v>0</v>
      </c>
      <c r="AA337"/>
    </row>
    <row r="338" spans="1:27" s="1" customFormat="1" hidden="1" x14ac:dyDescent="0.2">
      <c r="A338" s="155">
        <v>242</v>
      </c>
      <c r="B338" s="189" t="s">
        <v>304</v>
      </c>
      <c r="F338" s="195"/>
      <c r="G338" s="159" t="str">
        <f>_xlfn.XLOOKUP(ITEquipmentTable[[#This Row],[Name]], IntuneData[Device name], IntuneData[Serial number], "")</f>
        <v/>
      </c>
      <c r="H338" s="189" t="s">
        <v>295</v>
      </c>
      <c r="I338" s="189" t="s">
        <v>991</v>
      </c>
      <c r="J338" s="189"/>
      <c r="K338" s="219" t="s">
        <v>992</v>
      </c>
      <c r="L338" s="159" t="str">
        <f>_xlfn.LET(
_xlpm.look, _xlfn.XLOOKUP(ITEquipmentTable[[#This Row],[Name]], VNCTable[ClientName], VNCTable[IP], ""),
_xlpm.chkk, IF(ITEquipmentTable[[#This Row],[IPv4 Address]] = "N/A", "N/A", _xlpm.look),
IF(ITEquipmentTable[[#This Row],[Name]] = "", "", _xlpm.chkk))</f>
        <v>10.68.134.235</v>
      </c>
      <c r="M338" s="189" t="s">
        <v>993</v>
      </c>
      <c r="N338" s="159" t="str">
        <f>_xlfn.LET(_xlpm.emp, IF(_xlfn.XLOOKUP(ITEquipmentTable[[#This Row],[Assigned Employee]], EmployeeTable[name], EmployeeTable[Active], TRUE), "Employee", "Recover"),
IF(ITEquipmentTable[[#This Row],[Storage Location]] = "Assigned to Employee", _xlpm.emp, "N/A"))</f>
        <v>N/A</v>
      </c>
      <c r="O338" s="159" t="str" cm="1">
        <f t="array" ref="O33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3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38" s="193"/>
      <c r="R338" s="189" t="s">
        <v>312</v>
      </c>
      <c r="S338" s="189" t="s">
        <v>299</v>
      </c>
      <c r="T338" s="194"/>
      <c r="X338" s="1">
        <v>9120</v>
      </c>
      <c r="Y338" s="223" t="s">
        <v>1382</v>
      </c>
      <c r="Z338" s="1" t="b">
        <v>0</v>
      </c>
      <c r="AA338"/>
    </row>
    <row r="339" spans="1:27" s="1" customFormat="1" x14ac:dyDescent="0.2">
      <c r="A339" s="155">
        <v>243</v>
      </c>
      <c r="B339" s="189" t="s">
        <v>304</v>
      </c>
      <c r="C339" s="1" t="s">
        <v>403</v>
      </c>
      <c r="E339" s="1" t="s">
        <v>306</v>
      </c>
      <c r="F339" s="195"/>
      <c r="G339" s="159" t="str">
        <f>_xlfn.XLOOKUP(ITEquipmentTable[[#This Row],[Name]], IntuneData[Device name], IntuneData[Serial number], "")</f>
        <v/>
      </c>
      <c r="H339" s="189" t="s">
        <v>295</v>
      </c>
      <c r="I339" s="189" t="s">
        <v>821</v>
      </c>
      <c r="J339" s="189"/>
      <c r="K339" s="154" t="s">
        <v>995</v>
      </c>
      <c r="L339" s="159" t="str">
        <f>_xlfn.LET(
_xlpm.look, _xlfn.XLOOKUP(ITEquipmentTable[[#This Row],[Name]], VNCTable[ClientName], VNCTable[IP], ""),
_xlpm.chkk, IF(ITEquipmentTable[[#This Row],[IPv4 Address]] = "N/A", "N/A", _xlpm.look),
IF(ITEquipmentTable[[#This Row],[Name]] = "", "", _xlpm.chkk))</f>
        <v>10.68.134.224</v>
      </c>
      <c r="M339" s="189" t="s">
        <v>996</v>
      </c>
      <c r="N339" s="159" t="str">
        <f>_xlfn.LET(_xlpm.emp, IF(_xlfn.XLOOKUP(ITEquipmentTable[[#This Row],[Assigned Employee]], EmployeeTable[name], EmployeeTable[Active], TRUE), "Employee", "Recover"),
IF(ITEquipmentTable[[#This Row],[Storage Location]] = "Assigned to Employee", _xlpm.emp, "N/A"))</f>
        <v>N/A</v>
      </c>
      <c r="O339" s="159" t="str" cm="1">
        <f t="array" ref="O33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3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39" s="193"/>
      <c r="R339" s="189" t="s">
        <v>312</v>
      </c>
      <c r="S339" s="189" t="s">
        <v>313</v>
      </c>
      <c r="T339" s="194"/>
      <c r="X339" s="1">
        <v>9148</v>
      </c>
      <c r="Y339" s="223" t="s">
        <v>1386</v>
      </c>
      <c r="Z339" s="1" t="b">
        <v>0</v>
      </c>
      <c r="AA339"/>
    </row>
    <row r="340" spans="1:27" s="1" customFormat="1" x14ac:dyDescent="0.2">
      <c r="A340" s="155">
        <v>244</v>
      </c>
      <c r="B340" s="189" t="s">
        <v>304</v>
      </c>
      <c r="C340" s="1" t="s">
        <v>403</v>
      </c>
      <c r="E340" s="1" t="s">
        <v>306</v>
      </c>
      <c r="F340" s="195"/>
      <c r="G340" s="159" t="str">
        <f>_xlfn.XLOOKUP(ITEquipmentTable[[#This Row],[Name]], IntuneData[Device name], IntuneData[Serial number], "")</f>
        <v/>
      </c>
      <c r="H340" s="189" t="s">
        <v>295</v>
      </c>
      <c r="I340" s="189" t="s">
        <v>827</v>
      </c>
      <c r="J340" s="189"/>
      <c r="K340" s="154" t="s">
        <v>998</v>
      </c>
      <c r="L340" s="159" t="str">
        <f>_xlfn.LET(
_xlpm.look, _xlfn.XLOOKUP(ITEquipmentTable[[#This Row],[Name]], VNCTable[ClientName], VNCTable[IP], ""),
_xlpm.chkk, IF(ITEquipmentTable[[#This Row],[IPv4 Address]] = "N/A", "N/A", _xlpm.look),
IF(ITEquipmentTable[[#This Row],[Name]] = "", "", _xlpm.chkk))</f>
        <v>10.68.134.225</v>
      </c>
      <c r="M340" s="189" t="s">
        <v>999</v>
      </c>
      <c r="N340" s="159" t="str">
        <f>_xlfn.LET(_xlpm.emp, IF(_xlfn.XLOOKUP(ITEquipmentTable[[#This Row],[Assigned Employee]], EmployeeTable[name], EmployeeTable[Active], TRUE), "Employee", "Recover"),
IF(ITEquipmentTable[[#This Row],[Storage Location]] = "Assigned to Employee", _xlpm.emp, "N/A"))</f>
        <v>N/A</v>
      </c>
      <c r="O340" s="159" t="str" cm="1">
        <f t="array" ref="O34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4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40" s="193"/>
      <c r="R340" s="189" t="s">
        <v>312</v>
      </c>
      <c r="S340" s="189" t="s">
        <v>313</v>
      </c>
      <c r="T340" s="194"/>
      <c r="X340" s="1">
        <v>9155</v>
      </c>
      <c r="Y340" s="223" t="s">
        <v>1388</v>
      </c>
      <c r="Z340" s="1" t="b">
        <v>0</v>
      </c>
      <c r="AA340"/>
    </row>
    <row r="341" spans="1:27" s="1" customFormat="1" x14ac:dyDescent="0.2">
      <c r="A341" s="155">
        <v>245</v>
      </c>
      <c r="B341" s="189" t="s">
        <v>304</v>
      </c>
      <c r="C341" s="1" t="s">
        <v>403</v>
      </c>
      <c r="E341" s="1" t="s">
        <v>306</v>
      </c>
      <c r="F341" s="195"/>
      <c r="G341" s="159" t="str">
        <f>_xlfn.XLOOKUP(ITEquipmentTable[[#This Row],[Name]], IntuneData[Device name], IntuneData[Serial number], "")</f>
        <v/>
      </c>
      <c r="H341" s="189" t="s">
        <v>295</v>
      </c>
      <c r="I341" s="189" t="s">
        <v>1001</v>
      </c>
      <c r="J341" s="189"/>
      <c r="K341" s="154" t="s">
        <v>1002</v>
      </c>
      <c r="L341" s="159" t="str">
        <f>_xlfn.LET(
_xlpm.look, _xlfn.XLOOKUP(ITEquipmentTable[[#This Row],[Name]], VNCTable[ClientName], VNCTable[IP], ""),
_xlpm.chkk, IF(ITEquipmentTable[[#This Row],[IPv4 Address]] = "N/A", "N/A", _xlpm.look),
IF(ITEquipmentTable[[#This Row],[Name]] = "", "", _xlpm.chkk))</f>
        <v>10.68.134.227</v>
      </c>
      <c r="M341" s="189" t="s">
        <v>1003</v>
      </c>
      <c r="N341" s="159" t="str">
        <f>_xlfn.LET(_xlpm.emp, IF(_xlfn.XLOOKUP(ITEquipmentTable[[#This Row],[Assigned Employee]], EmployeeTable[name], EmployeeTable[Active], TRUE), "Employee", "Recover"),
IF(ITEquipmentTable[[#This Row],[Storage Location]] = "Assigned to Employee", _xlpm.emp, "N/A"))</f>
        <v>N/A</v>
      </c>
      <c r="O341" s="159" t="str" cm="1">
        <f t="array" ref="O34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4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41" s="193"/>
      <c r="R341" s="189" t="s">
        <v>312</v>
      </c>
      <c r="S341" s="189" t="s">
        <v>313</v>
      </c>
      <c r="T341" s="194"/>
      <c r="X341" s="1">
        <v>9156</v>
      </c>
      <c r="Y341" s="223" t="s">
        <v>1390</v>
      </c>
      <c r="Z341" s="1" t="b">
        <v>0</v>
      </c>
      <c r="AA341"/>
    </row>
    <row r="342" spans="1:27" s="1" customFormat="1" x14ac:dyDescent="0.2">
      <c r="A342" s="155">
        <v>246</v>
      </c>
      <c r="B342" s="189" t="s">
        <v>304</v>
      </c>
      <c r="C342" s="1" t="s">
        <v>403</v>
      </c>
      <c r="E342" s="1" t="s">
        <v>306</v>
      </c>
      <c r="F342" s="195"/>
      <c r="G342" s="159" t="str">
        <f>_xlfn.XLOOKUP(ITEquipmentTable[[#This Row],[Name]], IntuneData[Device name], IntuneData[Serial number], "")</f>
        <v/>
      </c>
      <c r="H342" s="189" t="s">
        <v>295</v>
      </c>
      <c r="I342" s="189" t="s">
        <v>1005</v>
      </c>
      <c r="J342" s="189"/>
      <c r="K342" s="154" t="s">
        <v>1006</v>
      </c>
      <c r="L342" s="159" t="str">
        <f>_xlfn.LET(
_xlpm.look, _xlfn.XLOOKUP(ITEquipmentTable[[#This Row],[Name]], VNCTable[ClientName], VNCTable[IP], ""),
_xlpm.chkk, IF(ITEquipmentTable[[#This Row],[IPv4 Address]] = "N/A", "N/A", _xlpm.look),
IF(ITEquipmentTable[[#This Row],[Name]] = "", "", _xlpm.chkk))</f>
        <v>10.68.134.228</v>
      </c>
      <c r="M342" s="189" t="s">
        <v>1007</v>
      </c>
      <c r="N342" s="159" t="str">
        <f>_xlfn.LET(_xlpm.emp, IF(_xlfn.XLOOKUP(ITEquipmentTable[[#This Row],[Assigned Employee]], EmployeeTable[name], EmployeeTable[Active], TRUE), "Employee", "Recover"),
IF(ITEquipmentTable[[#This Row],[Storage Location]] = "Assigned to Employee", _xlpm.emp, "N/A"))</f>
        <v>N/A</v>
      </c>
      <c r="O342" s="159" t="str" cm="1">
        <f t="array" ref="O34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4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42" s="193"/>
      <c r="R342" s="189" t="s">
        <v>312</v>
      </c>
      <c r="S342" s="189" t="s">
        <v>313</v>
      </c>
      <c r="T342" s="194"/>
      <c r="X342" s="1">
        <v>9164</v>
      </c>
      <c r="Y342" s="223" t="s">
        <v>1393</v>
      </c>
      <c r="Z342" s="1" t="b">
        <v>0</v>
      </c>
      <c r="AA342"/>
    </row>
    <row r="343" spans="1:27" s="1" customFormat="1" x14ac:dyDescent="0.2">
      <c r="A343" s="155">
        <v>480</v>
      </c>
      <c r="B343" s="1" t="s">
        <v>304</v>
      </c>
      <c r="C343" s="1" t="s">
        <v>403</v>
      </c>
      <c r="E343" s="1" t="s">
        <v>306</v>
      </c>
      <c r="F343" s="195"/>
      <c r="G343" s="159" t="str">
        <f>_xlfn.XLOOKUP(ITEquipmentTable[[#This Row],[Name]], IntuneData[Device name], IntuneData[Serial number], "")</f>
        <v/>
      </c>
      <c r="H343" s="1" t="s">
        <v>295</v>
      </c>
      <c r="I343" s="1" t="s">
        <v>899</v>
      </c>
      <c r="K343" s="154"/>
      <c r="L343" s="159" t="str">
        <f>_xlfn.LET(
_xlpm.look, _xlfn.XLOOKUP(ITEquipmentTable[[#This Row],[Name]], VNCTable[ClientName], VNCTable[IP], ""),
_xlpm.chkk, IF(ITEquipmentTable[[#This Row],[IPv4 Address]] = "N/A", "N/A", _xlpm.look),
IF(ITEquipmentTable[[#This Row],[Name]] = "", "", _xlpm.chkk))</f>
        <v/>
      </c>
      <c r="M343" s="1" t="s">
        <v>1759</v>
      </c>
      <c r="N343" s="159" t="str">
        <f>_xlfn.LET(_xlpm.emp, IF(_xlfn.XLOOKUP(ITEquipmentTable[[#This Row],[Assigned Employee]], EmployeeTable[name], EmployeeTable[Active], TRUE), "Employee", "Recover"),
IF(ITEquipmentTable[[#This Row],[Storage Location]] = "Assigned to Employee", _xlpm.emp, "N/A"))</f>
        <v>N/A</v>
      </c>
      <c r="O343" s="159" t="str" cm="1">
        <f t="array" ref="O34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4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343" s="193" t="s">
        <v>312</v>
      </c>
      <c r="S343" s="1" t="s">
        <v>299</v>
      </c>
      <c r="T343" s="194"/>
      <c r="X343" s="1">
        <v>9181</v>
      </c>
      <c r="Y343" s="223" t="s">
        <v>1396</v>
      </c>
      <c r="Z343" s="1" t="b">
        <v>0</v>
      </c>
      <c r="AA343"/>
    </row>
    <row r="344" spans="1:27" s="1" customFormat="1" x14ac:dyDescent="0.2">
      <c r="A344" s="155">
        <v>247</v>
      </c>
      <c r="B344" s="189" t="s">
        <v>304</v>
      </c>
      <c r="C344" s="1" t="s">
        <v>403</v>
      </c>
      <c r="E344" s="1" t="s">
        <v>306</v>
      </c>
      <c r="F344" s="195"/>
      <c r="G344" s="159" t="str">
        <f>_xlfn.XLOOKUP(ITEquipmentTable[[#This Row],[Name]], IntuneData[Device name], IntuneData[Serial number], "")</f>
        <v/>
      </c>
      <c r="H344" s="189" t="s">
        <v>295</v>
      </c>
      <c r="I344" s="189" t="s">
        <v>904</v>
      </c>
      <c r="J344" s="189"/>
      <c r="K344" s="219" t="s">
        <v>1009</v>
      </c>
      <c r="L344" s="159" t="str">
        <f>_xlfn.LET(
_xlpm.look, _xlfn.XLOOKUP(ITEquipmentTable[[#This Row],[Name]], VNCTable[ClientName], VNCTable[IP], ""),
_xlpm.chkk, IF(ITEquipmentTable[[#This Row],[IPv4 Address]] = "N/A", "N/A", _xlpm.look),
IF(ITEquipmentTable[[#This Row],[Name]] = "", "", _xlpm.chkk))</f>
        <v>10.68.134.232</v>
      </c>
      <c r="M344" s="189" t="s">
        <v>1010</v>
      </c>
      <c r="N344" s="159" t="str">
        <f>_xlfn.LET(_xlpm.emp, IF(_xlfn.XLOOKUP(ITEquipmentTable[[#This Row],[Assigned Employee]], EmployeeTable[name], EmployeeTable[Active], TRUE), "Employee", "Recover"),
IF(ITEquipmentTable[[#This Row],[Storage Location]] = "Assigned to Employee", _xlpm.emp, "N/A"))</f>
        <v>N/A</v>
      </c>
      <c r="O344" s="159" t="str" cm="1">
        <f t="array" ref="O34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4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44" s="193"/>
      <c r="R344" s="189" t="s">
        <v>312</v>
      </c>
      <c r="S344" s="189" t="s">
        <v>299</v>
      </c>
      <c r="T344" s="194"/>
      <c r="X344" s="1">
        <v>9199</v>
      </c>
      <c r="Y344" s="223" t="s">
        <v>1398</v>
      </c>
      <c r="Z344" s="1" t="b">
        <v>0</v>
      </c>
      <c r="AA344"/>
    </row>
    <row r="345" spans="1:27" s="1" customFormat="1" x14ac:dyDescent="0.2">
      <c r="A345" s="155">
        <v>248</v>
      </c>
      <c r="B345" s="189" t="s">
        <v>304</v>
      </c>
      <c r="C345" s="1" t="s">
        <v>403</v>
      </c>
      <c r="E345" s="1" t="s">
        <v>306</v>
      </c>
      <c r="F345" s="195"/>
      <c r="G345" s="159" t="str">
        <f>_xlfn.XLOOKUP(ITEquipmentTable[[#This Row],[Name]], IntuneData[Device name], IntuneData[Serial number], "")</f>
        <v/>
      </c>
      <c r="H345" s="189" t="s">
        <v>295</v>
      </c>
      <c r="I345" s="189" t="s">
        <v>1012</v>
      </c>
      <c r="J345" s="189"/>
      <c r="K345" s="219" t="s">
        <v>1013</v>
      </c>
      <c r="L345" s="159" t="str">
        <f>_xlfn.LET(
_xlpm.look, _xlfn.XLOOKUP(ITEquipmentTable[[#This Row],[Name]], VNCTable[ClientName], VNCTable[IP], ""),
_xlpm.chkk, IF(ITEquipmentTable[[#This Row],[IPv4 Address]] = "N/A", "N/A", _xlpm.look),
IF(ITEquipmentTable[[#This Row],[Name]] = "", "", _xlpm.chkk))</f>
        <v>10.68.134.233</v>
      </c>
      <c r="M345" s="189" t="s">
        <v>1014</v>
      </c>
      <c r="N345" s="159" t="str">
        <f>_xlfn.LET(_xlpm.emp, IF(_xlfn.XLOOKUP(ITEquipmentTable[[#This Row],[Assigned Employee]], EmployeeTable[name], EmployeeTable[Active], TRUE), "Employee", "Recover"),
IF(ITEquipmentTable[[#This Row],[Storage Location]] = "Assigned to Employee", _xlpm.emp, "N/A"))</f>
        <v>N/A</v>
      </c>
      <c r="O345" s="159" t="str" cm="1">
        <f t="array" ref="O34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4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45" s="193"/>
      <c r="R345" s="189" t="s">
        <v>312</v>
      </c>
      <c r="S345" s="189" t="s">
        <v>299</v>
      </c>
      <c r="T345" s="194"/>
      <c r="X345" s="1">
        <v>9208</v>
      </c>
      <c r="Y345" s="223" t="s">
        <v>1401</v>
      </c>
      <c r="Z345" s="1" t="b">
        <v>0</v>
      </c>
      <c r="AA345"/>
    </row>
    <row r="346" spans="1:27" s="1" customFormat="1" x14ac:dyDescent="0.2">
      <c r="A346" s="155">
        <v>249</v>
      </c>
      <c r="B346" s="189" t="s">
        <v>304</v>
      </c>
      <c r="C346" s="1" t="s">
        <v>403</v>
      </c>
      <c r="E346" s="1" t="s">
        <v>306</v>
      </c>
      <c r="F346" s="195"/>
      <c r="G346" s="159" t="str">
        <f>_xlfn.XLOOKUP(ITEquipmentTable[[#This Row],[Name]], IntuneData[Device name], IntuneData[Serial number], "")</f>
        <v/>
      </c>
      <c r="H346" s="189" t="s">
        <v>295</v>
      </c>
      <c r="I346" s="189" t="s">
        <v>911</v>
      </c>
      <c r="J346" s="189"/>
      <c r="K346" s="219" t="s">
        <v>1016</v>
      </c>
      <c r="L346" s="159" t="str">
        <f>_xlfn.LET(
_xlpm.look, _xlfn.XLOOKUP(ITEquipmentTable[[#This Row],[Name]], VNCTable[ClientName], VNCTable[IP], ""),
_xlpm.chkk, IF(ITEquipmentTable[[#This Row],[IPv4 Address]] = "N/A", "N/A", _xlpm.look),
IF(ITEquipmentTable[[#This Row],[Name]] = "", "", _xlpm.chkk))</f>
        <v>10.68.134.234</v>
      </c>
      <c r="M346" s="189" t="s">
        <v>1017</v>
      </c>
      <c r="N346" s="159" t="str">
        <f>_xlfn.LET(_xlpm.emp, IF(_xlfn.XLOOKUP(ITEquipmentTable[[#This Row],[Assigned Employee]], EmployeeTable[name], EmployeeTable[Active], TRUE), "Employee", "Recover"),
IF(ITEquipmentTable[[#This Row],[Storage Location]] = "Assigned to Employee", _xlpm.emp, "N/A"))</f>
        <v>N/A</v>
      </c>
      <c r="O346" s="159" t="str" cm="1">
        <f t="array" ref="O34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4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46" s="193"/>
      <c r="R346" s="189" t="s">
        <v>312</v>
      </c>
      <c r="S346" s="189" t="s">
        <v>299</v>
      </c>
      <c r="T346" s="194"/>
      <c r="X346" s="1">
        <v>9220</v>
      </c>
      <c r="Y346" s="223" t="s">
        <v>1402</v>
      </c>
      <c r="Z346" s="1" t="b">
        <v>0</v>
      </c>
      <c r="AA346"/>
    </row>
    <row r="347" spans="1:27" s="1" customFormat="1" x14ac:dyDescent="0.2">
      <c r="A347" s="155">
        <v>250</v>
      </c>
      <c r="B347" s="189" t="s">
        <v>304</v>
      </c>
      <c r="C347" s="189" t="s">
        <v>403</v>
      </c>
      <c r="D347" s="189" t="s">
        <v>568</v>
      </c>
      <c r="E347" s="189" t="s">
        <v>306</v>
      </c>
      <c r="F347" s="195"/>
      <c r="G347" s="159" t="str">
        <f>_xlfn.XLOOKUP(ITEquipmentTable[[#This Row],[Name]], IntuneData[Device name], IntuneData[Serial number], "")</f>
        <v/>
      </c>
      <c r="H347" s="189" t="s">
        <v>295</v>
      </c>
      <c r="I347" s="189" t="s">
        <v>1019</v>
      </c>
      <c r="J347" s="189"/>
      <c r="K347" s="219" t="s">
        <v>1020</v>
      </c>
      <c r="L347" s="159" t="str">
        <f>_xlfn.LET(
_xlpm.look, _xlfn.XLOOKUP(ITEquipmentTable[[#This Row],[Name]], VNCTable[ClientName], VNCTable[IP], ""),
_xlpm.chkk, IF(ITEquipmentTable[[#This Row],[IPv4 Address]] = "N/A", "N/A", _xlpm.look),
IF(ITEquipmentTable[[#This Row],[Name]] = "", "", _xlpm.chkk))</f>
        <v/>
      </c>
      <c r="M347" s="189" t="s">
        <v>1021</v>
      </c>
      <c r="N347" s="159" t="str">
        <f>_xlfn.LET(_xlpm.emp, IF(_xlfn.XLOOKUP(ITEquipmentTable[[#This Row],[Assigned Employee]], EmployeeTable[name], EmployeeTable[Active], TRUE), "Employee", "Recover"),
IF(ITEquipmentTable[[#This Row],[Storage Location]] = "Assigned to Employee", _xlpm.emp, "N/A"))</f>
        <v>N/A</v>
      </c>
      <c r="O347" s="159" t="str" cm="1">
        <f t="array" ref="O34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4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47" s="189"/>
      <c r="R347" s="189" t="s">
        <v>312</v>
      </c>
      <c r="S347" s="189" t="s">
        <v>319</v>
      </c>
      <c r="T347" s="194"/>
      <c r="X347" s="1">
        <v>9227</v>
      </c>
      <c r="Y347" s="223" t="s">
        <v>1404</v>
      </c>
      <c r="Z347" s="1" t="b">
        <v>0</v>
      </c>
      <c r="AA347"/>
    </row>
    <row r="348" spans="1:27" s="1" customFormat="1" hidden="1" x14ac:dyDescent="0.2">
      <c r="A348" s="155">
        <v>690</v>
      </c>
      <c r="F348" s="195"/>
      <c r="G348" s="164" t="str">
        <f>_xlfn.XLOOKUP(ITEquipmentTable[[#This Row],[Name]], IntuneData[Device name], IntuneData[Serial number], "")</f>
        <v/>
      </c>
      <c r="K348" s="154"/>
      <c r="L348" s="164" t="str">
        <f>_xlfn.LET(
_xlpm.look, _xlfn.XLOOKUP(ITEquipmentTable[[#This Row],[Name]], VNCTable[ClientName], VNCTable[IP], ""),
_xlpm.chkk, IF(ITEquipmentTable[[#This Row],[IPv4 Address]] = "N/A", "N/A", _xlpm.look),
IF(ITEquipmentTable[[#This Row],[Name]] = "", "", _xlpm.chkk))</f>
        <v/>
      </c>
      <c r="M348" s="1" t="s">
        <v>1754</v>
      </c>
      <c r="N348" s="159" t="str">
        <f>_xlfn.LET(_xlpm.emp, IF(_xlfn.XLOOKUP(ITEquipmentTable[[#This Row],[Assigned Employee]], EmployeeTable[name], EmployeeTable[Active], TRUE), "Employee", "Recover"),
IF(ITEquipmentTable[[#This Row],[Storage Location]] = "Assigned to Employee", _xlpm.emp, "N/A"))</f>
        <v>N/A</v>
      </c>
      <c r="O348" s="161" t="str" cm="1">
        <f t="array" ref="O34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34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348" s="1" t="s">
        <v>298</v>
      </c>
      <c r="T348" s="194"/>
      <c r="X348" s="1">
        <v>9238</v>
      </c>
      <c r="Y348" s="223" t="s">
        <v>1407</v>
      </c>
      <c r="Z348" s="1" t="b">
        <v>0</v>
      </c>
      <c r="AA348"/>
    </row>
    <row r="349" spans="1:27" s="1" customFormat="1" x14ac:dyDescent="0.2">
      <c r="A349" s="155">
        <v>473</v>
      </c>
      <c r="B349" s="189" t="s">
        <v>304</v>
      </c>
      <c r="C349" s="1" t="s">
        <v>403</v>
      </c>
      <c r="E349" s="1" t="s">
        <v>306</v>
      </c>
      <c r="F349" s="195"/>
      <c r="G349" s="159" t="str">
        <f>_xlfn.XLOOKUP(ITEquipmentTable[[#This Row],[Name]], IntuneData[Device name], IntuneData[Serial number], "")</f>
        <v/>
      </c>
      <c r="H349" s="189" t="s">
        <v>295</v>
      </c>
      <c r="I349" s="189" t="s">
        <v>1730</v>
      </c>
      <c r="J349" s="189"/>
      <c r="K349" s="219" t="s">
        <v>1731</v>
      </c>
      <c r="L349" s="159" t="str">
        <f>_xlfn.LET(
_xlpm.look, _xlfn.XLOOKUP(ITEquipmentTable[[#This Row],[Name]], VNCTable[ClientName], VNCTable[IP], ""),
_xlpm.chkk, IF(ITEquipmentTable[[#This Row],[IPv4 Address]] = "N/A", "N/A", _xlpm.look),
IF(ITEquipmentTable[[#This Row],[Name]] = "", "", _xlpm.chkk))</f>
        <v/>
      </c>
      <c r="M349" s="189" t="s">
        <v>1732</v>
      </c>
      <c r="N349" s="159" t="str">
        <f>_xlfn.LET(_xlpm.emp, IF(_xlfn.XLOOKUP(ITEquipmentTable[[#This Row],[Assigned Employee]], EmployeeTable[name], EmployeeTable[Active], TRUE), "Employee", "Recover"),
IF(ITEquipmentTable[[#This Row],[Storage Location]] = "Assigned to Employee", _xlpm.emp, "N/A"))</f>
        <v>N/A</v>
      </c>
      <c r="O349" s="159" t="str" cm="1">
        <f t="array" ref="O34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4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49" s="193"/>
      <c r="R349" s="193" t="s">
        <v>312</v>
      </c>
      <c r="S349" s="189" t="s">
        <v>313</v>
      </c>
      <c r="T349" s="194"/>
      <c r="X349" s="1">
        <v>9298</v>
      </c>
      <c r="Y349" s="223" t="s">
        <v>1410</v>
      </c>
      <c r="Z349" s="1" t="b">
        <v>0</v>
      </c>
      <c r="AA349"/>
    </row>
    <row r="350" spans="1:27" s="1" customFormat="1" x14ac:dyDescent="0.2">
      <c r="A350" s="155">
        <v>475</v>
      </c>
      <c r="B350" s="189" t="s">
        <v>304</v>
      </c>
      <c r="C350" s="1" t="s">
        <v>403</v>
      </c>
      <c r="E350" s="1" t="s">
        <v>306</v>
      </c>
      <c r="F350" s="195"/>
      <c r="G350" s="159" t="str">
        <f>_xlfn.XLOOKUP(ITEquipmentTable[[#This Row],[Name]], IntuneData[Device name], IntuneData[Serial number], "")</f>
        <v/>
      </c>
      <c r="H350" s="189" t="s">
        <v>295</v>
      </c>
      <c r="I350" s="189" t="s">
        <v>1735</v>
      </c>
      <c r="J350" s="189"/>
      <c r="K350" s="219" t="s">
        <v>1736</v>
      </c>
      <c r="L350" s="159" t="str">
        <f>_xlfn.LET(
_xlpm.look, _xlfn.XLOOKUP(ITEquipmentTable[[#This Row],[Name]], VNCTable[ClientName], VNCTable[IP], ""),
_xlpm.chkk, IF(ITEquipmentTable[[#This Row],[IPv4 Address]] = "N/A", "N/A", _xlpm.look),
IF(ITEquipmentTable[[#This Row],[Name]] = "", "", _xlpm.chkk))</f>
        <v>10.68.134.244</v>
      </c>
      <c r="M350" s="189" t="s">
        <v>1737</v>
      </c>
      <c r="N350" s="159" t="str">
        <f>_xlfn.LET(_xlpm.emp, IF(_xlfn.XLOOKUP(ITEquipmentTable[[#This Row],[Assigned Employee]], EmployeeTable[name], EmployeeTable[Active], TRUE), "Employee", "Recover"),
IF(ITEquipmentTable[[#This Row],[Storage Location]] = "Assigned to Employee", _xlpm.emp, "N/A"))</f>
        <v>N/A</v>
      </c>
      <c r="O350" s="159" t="str" cm="1">
        <f t="array" ref="O35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5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50" s="193"/>
      <c r="R350" s="193" t="s">
        <v>312</v>
      </c>
      <c r="S350" s="189" t="s">
        <v>313</v>
      </c>
      <c r="T350" s="194"/>
      <c r="X350" s="1">
        <v>9299</v>
      </c>
      <c r="Y350" s="223" t="s">
        <v>1412</v>
      </c>
      <c r="Z350" s="1" t="b">
        <v>0</v>
      </c>
      <c r="AA350"/>
    </row>
    <row r="351" spans="1:27" s="1" customFormat="1" hidden="1" x14ac:dyDescent="0.2">
      <c r="A351" s="155">
        <v>691</v>
      </c>
      <c r="B351" s="1" t="s">
        <v>304</v>
      </c>
      <c r="F351" s="195"/>
      <c r="G351" s="159" t="str">
        <f>_xlfn.XLOOKUP(ITEquipmentTable[[#This Row],[Name]], IntuneData[Device name], IntuneData[Serial number], "")</f>
        <v/>
      </c>
      <c r="H351" s="1" t="s">
        <v>295</v>
      </c>
      <c r="I351" s="189" t="s">
        <v>991</v>
      </c>
      <c r="K351" s="154"/>
      <c r="L351" s="159" t="str">
        <f>_xlfn.LET(
_xlpm.look, _xlfn.XLOOKUP(ITEquipmentTable[[#This Row],[Name]], VNCTable[ClientName], VNCTable[IP], ""),
_xlpm.chkk, IF(ITEquipmentTable[[#This Row],[IPv4 Address]] = "N/A", "N/A", _xlpm.look),
IF(ITEquipmentTable[[#This Row],[Name]] = "", "", _xlpm.chkk))</f>
        <v/>
      </c>
      <c r="M351" s="1" t="s">
        <v>2100</v>
      </c>
      <c r="N351" s="159" t="str">
        <f>_xlfn.LET(_xlpm.emp, IF(_xlfn.XLOOKUP(ITEquipmentTable[[#This Row],[Assigned Employee]], EmployeeTable[name], EmployeeTable[Active], TRUE), "Employee", "Recover"),
IF(ITEquipmentTable[[#This Row],[Storage Location]] = "Assigned to Employee", _xlpm.emp, "N/A"))</f>
        <v>N/A</v>
      </c>
      <c r="O351" s="161" t="str" cm="1">
        <f t="array" ref="O35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5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351" s="1" t="s">
        <v>298</v>
      </c>
      <c r="T351" s="194"/>
      <c r="X351" s="1">
        <v>9300</v>
      </c>
      <c r="Y351" s="223" t="s">
        <v>1414</v>
      </c>
      <c r="Z351" s="1" t="b">
        <v>0</v>
      </c>
      <c r="AA351"/>
    </row>
    <row r="352" spans="1:27" s="1" customFormat="1" x14ac:dyDescent="0.2">
      <c r="A352" s="155">
        <v>474</v>
      </c>
      <c r="B352" s="189" t="s">
        <v>304</v>
      </c>
      <c r="C352" s="1" t="s">
        <v>403</v>
      </c>
      <c r="E352" s="1" t="s">
        <v>306</v>
      </c>
      <c r="F352" s="195"/>
      <c r="G352" s="159" t="str">
        <f>_xlfn.XLOOKUP(ITEquipmentTable[[#This Row],[Name]], IntuneData[Device name], IntuneData[Serial number], "")</f>
        <v/>
      </c>
      <c r="H352" s="189" t="s">
        <v>295</v>
      </c>
      <c r="I352" s="189" t="s">
        <v>1733</v>
      </c>
      <c r="J352" s="189"/>
      <c r="K352" s="219" t="s">
        <v>2814</v>
      </c>
      <c r="L352" s="159" t="str">
        <f>_xlfn.LET(
_xlpm.look, _xlfn.XLOOKUP(ITEquipmentTable[[#This Row],[Name]], VNCTable[ClientName], VNCTable[IP], ""),
_xlpm.chkk, IF(ITEquipmentTable[[#This Row],[IPv4 Address]] = "N/A", "N/A", _xlpm.look),
IF(ITEquipmentTable[[#This Row],[Name]] = "", "", _xlpm.chkk))</f>
        <v>10.68.134.245</v>
      </c>
      <c r="M352" s="189" t="s">
        <v>1734</v>
      </c>
      <c r="N352" s="159" t="str">
        <f>_xlfn.LET(_xlpm.emp, IF(_xlfn.XLOOKUP(ITEquipmentTable[[#This Row],[Assigned Employee]], EmployeeTable[name], EmployeeTable[Active], TRUE), "Employee", "Recover"),
IF(ITEquipmentTable[[#This Row],[Storage Location]] = "Assigned to Employee", _xlpm.emp, "N/A"))</f>
        <v>N/A</v>
      </c>
      <c r="O352" s="159" t="str" cm="1">
        <f t="array" ref="O35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5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52" s="193"/>
      <c r="R352" s="193" t="s">
        <v>312</v>
      </c>
      <c r="S352" s="189" t="s">
        <v>313</v>
      </c>
      <c r="T352" s="194"/>
      <c r="X352" s="1">
        <v>9316</v>
      </c>
      <c r="Y352" s="223" t="s">
        <v>1416</v>
      </c>
      <c r="Z352" s="1" t="b">
        <v>0</v>
      </c>
      <c r="AA352"/>
    </row>
    <row r="353" spans="1:27" s="1" customFormat="1" hidden="1" x14ac:dyDescent="0.2">
      <c r="A353" s="155">
        <v>41</v>
      </c>
      <c r="B353" s="189" t="s">
        <v>304</v>
      </c>
      <c r="C353" s="189" t="s">
        <v>308</v>
      </c>
      <c r="D353" s="189" t="s">
        <v>309</v>
      </c>
      <c r="E353" s="189" t="s">
        <v>310</v>
      </c>
      <c r="F353" s="201" t="s">
        <v>413</v>
      </c>
      <c r="G353" s="159" t="str">
        <f>_xlfn.XLOOKUP(ITEquipmentTable[[#This Row],[Name]], IntuneData[Device name], IntuneData[Serial number], "")</f>
        <v/>
      </c>
      <c r="H353" s="168"/>
      <c r="I353" s="189"/>
      <c r="J353" s="189"/>
      <c r="K353" s="219" t="s">
        <v>226</v>
      </c>
      <c r="L353" s="354" t="str">
        <f>_xlfn.LET(
_xlpm.look, _xlfn.XLOOKUP(ITEquipmentTable[[#This Row],[Name]], VNCTable[ClientName], VNCTable[IP], ""),
_xlpm.chkk, IF(ITEquipmentTable[[#This Row],[IPv4 Address]] = "N/A", "N/A", _xlpm.look),
IF(ITEquipmentTable[[#This Row],[Name]] = "", "", _xlpm.chkk))</f>
        <v/>
      </c>
      <c r="M353" s="189"/>
      <c r="N353" s="159" t="str">
        <f>_xlfn.LET(_xlpm.emp, IF(_xlfn.XLOOKUP(ITEquipmentTable[[#This Row],[Assigned Employee]], EmployeeTable[name], EmployeeTable[Active], TRUE), "Employee", "Recover"),
IF(ITEquipmentTable[[#This Row],[Storage Location]] = "Assigned to Employee", _xlpm.emp, "N/A"))</f>
        <v>N/A</v>
      </c>
      <c r="O353" s="159" t="str" cm="1">
        <f t="array" ref="O35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35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53" s="189"/>
      <c r="R353" s="189"/>
      <c r="S353" s="189"/>
      <c r="T353" s="194"/>
      <c r="X353" s="1">
        <v>9331</v>
      </c>
      <c r="Y353" s="223" t="s">
        <v>1419</v>
      </c>
      <c r="Z353" s="1" t="b">
        <v>0</v>
      </c>
      <c r="AA353"/>
    </row>
    <row r="354" spans="1:27" s="1" customFormat="1" hidden="1" x14ac:dyDescent="0.2">
      <c r="A354" s="155">
        <v>80</v>
      </c>
      <c r="B354" s="1" t="s">
        <v>304</v>
      </c>
      <c r="C354" s="1" t="s">
        <v>308</v>
      </c>
      <c r="D354" s="1" t="s">
        <v>309</v>
      </c>
      <c r="E354" s="1" t="s">
        <v>310</v>
      </c>
      <c r="F354" s="195" t="s">
        <v>724</v>
      </c>
      <c r="G354" s="159" t="str">
        <f>_xlfn.XLOOKUP(ITEquipmentTable[[#This Row],[Name]], IntuneData[Device name], IntuneData[Serial number], "")</f>
        <v/>
      </c>
      <c r="H354" s="168"/>
      <c r="I354" s="168"/>
      <c r="J354" s="168"/>
      <c r="K354" s="223" t="s">
        <v>226</v>
      </c>
      <c r="L354" s="354" t="str">
        <f>_xlfn.LET(
_xlpm.look, _xlfn.XLOOKUP(ITEquipmentTable[[#This Row],[Name]], VNCTable[ClientName], VNCTable[IP], ""),
_xlpm.chkk, IF(ITEquipmentTable[[#This Row],[IPv4 Address]] = "N/A", "N/A", _xlpm.look),
IF(ITEquipmentTable[[#This Row],[Name]] = "", "", _xlpm.chkk))</f>
        <v/>
      </c>
      <c r="M354" s="168"/>
      <c r="N354" s="161" t="str">
        <f>_xlfn.LET(_xlpm.emp, IF(_xlfn.XLOOKUP(ITEquipmentTable[[#This Row],[Assigned Employee]], EmployeeTable[name], EmployeeTable[Active], TRUE), "Employee", "Recover"),
IF(ITEquipmentTable[[#This Row],[Storage Location]] = "Assigned to Employee", _xlpm.emp, "N/A"))</f>
        <v>N/A</v>
      </c>
      <c r="O354" s="161" t="str" cm="1">
        <f t="array" ref="O35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35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54" s="168"/>
      <c r="R354" s="168"/>
      <c r="T354" s="194"/>
      <c r="X354" s="1">
        <v>9332</v>
      </c>
      <c r="Y354" s="223" t="s">
        <v>1421</v>
      </c>
      <c r="Z354" s="1" t="b">
        <v>0</v>
      </c>
      <c r="AA354"/>
    </row>
    <row r="355" spans="1:27" s="1" customFormat="1" hidden="1" x14ac:dyDescent="0.2">
      <c r="A355" s="155">
        <v>86</v>
      </c>
      <c r="B355" s="1" t="s">
        <v>304</v>
      </c>
      <c r="C355" s="1" t="s">
        <v>308</v>
      </c>
      <c r="D355" s="1" t="s">
        <v>309</v>
      </c>
      <c r="E355" s="1" t="s">
        <v>310</v>
      </c>
      <c r="F355" s="195" t="s">
        <v>758</v>
      </c>
      <c r="G355" s="159" t="str">
        <f>_xlfn.XLOOKUP(ITEquipmentTable[[#This Row],[Name]], IntuneData[Device name], IntuneData[Serial number], "")</f>
        <v/>
      </c>
      <c r="H355" s="1" t="s">
        <v>295</v>
      </c>
      <c r="I355" s="1" t="s">
        <v>759</v>
      </c>
      <c r="K355" s="154" t="s">
        <v>760</v>
      </c>
      <c r="L355" s="159" t="str">
        <f>_xlfn.LET(
_xlpm.look, _xlfn.XLOOKUP(ITEquipmentTable[[#This Row],[Name]], VNCTable[ClientName], VNCTable[IP], ""),
_xlpm.chkk, IF(ITEquipmentTable[[#This Row],[IPv4 Address]] = "N/A", "N/A", _xlpm.look),
IF(ITEquipmentTable[[#This Row],[Name]] = "", "", _xlpm.chkk))</f>
        <v>10.68.134.20</v>
      </c>
      <c r="M355" s="1" t="s">
        <v>761</v>
      </c>
      <c r="N355" s="159" t="str">
        <f>_xlfn.LET(_xlpm.emp, IF(_xlfn.XLOOKUP(ITEquipmentTable[[#This Row],[Assigned Employee]], EmployeeTable[name], EmployeeTable[Active], TRUE), "Employee", "Recover"),
IF(ITEquipmentTable[[#This Row],[Storage Location]] = "Assigned to Employee", _xlpm.emp, "N/A"))</f>
        <v>N/A</v>
      </c>
      <c r="O355" s="159" t="str" cm="1">
        <f t="array" ref="O35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5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355" s="189" t="s">
        <v>312</v>
      </c>
      <c r="T355" s="194"/>
      <c r="X355" s="1">
        <v>9347</v>
      </c>
      <c r="Y355" s="223" t="s">
        <v>1423</v>
      </c>
      <c r="Z355" s="1" t="b">
        <v>0</v>
      </c>
      <c r="AA355"/>
    </row>
    <row r="356" spans="1:27" s="1" customFormat="1" hidden="1" x14ac:dyDescent="0.2">
      <c r="A356" s="155">
        <v>84</v>
      </c>
      <c r="B356" s="1" t="s">
        <v>304</v>
      </c>
      <c r="C356" s="1" t="s">
        <v>308</v>
      </c>
      <c r="D356" s="1" t="s">
        <v>309</v>
      </c>
      <c r="E356" s="1" t="s">
        <v>310</v>
      </c>
      <c r="F356" s="195" t="s">
        <v>736</v>
      </c>
      <c r="G356" s="159" t="str">
        <f>_xlfn.XLOOKUP(ITEquipmentTable[[#This Row],[Name]], IntuneData[Device name], IntuneData[Serial number], "")</f>
        <v/>
      </c>
      <c r="H356" s="1" t="s">
        <v>295</v>
      </c>
      <c r="I356" s="1" t="s">
        <v>737</v>
      </c>
      <c r="K356" s="154" t="s">
        <v>738</v>
      </c>
      <c r="L356" s="159" t="str">
        <f>_xlfn.LET(
_xlpm.look, _xlfn.XLOOKUP(ITEquipmentTable[[#This Row],[Name]], VNCTable[ClientName], VNCTable[IP], ""),
_xlpm.chkk, IF(ITEquipmentTable[[#This Row],[IPv4 Address]] = "N/A", "N/A", _xlpm.look),
IF(ITEquipmentTable[[#This Row],[Name]] = "", "", _xlpm.chkk))</f>
        <v>10.68.134.19</v>
      </c>
      <c r="M356" s="1" t="s">
        <v>739</v>
      </c>
      <c r="N356" s="159" t="str">
        <f>_xlfn.LET(_xlpm.emp, IF(_xlfn.XLOOKUP(ITEquipmentTable[[#This Row],[Assigned Employee]], EmployeeTable[name], EmployeeTable[Active], TRUE), "Employee", "Recover"),
IF(ITEquipmentTable[[#This Row],[Storage Location]] = "Assigned to Employee", _xlpm.emp, "N/A"))</f>
        <v>N/A</v>
      </c>
      <c r="O356" s="159" t="str" cm="1">
        <f t="array" ref="O35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5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356" s="189" t="s">
        <v>312</v>
      </c>
      <c r="T356" s="194"/>
      <c r="X356" s="1">
        <v>9371</v>
      </c>
      <c r="Y356" s="223" t="s">
        <v>1426</v>
      </c>
      <c r="Z356" s="1" t="b">
        <v>0</v>
      </c>
      <c r="AA356"/>
    </row>
    <row r="357" spans="1:27" s="1" customFormat="1" hidden="1" x14ac:dyDescent="0.2">
      <c r="A357" s="155">
        <v>207</v>
      </c>
      <c r="B357" s="1" t="s">
        <v>304</v>
      </c>
      <c r="C357" s="1" t="s">
        <v>308</v>
      </c>
      <c r="D357" s="1" t="s">
        <v>427</v>
      </c>
      <c r="E357" s="1" t="s">
        <v>310</v>
      </c>
      <c r="F357" s="195" t="s">
        <v>944</v>
      </c>
      <c r="G357" s="159" t="str">
        <f>_xlfn.XLOOKUP(ITEquipmentTable[[#This Row],[Name]], IntuneData[Device name], IntuneData[Serial number], "")</f>
        <v/>
      </c>
      <c r="H357" s="1" t="s">
        <v>295</v>
      </c>
      <c r="I357" s="1" t="s">
        <v>418</v>
      </c>
      <c r="K357" s="154" t="s">
        <v>2836</v>
      </c>
      <c r="L357" s="159" t="str">
        <f>_xlfn.LET(
_xlpm.look, _xlfn.XLOOKUP(ITEquipmentTable[[#This Row],[Name]], VNCTable[ClientName], VNCTable[IP], ""),
_xlpm.chkk, IF(ITEquipmentTable[[#This Row],[IPv4 Address]] = "N/A", "N/A", _xlpm.look),
IF(ITEquipmentTable[[#This Row],[Name]] = "", "", _xlpm.chkk))</f>
        <v>10.68.134.40</v>
      </c>
      <c r="M357" s="1" t="s">
        <v>945</v>
      </c>
      <c r="N357" s="159" t="str">
        <f>_xlfn.LET(_xlpm.emp, IF(_xlfn.XLOOKUP(ITEquipmentTable[[#This Row],[Assigned Employee]], EmployeeTable[name], EmployeeTable[Active], TRUE), "Employee", "Recover"),
IF(ITEquipmentTable[[#This Row],[Storage Location]] = "Assigned to Employee", _xlpm.emp, "N/A"))</f>
        <v>N/A</v>
      </c>
      <c r="O357" s="159" t="str" cm="1">
        <f t="array" ref="O35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5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357" s="189" t="s">
        <v>312</v>
      </c>
      <c r="T357" s="194"/>
      <c r="X357" s="1">
        <v>9375</v>
      </c>
      <c r="Y357" s="223" t="s">
        <v>1429</v>
      </c>
      <c r="Z357" s="1" t="b">
        <v>0</v>
      </c>
      <c r="AA357"/>
    </row>
    <row r="358" spans="1:27" s="1" customFormat="1" hidden="1" x14ac:dyDescent="0.2">
      <c r="A358" s="155">
        <v>88</v>
      </c>
      <c r="B358" s="1" t="s">
        <v>304</v>
      </c>
      <c r="C358" s="1" t="s">
        <v>308</v>
      </c>
      <c r="D358" s="1" t="s">
        <v>309</v>
      </c>
      <c r="E358" s="1" t="s">
        <v>310</v>
      </c>
      <c r="F358" s="195" t="s">
        <v>768</v>
      </c>
      <c r="G358" s="159" t="str">
        <f>_xlfn.XLOOKUP(ITEquipmentTable[[#This Row],[Name]], IntuneData[Device name], IntuneData[Serial number], "")</f>
        <v/>
      </c>
      <c r="H358" s="1" t="s">
        <v>295</v>
      </c>
      <c r="I358" s="1" t="s">
        <v>446</v>
      </c>
      <c r="K358" s="154" t="s">
        <v>769</v>
      </c>
      <c r="L358" s="159" t="str">
        <f>_xlfn.LET(
_xlpm.look, _xlfn.XLOOKUP(ITEquipmentTable[[#This Row],[Name]], VNCTable[ClientName], VNCTable[IP], ""),
_xlpm.chkk, IF(ITEquipmentTable[[#This Row],[IPv4 Address]] = "N/A", "N/A", _xlpm.look),
IF(ITEquipmentTable[[#This Row],[Name]] = "", "", _xlpm.chkk))</f>
        <v>10.68.134.22</v>
      </c>
      <c r="M358" s="1" t="s">
        <v>770</v>
      </c>
      <c r="N358" s="159" t="str">
        <f>_xlfn.LET(_xlpm.emp, IF(_xlfn.XLOOKUP(ITEquipmentTable[[#This Row],[Assigned Employee]], EmployeeTable[name], EmployeeTable[Active], TRUE), "Employee", "Recover"),
IF(ITEquipmentTable[[#This Row],[Storage Location]] = "Assigned to Employee", _xlpm.emp, "N/A"))</f>
        <v>N/A</v>
      </c>
      <c r="O358" s="159" t="str" cm="1">
        <f t="array" ref="O35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5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358" s="189" t="s">
        <v>312</v>
      </c>
      <c r="T358" s="194"/>
      <c r="X358" s="1">
        <v>9376</v>
      </c>
      <c r="Y358" s="223" t="s">
        <v>1431</v>
      </c>
      <c r="Z358" s="1" t="b">
        <v>0</v>
      </c>
      <c r="AA358"/>
    </row>
    <row r="359" spans="1:27" s="1" customFormat="1" hidden="1" x14ac:dyDescent="0.2">
      <c r="A359" s="155">
        <v>416</v>
      </c>
      <c r="B359" s="1" t="s">
        <v>304</v>
      </c>
      <c r="C359" s="1" t="s">
        <v>308</v>
      </c>
      <c r="D359" s="1" t="s">
        <v>416</v>
      </c>
      <c r="E359" s="1" t="s">
        <v>310</v>
      </c>
      <c r="F359" s="195" t="s">
        <v>1677</v>
      </c>
      <c r="G359" s="159" t="str">
        <f>_xlfn.XLOOKUP(ITEquipmentTable[[#This Row],[Name]], IntuneData[Device name], IntuneData[Serial number], "")</f>
        <v/>
      </c>
      <c r="H359" s="189"/>
      <c r="I359" s="168"/>
      <c r="J359" s="168"/>
      <c r="K359" s="223"/>
      <c r="L359" s="354" t="str">
        <f>_xlfn.LET(
_xlpm.look, _xlfn.XLOOKUP(ITEquipmentTable[[#This Row],[Name]], VNCTable[ClientName], VNCTable[IP], ""),
_xlpm.chkk, IF(ITEquipmentTable[[#This Row],[IPv4 Address]] = "N/A", "N/A", _xlpm.look),
IF(ITEquipmentTable[[#This Row],[Name]] = "", "", _xlpm.chkk))</f>
        <v/>
      </c>
      <c r="M359" s="168"/>
      <c r="N359" s="161" t="str">
        <f>_xlfn.LET(_xlpm.emp, IF(_xlfn.XLOOKUP(ITEquipmentTable[[#This Row],[Assigned Employee]], EmployeeTable[name], EmployeeTable[Active], TRUE), "Employee", "Recover"),
IF(ITEquipmentTable[[#This Row],[Storage Location]] = "Assigned to Employee", _xlpm.emp, "N/A"))</f>
        <v>N/A</v>
      </c>
      <c r="O359" s="161" t="str" cm="1">
        <f t="array" ref="O35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35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59" s="168"/>
      <c r="R359" s="168"/>
      <c r="S359" s="1" t="s">
        <v>405</v>
      </c>
      <c r="T359" s="194"/>
      <c r="X359" s="1">
        <v>9377</v>
      </c>
      <c r="Y359" s="223" t="s">
        <v>1433</v>
      </c>
      <c r="Z359" s="1" t="b">
        <v>0</v>
      </c>
      <c r="AA359"/>
    </row>
    <row r="360" spans="1:27" s="1" customFormat="1" hidden="1" x14ac:dyDescent="0.2">
      <c r="A360" s="155">
        <v>417</v>
      </c>
      <c r="B360" s="1" t="s">
        <v>304</v>
      </c>
      <c r="C360" s="1" t="s">
        <v>308</v>
      </c>
      <c r="D360" s="1" t="s">
        <v>416</v>
      </c>
      <c r="E360" s="1" t="s">
        <v>310</v>
      </c>
      <c r="F360" s="195" t="s">
        <v>1678</v>
      </c>
      <c r="G360" s="159" t="str">
        <f>_xlfn.XLOOKUP(ITEquipmentTable[[#This Row],[Name]], IntuneData[Device name], IntuneData[Serial number], "")</f>
        <v/>
      </c>
      <c r="H360" s="189" t="s">
        <v>318</v>
      </c>
      <c r="I360" s="168"/>
      <c r="J360" s="168"/>
      <c r="K360" s="223" t="s">
        <v>226</v>
      </c>
      <c r="L360" s="159" t="str">
        <f>_xlfn.LET(
_xlpm.look, _xlfn.XLOOKUP(ITEquipmentTable[[#This Row],[Name]], VNCTable[ClientName], VNCTable[IP], ""),
_xlpm.chkk, IF(ITEquipmentTable[[#This Row],[IPv4 Address]] = "N/A", "N/A", _xlpm.look),
IF(ITEquipmentTable[[#This Row],[Name]] = "", "", _xlpm.chkk))</f>
        <v>N/A</v>
      </c>
      <c r="M360" s="168" t="s">
        <v>1679</v>
      </c>
      <c r="N360" s="161" t="str">
        <f>_xlfn.LET(_xlpm.emp, IF(_xlfn.XLOOKUP(ITEquipmentTable[[#This Row],[Assigned Employee]], EmployeeTable[name], EmployeeTable[Active], TRUE), "Employee", "Recover"),
IF(ITEquipmentTable[[#This Row],[Storage Location]] = "Assigned to Employee", _xlpm.emp, "N/A"))</f>
        <v>N/A</v>
      </c>
      <c r="O360" s="161" t="str" cm="1">
        <f t="array" ref="O36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6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360" s="168" t="s">
        <v>441</v>
      </c>
      <c r="R360" s="168" t="s">
        <v>351</v>
      </c>
      <c r="T360" s="194"/>
      <c r="X360" s="1">
        <v>9378</v>
      </c>
      <c r="Y360" s="223" t="s">
        <v>1435</v>
      </c>
      <c r="Z360" s="1" t="b">
        <v>0</v>
      </c>
      <c r="AA360"/>
    </row>
    <row r="361" spans="1:27" s="1" customFormat="1" hidden="1" x14ac:dyDescent="0.2">
      <c r="A361" s="155">
        <v>401</v>
      </c>
      <c r="B361" s="1" t="s">
        <v>356</v>
      </c>
      <c r="C361" s="1" t="s">
        <v>308</v>
      </c>
      <c r="D361" s="1" t="s">
        <v>1954</v>
      </c>
      <c r="E361" s="1" t="s">
        <v>310</v>
      </c>
      <c r="F361" s="195" t="s">
        <v>1955</v>
      </c>
      <c r="G361" s="159" t="str">
        <f>_xlfn.XLOOKUP(ITEquipmentTable[[#This Row],[Name]], IntuneData[Device name], IntuneData[Serial number], "")</f>
        <v/>
      </c>
      <c r="H361" s="1" t="s">
        <v>302</v>
      </c>
      <c r="K361" s="154" t="s">
        <v>226</v>
      </c>
      <c r="L361" s="354" t="str">
        <f>_xlfn.LET(
_xlpm.look, _xlfn.XLOOKUP(ITEquipmentTable[[#This Row],[Name]], VNCTable[ClientName], VNCTable[IP], ""),
_xlpm.chkk, IF(ITEquipmentTable[[#This Row],[IPv4 Address]] = "N/A", "N/A", _xlpm.look),
IF(ITEquipmentTable[[#This Row],[Name]] = "", "", _xlpm.chkk))</f>
        <v>N/A</v>
      </c>
      <c r="M361" s="1" t="s">
        <v>226</v>
      </c>
      <c r="N361" s="159" t="str">
        <f>_xlfn.LET(_xlpm.emp, IF(_xlfn.XLOOKUP(ITEquipmentTable[[#This Row],[Assigned Employee]], EmployeeTable[name], EmployeeTable[Active], TRUE), "Employee", "Recover"),
IF(ITEquipmentTable[[#This Row],[Storage Location]] = "Assigned to Employee", _xlpm.emp, "N/A"))</f>
        <v>N/A</v>
      </c>
      <c r="O361" s="159" t="str" cm="1">
        <f t="array" ref="O36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36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T361" s="194"/>
      <c r="X361" s="1">
        <v>9379</v>
      </c>
      <c r="Y361" s="223" t="s">
        <v>1437</v>
      </c>
      <c r="Z361" s="1" t="b">
        <v>0</v>
      </c>
      <c r="AA361"/>
    </row>
    <row r="362" spans="1:27" s="1" customFormat="1" hidden="1" x14ac:dyDescent="0.2">
      <c r="A362" s="155">
        <v>157</v>
      </c>
      <c r="B362" s="1" t="s">
        <v>304</v>
      </c>
      <c r="C362" s="1" t="s">
        <v>308</v>
      </c>
      <c r="D362" s="1" t="s">
        <v>309</v>
      </c>
      <c r="E362" s="1" t="s">
        <v>310</v>
      </c>
      <c r="F362" s="195" t="s">
        <v>909</v>
      </c>
      <c r="G362" s="159" t="str">
        <f>_xlfn.XLOOKUP(ITEquipmentTable[[#This Row],[Name]], IntuneData[Device name], IntuneData[Serial number], "")</f>
        <v/>
      </c>
      <c r="H362" s="1" t="s">
        <v>318</v>
      </c>
      <c r="K362" s="154" t="s">
        <v>226</v>
      </c>
      <c r="L362" s="354" t="str">
        <f>_xlfn.LET(
_xlpm.look, _xlfn.XLOOKUP(ITEquipmentTable[[#This Row],[Name]], VNCTable[ClientName], VNCTable[IP], ""),
_xlpm.chkk, IF(ITEquipmentTable[[#This Row],[IPv4 Address]] = "N/A", "N/A", _xlpm.look),
IF(ITEquipmentTable[[#This Row],[Name]] = "", "", _xlpm.chkk))</f>
        <v/>
      </c>
      <c r="N362" s="159" t="str">
        <f>_xlfn.LET(_xlpm.emp, IF(_xlfn.XLOOKUP(ITEquipmentTable[[#This Row],[Assigned Employee]], EmployeeTable[name], EmployeeTable[Active], TRUE), "Employee", "Recover"),
IF(ITEquipmentTable[[#This Row],[Storage Location]] = "Assigned to Employee", _xlpm.emp, "N/A"))</f>
        <v>N/A</v>
      </c>
      <c r="O362" s="159" t="str" cm="1">
        <f t="array" ref="O36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36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T362" s="194"/>
      <c r="X362" s="1">
        <v>9394</v>
      </c>
      <c r="Y362" s="223" t="s">
        <v>1439</v>
      </c>
      <c r="Z362" s="1" t="b">
        <v>0</v>
      </c>
      <c r="AA362"/>
    </row>
    <row r="363" spans="1:27" s="1" customFormat="1" hidden="1" x14ac:dyDescent="0.2">
      <c r="A363" s="155">
        <v>252</v>
      </c>
      <c r="B363" s="189" t="s">
        <v>304</v>
      </c>
      <c r="F363" s="195"/>
      <c r="G363" s="159" t="str">
        <f>_xlfn.XLOOKUP(ITEquipmentTable[[#This Row],[Name]], IntuneData[Device name], IntuneData[Serial number], "")</f>
        <v/>
      </c>
      <c r="H363" s="189" t="s">
        <v>295</v>
      </c>
      <c r="I363" s="189" t="s">
        <v>924</v>
      </c>
      <c r="J363" s="189"/>
      <c r="K363" s="154" t="s">
        <v>1026</v>
      </c>
      <c r="L363" s="159" t="str">
        <f>_xlfn.LET(
_xlpm.look, _xlfn.XLOOKUP(ITEquipmentTable[[#This Row],[Name]], VNCTable[ClientName], VNCTable[IP], ""),
_xlpm.chkk, IF(ITEquipmentTable[[#This Row],[IPv4 Address]] = "N/A", "N/A", _xlpm.look),
IF(ITEquipmentTable[[#This Row],[Name]] = "", "", _xlpm.chkk))</f>
        <v>10.68.134.215</v>
      </c>
      <c r="M363" s="189" t="s">
        <v>1027</v>
      </c>
      <c r="N363" s="159" t="str">
        <f>_xlfn.LET(_xlpm.emp, IF(_xlfn.XLOOKUP(ITEquipmentTable[[#This Row],[Assigned Employee]], EmployeeTable[name], EmployeeTable[Active], TRUE), "Employee", "Recover"),
IF(ITEquipmentTable[[#This Row],[Storage Location]] = "Assigned to Employee", _xlpm.emp, "N/A"))</f>
        <v>N/A</v>
      </c>
      <c r="O363" s="159" t="str" cm="1">
        <f t="array" ref="O36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6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63" s="193"/>
      <c r="R363" s="189" t="s">
        <v>312</v>
      </c>
      <c r="S363" s="189" t="s">
        <v>299</v>
      </c>
      <c r="T363" s="194"/>
      <c r="X363" s="1">
        <v>9395</v>
      </c>
      <c r="Y363" s="223" t="s">
        <v>1441</v>
      </c>
      <c r="Z363" s="1" t="b">
        <v>0</v>
      </c>
      <c r="AA363"/>
    </row>
    <row r="364" spans="1:27" s="1" customFormat="1" hidden="1" x14ac:dyDescent="0.2">
      <c r="A364" s="155">
        <v>253</v>
      </c>
      <c r="B364" s="189" t="s">
        <v>304</v>
      </c>
      <c r="F364" s="195"/>
      <c r="G364" s="159" t="str">
        <f>_xlfn.XLOOKUP(ITEquipmentTable[[#This Row],[Name]], IntuneData[Device name], IntuneData[Serial number], "")</f>
        <v/>
      </c>
      <c r="H364" s="189" t="s">
        <v>295</v>
      </c>
      <c r="I364" s="189" t="s">
        <v>929</v>
      </c>
      <c r="J364" s="189"/>
      <c r="K364" s="154" t="s">
        <v>1029</v>
      </c>
      <c r="L364" s="159" t="str">
        <f>_xlfn.LET(
_xlpm.look, _xlfn.XLOOKUP(ITEquipmentTable[[#This Row],[Name]], VNCTable[ClientName], VNCTable[IP], ""),
_xlpm.chkk, IF(ITEquipmentTable[[#This Row],[IPv4 Address]] = "N/A", "N/A", _xlpm.look),
IF(ITEquipmentTable[[#This Row],[Name]] = "", "", _xlpm.chkk))</f>
        <v>10.68.134.213</v>
      </c>
      <c r="M364" s="189" t="s">
        <v>1030</v>
      </c>
      <c r="N364" s="159" t="str">
        <f>_xlfn.LET(_xlpm.emp, IF(_xlfn.XLOOKUP(ITEquipmentTable[[#This Row],[Assigned Employee]], EmployeeTable[name], EmployeeTable[Active], TRUE), "Employee", "Recover"),
IF(ITEquipmentTable[[#This Row],[Storage Location]] = "Assigned to Employee", _xlpm.emp, "N/A"))</f>
        <v>N/A</v>
      </c>
      <c r="O364" s="159" t="str" cm="1">
        <f t="array" ref="O36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6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64" s="193"/>
      <c r="R364" s="189" t="s">
        <v>312</v>
      </c>
      <c r="S364" s="189" t="s">
        <v>299</v>
      </c>
      <c r="T364" s="194"/>
      <c r="X364" s="1">
        <v>9396</v>
      </c>
      <c r="Y364" s="223" t="s">
        <v>1443</v>
      </c>
      <c r="Z364" s="1" t="b">
        <v>0</v>
      </c>
      <c r="AA364"/>
    </row>
    <row r="365" spans="1:27" s="1" customFormat="1" hidden="1" x14ac:dyDescent="0.2">
      <c r="A365" s="155">
        <v>59</v>
      </c>
      <c r="B365" s="1" t="s">
        <v>304</v>
      </c>
      <c r="C365" s="1" t="s">
        <v>308</v>
      </c>
      <c r="D365" s="1" t="s">
        <v>309</v>
      </c>
      <c r="E365" s="1" t="s">
        <v>310</v>
      </c>
      <c r="F365" s="195" t="s">
        <v>497</v>
      </c>
      <c r="G365" s="159" t="str">
        <f>_xlfn.XLOOKUP(ITEquipmentTable[[#This Row],[Name]], IntuneData[Device name], IntuneData[Serial number], "")</f>
        <v/>
      </c>
      <c r="H365" s="1" t="s">
        <v>295</v>
      </c>
      <c r="I365" s="1" t="s">
        <v>498</v>
      </c>
      <c r="K365" s="154" t="s">
        <v>499</v>
      </c>
      <c r="L365" s="159" t="str">
        <f>_xlfn.LET(
_xlpm.look, _xlfn.XLOOKUP(ITEquipmentTable[[#This Row],[Name]], VNCTable[ClientName], VNCTable[IP], ""),
_xlpm.chkk, IF(ITEquipmentTable[[#This Row],[IPv4 Address]] = "N/A", "N/A", _xlpm.look),
IF(ITEquipmentTable[[#This Row],[Name]] = "", "", _xlpm.chkk))</f>
        <v/>
      </c>
      <c r="M365" s="1" t="s">
        <v>500</v>
      </c>
      <c r="N365" s="159" t="str">
        <f>_xlfn.LET(_xlpm.emp, IF(_xlfn.XLOOKUP(ITEquipmentTable[[#This Row],[Assigned Employee]], EmployeeTable[name], EmployeeTable[Active], TRUE), "Employee", "Recover"),
IF(ITEquipmentTable[[#This Row],[Storage Location]] = "Assigned to Employee", _xlpm.emp, "N/A"))</f>
        <v>N/A</v>
      </c>
      <c r="O365" s="159" t="str" cm="1">
        <f t="array" ref="O36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6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365" s="189" t="s">
        <v>312</v>
      </c>
      <c r="T365" s="194"/>
      <c r="X365" s="1">
        <v>9421</v>
      </c>
      <c r="Y365" s="223" t="s">
        <v>1446</v>
      </c>
      <c r="Z365" s="1" t="b">
        <v>0</v>
      </c>
      <c r="AA365"/>
    </row>
    <row r="366" spans="1:27" s="1" customFormat="1" hidden="1" x14ac:dyDescent="0.2">
      <c r="A366" s="155">
        <v>179</v>
      </c>
      <c r="B366" s="1" t="s">
        <v>304</v>
      </c>
      <c r="C366" s="1" t="s">
        <v>308</v>
      </c>
      <c r="D366" s="1" t="s">
        <v>309</v>
      </c>
      <c r="E366" s="1" t="s">
        <v>310</v>
      </c>
      <c r="F366" s="195" t="s">
        <v>931</v>
      </c>
      <c r="G366" s="159" t="str">
        <f>_xlfn.XLOOKUP(ITEquipmentTable[[#This Row],[Name]], IntuneData[Device name], IntuneData[Serial number], "")</f>
        <v/>
      </c>
      <c r="H366" s="1" t="s">
        <v>295</v>
      </c>
      <c r="I366" s="1" t="s">
        <v>418</v>
      </c>
      <c r="K366" s="154" t="s">
        <v>2863</v>
      </c>
      <c r="L366" s="159" t="str">
        <f>_xlfn.LET(
_xlpm.look, _xlfn.XLOOKUP(ITEquipmentTable[[#This Row],[Name]], VNCTable[ClientName], VNCTable[IP], ""),
_xlpm.chkk, IF(ITEquipmentTable[[#This Row],[IPv4 Address]] = "N/A", "N/A", _xlpm.look),
IF(ITEquipmentTable[[#This Row],[Name]] = "", "", _xlpm.chkk))</f>
        <v>10.68.134.74</v>
      </c>
      <c r="M366" s="1" t="s">
        <v>932</v>
      </c>
      <c r="N366" s="159" t="str">
        <f>_xlfn.LET(_xlpm.emp, IF(_xlfn.XLOOKUP(ITEquipmentTable[[#This Row],[Assigned Employee]], EmployeeTable[name], EmployeeTable[Active], TRUE), "Employee", "Recover"),
IF(ITEquipmentTable[[#This Row],[Storage Location]] = "Assigned to Employee", _xlpm.emp, "N/A"))</f>
        <v>N/A</v>
      </c>
      <c r="O366" s="159" t="str" cm="1">
        <f t="array" ref="O36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22H2</v>
      </c>
      <c r="P36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366" s="189" t="s">
        <v>312</v>
      </c>
      <c r="T366" s="194"/>
      <c r="X366" s="1">
        <v>9426</v>
      </c>
      <c r="Y366" s="223" t="s">
        <v>1448</v>
      </c>
      <c r="Z366" s="1" t="b">
        <v>0</v>
      </c>
      <c r="AA366"/>
    </row>
    <row r="367" spans="1:27" s="1" customFormat="1" hidden="1" x14ac:dyDescent="0.2">
      <c r="A367" s="155">
        <v>106</v>
      </c>
      <c r="B367" s="189" t="s">
        <v>304</v>
      </c>
      <c r="C367" s="189" t="s">
        <v>308</v>
      </c>
      <c r="D367" s="1" t="s">
        <v>309</v>
      </c>
      <c r="E367" s="189" t="s">
        <v>310</v>
      </c>
      <c r="F367" s="201" t="s">
        <v>962</v>
      </c>
      <c r="G367" s="159" t="str">
        <f>_xlfn.XLOOKUP(ITEquipmentTable[[#This Row],[Name]], IntuneData[Device name], IntuneData[Serial number], "")</f>
        <v/>
      </c>
      <c r="H367" s="189" t="s">
        <v>318</v>
      </c>
      <c r="I367" s="189"/>
      <c r="J367" s="189"/>
      <c r="K367" s="154" t="s">
        <v>226</v>
      </c>
      <c r="L367" s="159" t="str">
        <f>_xlfn.LET(
_xlpm.look, _xlfn.XLOOKUP(ITEquipmentTable[[#This Row],[Name]], VNCTable[ClientName], VNCTable[IP], ""),
_xlpm.chkk, IF(ITEquipmentTable[[#This Row],[IPv4 Address]] = "N/A", "N/A", _xlpm.look),
IF(ITEquipmentTable[[#This Row],[Name]] = "", "", _xlpm.chkk))</f>
        <v>N/A</v>
      </c>
      <c r="M367" s="189" t="s">
        <v>963</v>
      </c>
      <c r="N367" s="159" t="str">
        <f>_xlfn.LET(_xlpm.emp, IF(_xlfn.XLOOKUP(ITEquipmentTable[[#This Row],[Assigned Employee]], EmployeeTable[name], EmployeeTable[Active], TRUE), "Employee", "Recover"),
IF(ITEquipmentTable[[#This Row],[Storage Location]] = "Assigned to Employee", _xlpm.emp, "N/A"))</f>
        <v>N/A</v>
      </c>
      <c r="O367" s="159" t="str" cm="1">
        <f t="array" ref="O36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6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367" s="189" t="s">
        <v>441</v>
      </c>
      <c r="R367" s="189" t="s">
        <v>351</v>
      </c>
      <c r="S367" s="189"/>
      <c r="T367" s="194"/>
      <c r="X367" s="1">
        <v>9427</v>
      </c>
      <c r="Y367" s="223" t="s">
        <v>1451</v>
      </c>
      <c r="Z367" s="1" t="b">
        <v>0</v>
      </c>
      <c r="AA367"/>
    </row>
    <row r="368" spans="1:27" s="1" customFormat="1" hidden="1" x14ac:dyDescent="0.2">
      <c r="A368" s="155">
        <v>58</v>
      </c>
      <c r="B368" s="1" t="s">
        <v>304</v>
      </c>
      <c r="C368" s="1" t="s">
        <v>308</v>
      </c>
      <c r="D368" s="1" t="s">
        <v>309</v>
      </c>
      <c r="E368" s="1" t="s">
        <v>310</v>
      </c>
      <c r="F368" s="195" t="s">
        <v>492</v>
      </c>
      <c r="G368" s="159" t="str">
        <f>_xlfn.XLOOKUP(ITEquipmentTable[[#This Row],[Name]], IntuneData[Device name], IntuneData[Serial number], "")</f>
        <v/>
      </c>
      <c r="H368" s="1" t="s">
        <v>295</v>
      </c>
      <c r="I368" s="1" t="s">
        <v>493</v>
      </c>
      <c r="K368" s="154" t="s">
        <v>494</v>
      </c>
      <c r="L368" s="159" t="str">
        <f>_xlfn.LET(
_xlpm.look, _xlfn.XLOOKUP(ITEquipmentTable[[#This Row],[Name]], VNCTable[ClientName], VNCTable[IP], ""),
_xlpm.chkk, IF(ITEquipmentTable[[#This Row],[IPv4 Address]] = "N/A", "N/A", _xlpm.look),
IF(ITEquipmentTable[[#This Row],[Name]] = "", "", _xlpm.chkk))</f>
        <v/>
      </c>
      <c r="M368" s="1" t="s">
        <v>495</v>
      </c>
      <c r="N368" s="159" t="str">
        <f>_xlfn.LET(_xlpm.emp, IF(_xlfn.XLOOKUP(ITEquipmentTable[[#This Row],[Assigned Employee]], EmployeeTable[name], EmployeeTable[Active], TRUE), "Employee", "Recover"),
IF(ITEquipmentTable[[#This Row],[Storage Location]] = "Assigned to Employee", _xlpm.emp, "N/A"))</f>
        <v>N/A</v>
      </c>
      <c r="O368" s="159" t="str" cm="1">
        <f t="array" ref="O36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6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368" s="189" t="s">
        <v>312</v>
      </c>
      <c r="T368" s="194"/>
      <c r="X368" s="1">
        <v>9435</v>
      </c>
      <c r="Y368" s="223" t="s">
        <v>1453</v>
      </c>
      <c r="Z368" s="1" t="b">
        <v>0</v>
      </c>
      <c r="AA368"/>
    </row>
    <row r="369" spans="1:27" s="1" customFormat="1" hidden="1" x14ac:dyDescent="0.2">
      <c r="A369" s="155">
        <v>47</v>
      </c>
      <c r="B369" s="189" t="s">
        <v>304</v>
      </c>
      <c r="C369" s="189" t="s">
        <v>308</v>
      </c>
      <c r="D369" s="189" t="s">
        <v>435</v>
      </c>
      <c r="E369" s="189" t="s">
        <v>310</v>
      </c>
      <c r="F369" s="201" t="s">
        <v>436</v>
      </c>
      <c r="G369" s="159" t="str">
        <f>_xlfn.XLOOKUP(ITEquipmentTable[[#This Row],[Name]], IntuneData[Device name], IntuneData[Serial number], "")</f>
        <v/>
      </c>
      <c r="H369" s="189" t="s">
        <v>295</v>
      </c>
      <c r="I369" s="1" t="s">
        <v>390</v>
      </c>
      <c r="K369" s="154" t="s">
        <v>3543</v>
      </c>
      <c r="L369" s="159" t="str">
        <f>_xlfn.LET(
_xlpm.look, _xlfn.XLOOKUP(ITEquipmentTable[[#This Row],[Name]], VNCTable[ClientName], VNCTable[IP], ""),
_xlpm.chkk, IF(ITEquipmentTable[[#This Row],[IPv4 Address]] = "N/A", "N/A", _xlpm.look),
IF(ITEquipmentTable[[#This Row],[Name]] = "", "", _xlpm.chkk))</f>
        <v>10.68.134.54</v>
      </c>
      <c r="M369" s="1" t="s">
        <v>437</v>
      </c>
      <c r="N369" s="159" t="str">
        <f>_xlfn.LET(_xlpm.emp, IF(_xlfn.XLOOKUP(ITEquipmentTable[[#This Row],[Assigned Employee]], EmployeeTable[name], EmployeeTable[Active], TRUE), "Employee", "Recover"),
IF(ITEquipmentTable[[#This Row],[Storage Location]] = "Assigned to Employee", _xlpm.emp, "N/A"))</f>
        <v>N/A</v>
      </c>
      <c r="O369" s="159" t="str" cm="1">
        <f t="array" ref="O36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6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369" s="189" t="s">
        <v>312</v>
      </c>
      <c r="T369" s="194"/>
      <c r="X369" s="1">
        <v>9436</v>
      </c>
      <c r="Y369" s="223" t="s">
        <v>1455</v>
      </c>
      <c r="Z369" s="1" t="b">
        <v>0</v>
      </c>
      <c r="AA369"/>
    </row>
    <row r="370" spans="1:27" s="1" customFormat="1" hidden="1" x14ac:dyDescent="0.2">
      <c r="A370" s="155">
        <v>259</v>
      </c>
      <c r="B370" s="1" t="s">
        <v>294</v>
      </c>
      <c r="C370" s="1" t="s">
        <v>403</v>
      </c>
      <c r="D370" s="1" t="s">
        <v>1175</v>
      </c>
      <c r="E370" s="1" t="s">
        <v>306</v>
      </c>
      <c r="F370" s="195" t="s">
        <v>1774</v>
      </c>
      <c r="G370" s="159" t="str">
        <f>_xlfn.XLOOKUP(ITEquipmentTable[[#This Row],[Name]], IntuneData[Device name], IntuneData[Serial number], "")</f>
        <v/>
      </c>
      <c r="H370" s="168"/>
      <c r="I370" s="168"/>
      <c r="J370" s="168"/>
      <c r="K370" s="154" t="s">
        <v>508</v>
      </c>
      <c r="L370" s="159" t="str">
        <f>_xlfn.LET(
_xlpm.look, _xlfn.XLOOKUP(ITEquipmentTable[[#This Row],[Name]], VNCTable[ClientName], VNCTable[IP], ""),
_xlpm.chkk, IF(ITEquipmentTable[[#This Row],[IPv4 Address]] = "N/A", "N/A", _xlpm.look),
IF(ITEquipmentTable[[#This Row],[Name]] = "", "", _xlpm.chkk))</f>
        <v/>
      </c>
      <c r="M370" s="168" t="s">
        <v>1775</v>
      </c>
      <c r="N370" s="161" t="str">
        <f>_xlfn.LET(_xlpm.emp, IF(_xlfn.XLOOKUP(ITEquipmentTable[[#This Row],[Assigned Employee]], EmployeeTable[name], EmployeeTable[Active], TRUE), "Employee", "Recover"),
IF(ITEquipmentTable[[#This Row],[Storage Location]] = "Assigned to Employee", _xlpm.emp, "N/A"))</f>
        <v>N/A</v>
      </c>
      <c r="O370" s="161" t="str" cm="1">
        <f t="array" ref="O37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7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70" s="168"/>
      <c r="R370" s="168"/>
      <c r="S370" s="1" t="s">
        <v>405</v>
      </c>
      <c r="T370" s="194"/>
      <c r="X370" s="1">
        <v>9438</v>
      </c>
      <c r="Y370" s="223" t="s">
        <v>1457</v>
      </c>
      <c r="Z370" s="1" t="b">
        <v>0</v>
      </c>
      <c r="AA370"/>
    </row>
    <row r="371" spans="1:27" s="1" customFormat="1" hidden="1" x14ac:dyDescent="0.2">
      <c r="A371" s="155">
        <v>530</v>
      </c>
      <c r="B371" s="1" t="s">
        <v>304</v>
      </c>
      <c r="F371" s="195"/>
      <c r="G371" s="159" t="str">
        <f>_xlfn.XLOOKUP(ITEquipmentTable[[#This Row],[Name]], IntuneData[Device name], IntuneData[Serial number], "")</f>
        <v/>
      </c>
      <c r="K371" s="154" t="s">
        <v>226</v>
      </c>
      <c r="L371" s="159" t="str">
        <f>_xlfn.LET(
_xlpm.look, _xlfn.XLOOKUP(ITEquipmentTable[[#This Row],[Name]], VNCTable[ClientName], VNCTable[IP], ""),
_xlpm.chkk, IF(ITEquipmentTable[[#This Row],[IPv4 Address]] = "N/A", "N/A", _xlpm.look),
IF(ITEquipmentTable[[#This Row],[Name]] = "", "", _xlpm.chkk))</f>
        <v>N/A</v>
      </c>
      <c r="M371" s="1" t="s">
        <v>1773</v>
      </c>
      <c r="N371" s="159" t="str">
        <f>_xlfn.LET(_xlpm.emp, IF(_xlfn.XLOOKUP(ITEquipmentTable[[#This Row],[Assigned Employee]], EmployeeTable[name], EmployeeTable[Active], TRUE), "Employee", "Recover"),
IF(ITEquipmentTable[[#This Row],[Storage Location]] = "Assigned to Employee", _xlpm.emp, "N/A"))</f>
        <v>N/A</v>
      </c>
      <c r="O371" s="159" t="str" cm="1">
        <f t="array" ref="O37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7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371" s="1" t="s">
        <v>298</v>
      </c>
      <c r="T371" s="194"/>
      <c r="X371" s="1">
        <v>9473</v>
      </c>
      <c r="Y371" s="223" t="s">
        <v>1460</v>
      </c>
      <c r="Z371" s="1" t="b">
        <v>0</v>
      </c>
      <c r="AA371"/>
    </row>
    <row r="372" spans="1:27" s="1" customFormat="1" hidden="1" x14ac:dyDescent="0.2">
      <c r="A372" s="155">
        <v>572</v>
      </c>
      <c r="B372" s="1" t="s">
        <v>304</v>
      </c>
      <c r="F372" s="195"/>
      <c r="G372" s="159" t="str">
        <f>_xlfn.XLOOKUP(ITEquipmentTable[[#This Row],[Name]], IntuneData[Device name], IntuneData[Serial number], "")</f>
        <v/>
      </c>
      <c r="H372" s="1" t="s">
        <v>295</v>
      </c>
      <c r="I372" s="1" t="s">
        <v>1776</v>
      </c>
      <c r="K372" s="154" t="s">
        <v>508</v>
      </c>
      <c r="L372" s="159" t="str">
        <f>_xlfn.LET(
_xlpm.look, _xlfn.XLOOKUP(ITEquipmentTable[[#This Row],[Name]], VNCTable[ClientName], VNCTable[IP], ""),
_xlpm.chkk, IF(ITEquipmentTable[[#This Row],[IPv4 Address]] = "N/A", "N/A", _xlpm.look),
IF(ITEquipmentTable[[#This Row],[Name]] = "", "", _xlpm.chkk))</f>
        <v/>
      </c>
      <c r="M372" s="1" t="s">
        <v>1777</v>
      </c>
      <c r="N372" s="159" t="str">
        <f>_xlfn.LET(_xlpm.emp, IF(_xlfn.XLOOKUP(ITEquipmentTable[[#This Row],[Assigned Employee]], EmployeeTable[name], EmployeeTable[Active], TRUE), "Employee", "Recover"),
IF(ITEquipmentTable[[#This Row],[Storage Location]] = "Assigned to Employee", _xlpm.emp, "N/A"))</f>
        <v>N/A</v>
      </c>
      <c r="O372" s="159" t="str" cm="1">
        <f t="array" ref="O37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7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372" s="1" t="s">
        <v>312</v>
      </c>
      <c r="T372" s="194"/>
      <c r="X372" s="1">
        <v>9475</v>
      </c>
      <c r="Y372" s="223" t="s">
        <v>1462</v>
      </c>
      <c r="Z372" s="1" t="b">
        <v>0</v>
      </c>
      <c r="AA372"/>
    </row>
    <row r="373" spans="1:27" s="1" customFormat="1" hidden="1" x14ac:dyDescent="0.2">
      <c r="A373" s="155">
        <v>113</v>
      </c>
      <c r="B373" s="1" t="s">
        <v>304</v>
      </c>
      <c r="C373" s="1" t="s">
        <v>308</v>
      </c>
      <c r="D373" s="1" t="s">
        <v>416</v>
      </c>
      <c r="E373" s="1" t="s">
        <v>310</v>
      </c>
      <c r="F373" s="195" t="s">
        <v>867</v>
      </c>
      <c r="G373" s="159" t="str">
        <f>_xlfn.XLOOKUP(ITEquipmentTable[[#This Row],[Name]], IntuneData[Device name], IntuneData[Serial number], "")</f>
        <v/>
      </c>
      <c r="H373" s="1" t="s">
        <v>318</v>
      </c>
      <c r="K373" s="154" t="s">
        <v>226</v>
      </c>
      <c r="L373" s="159" t="str">
        <f>_xlfn.LET(
_xlpm.look, _xlfn.XLOOKUP(ITEquipmentTable[[#This Row],[Name]], VNCTable[ClientName], VNCTable[IP], ""),
_xlpm.chkk, IF(ITEquipmentTable[[#This Row],[IPv4 Address]] = "N/A", "N/A", _xlpm.look),
IF(ITEquipmentTable[[#This Row],[Name]] = "", "", _xlpm.chkk))</f>
        <v>N/A</v>
      </c>
      <c r="M373" s="1" t="s">
        <v>868</v>
      </c>
      <c r="N373" s="159" t="str">
        <f>_xlfn.LET(_xlpm.emp, IF(_xlfn.XLOOKUP(ITEquipmentTable[[#This Row],[Assigned Employee]], EmployeeTable[name], EmployeeTable[Active], TRUE), "Employee", "Recover"),
IF(ITEquipmentTable[[#This Row],[Storage Location]] = "Assigned to Employee", _xlpm.emp, "N/A"))</f>
        <v>N/A</v>
      </c>
      <c r="O373" s="159" t="str" cm="1">
        <f t="array" ref="O37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7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373" s="1" t="s">
        <v>441</v>
      </c>
      <c r="R373" s="189" t="s">
        <v>351</v>
      </c>
      <c r="T373" s="194"/>
      <c r="X373" s="1">
        <v>9477</v>
      </c>
      <c r="Y373" s="223" t="s">
        <v>1465</v>
      </c>
      <c r="Z373" s="1" t="b">
        <v>0</v>
      </c>
      <c r="AA373"/>
    </row>
    <row r="374" spans="1:27" s="1" customFormat="1" hidden="1" x14ac:dyDescent="0.2">
      <c r="A374" s="155">
        <v>262</v>
      </c>
      <c r="B374" s="1" t="s">
        <v>294</v>
      </c>
      <c r="C374" s="1" t="s">
        <v>403</v>
      </c>
      <c r="D374" s="1" t="s">
        <v>1179</v>
      </c>
      <c r="E374" s="1" t="s">
        <v>306</v>
      </c>
      <c r="F374" s="195" t="s">
        <v>1780</v>
      </c>
      <c r="G374" s="159" t="str">
        <f>_xlfn.XLOOKUP(ITEquipmentTable[[#This Row],[Name]], IntuneData[Device name], IntuneData[Serial number], "")</f>
        <v/>
      </c>
      <c r="H374" s="168"/>
      <c r="I374" s="168"/>
      <c r="J374" s="168"/>
      <c r="K374" s="154" t="s">
        <v>508</v>
      </c>
      <c r="L374" s="159" t="str">
        <f>_xlfn.LET(
_xlpm.look, _xlfn.XLOOKUP(ITEquipmentTable[[#This Row],[Name]], VNCTable[ClientName], VNCTable[IP], ""),
_xlpm.chkk, IF(ITEquipmentTable[[#This Row],[IPv4 Address]] = "N/A", "N/A", _xlpm.look),
IF(ITEquipmentTable[[#This Row],[Name]] = "", "", _xlpm.chkk))</f>
        <v/>
      </c>
      <c r="M374" s="168" t="s">
        <v>1781</v>
      </c>
      <c r="N374" s="161" t="str">
        <f>_xlfn.LET(_xlpm.emp, IF(_xlfn.XLOOKUP(ITEquipmentTable[[#This Row],[Assigned Employee]], EmployeeTable[name], EmployeeTable[Active], TRUE), "Employee", "Recover"),
IF(ITEquipmentTable[[#This Row],[Storage Location]] = "Assigned to Employee", _xlpm.emp, "N/A"))</f>
        <v>N/A</v>
      </c>
      <c r="O374" s="161" t="str" cm="1">
        <f t="array" ref="O37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7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74" s="168"/>
      <c r="R374" s="168"/>
      <c r="S374" s="1" t="s">
        <v>405</v>
      </c>
      <c r="T374" s="194"/>
      <c r="X374" s="1">
        <v>9481</v>
      </c>
      <c r="Y374" s="223" t="s">
        <v>1467</v>
      </c>
      <c r="Z374" s="1" t="b">
        <v>0</v>
      </c>
      <c r="AA374"/>
    </row>
    <row r="375" spans="1:27" s="1" customFormat="1" hidden="1" x14ac:dyDescent="0.2">
      <c r="A375" s="155">
        <v>263</v>
      </c>
      <c r="B375" s="1" t="s">
        <v>294</v>
      </c>
      <c r="C375" s="1" t="s">
        <v>403</v>
      </c>
      <c r="D375" s="1" t="s">
        <v>1179</v>
      </c>
      <c r="E375" s="1" t="s">
        <v>306</v>
      </c>
      <c r="F375" s="195" t="s">
        <v>1782</v>
      </c>
      <c r="G375" s="159" t="str">
        <f>_xlfn.XLOOKUP(ITEquipmentTable[[#This Row],[Name]], IntuneData[Device name], IntuneData[Serial number], "")</f>
        <v/>
      </c>
      <c r="H375" s="168"/>
      <c r="I375" s="168"/>
      <c r="J375" s="168"/>
      <c r="K375" s="154" t="s">
        <v>508</v>
      </c>
      <c r="L375" s="159" t="str">
        <f>_xlfn.LET(
_xlpm.look, _xlfn.XLOOKUP(ITEquipmentTable[[#This Row],[Name]], VNCTable[ClientName], VNCTable[IP], ""),
_xlpm.chkk, IF(ITEquipmentTable[[#This Row],[IPv4 Address]] = "N/A", "N/A", _xlpm.look),
IF(ITEquipmentTable[[#This Row],[Name]] = "", "", _xlpm.chkk))</f>
        <v/>
      </c>
      <c r="M375" s="168" t="s">
        <v>1783</v>
      </c>
      <c r="N375" s="161" t="str">
        <f>_xlfn.LET(_xlpm.emp, IF(_xlfn.XLOOKUP(ITEquipmentTable[[#This Row],[Assigned Employee]], EmployeeTable[name], EmployeeTable[Active], TRUE), "Employee", "Recover"),
IF(ITEquipmentTable[[#This Row],[Storage Location]] = "Assigned to Employee", _xlpm.emp, "N/A"))</f>
        <v>N/A</v>
      </c>
      <c r="O375" s="161" t="str" cm="1">
        <f t="array" ref="O37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7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75" s="168"/>
      <c r="R375" s="168"/>
      <c r="S375" s="1" t="s">
        <v>405</v>
      </c>
      <c r="T375" s="194"/>
      <c r="X375" s="1">
        <v>9482</v>
      </c>
      <c r="Y375" s="223" t="s">
        <v>1470</v>
      </c>
      <c r="Z375" s="1" t="b">
        <v>0</v>
      </c>
      <c r="AA375"/>
    </row>
    <row r="376" spans="1:27" s="1" customFormat="1" hidden="1" x14ac:dyDescent="0.2">
      <c r="A376" s="155">
        <v>264</v>
      </c>
      <c r="B376" s="1" t="s">
        <v>294</v>
      </c>
      <c r="C376" s="1" t="s">
        <v>403</v>
      </c>
      <c r="D376" s="1" t="s">
        <v>1179</v>
      </c>
      <c r="E376" s="1" t="s">
        <v>306</v>
      </c>
      <c r="F376" s="195" t="s">
        <v>1784</v>
      </c>
      <c r="G376" s="159" t="str">
        <f>_xlfn.XLOOKUP(ITEquipmentTable[[#This Row],[Name]], IntuneData[Device name], IntuneData[Serial number], "")</f>
        <v/>
      </c>
      <c r="H376" s="168"/>
      <c r="I376" s="168"/>
      <c r="J376" s="168"/>
      <c r="K376" s="154" t="s">
        <v>508</v>
      </c>
      <c r="L376" s="159" t="str">
        <f>_xlfn.LET(
_xlpm.look, _xlfn.XLOOKUP(ITEquipmentTable[[#This Row],[Name]], VNCTable[ClientName], VNCTable[IP], ""),
_xlpm.chkk, IF(ITEquipmentTable[[#This Row],[IPv4 Address]] = "N/A", "N/A", _xlpm.look),
IF(ITEquipmentTable[[#This Row],[Name]] = "", "", _xlpm.chkk))</f>
        <v/>
      </c>
      <c r="M376" s="168" t="s">
        <v>1785</v>
      </c>
      <c r="N376" s="161" t="str">
        <f>_xlfn.LET(_xlpm.emp, IF(_xlfn.XLOOKUP(ITEquipmentTable[[#This Row],[Assigned Employee]], EmployeeTable[name], EmployeeTable[Active], TRUE), "Employee", "Recover"),
IF(ITEquipmentTable[[#This Row],[Storage Location]] = "Assigned to Employee", _xlpm.emp, "N/A"))</f>
        <v>N/A</v>
      </c>
      <c r="O376" s="161" t="str" cm="1">
        <f t="array" ref="O37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7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76" s="168"/>
      <c r="R376" s="168"/>
      <c r="S376" s="1" t="s">
        <v>405</v>
      </c>
      <c r="T376" s="194"/>
      <c r="X376" s="1">
        <v>9483</v>
      </c>
      <c r="Y376" s="223" t="s">
        <v>1473</v>
      </c>
      <c r="Z376" s="1" t="b">
        <v>0</v>
      </c>
      <c r="AA376"/>
    </row>
    <row r="377" spans="1:27" s="1" customFormat="1" hidden="1" x14ac:dyDescent="0.2">
      <c r="A377" s="155">
        <v>265</v>
      </c>
      <c r="B377" s="189" t="s">
        <v>294</v>
      </c>
      <c r="C377" s="189" t="s">
        <v>403</v>
      </c>
      <c r="D377" s="1" t="s">
        <v>656</v>
      </c>
      <c r="E377" s="189" t="s">
        <v>306</v>
      </c>
      <c r="F377" s="195" t="s">
        <v>657</v>
      </c>
      <c r="G377" s="159" t="str">
        <f>_xlfn.XLOOKUP(ITEquipmentTable[[#This Row],[Name]], IntuneData[Device name], IntuneData[Serial number], "")</f>
        <v/>
      </c>
      <c r="H377" s="189" t="s">
        <v>295</v>
      </c>
      <c r="I377" s="189" t="s">
        <v>658</v>
      </c>
      <c r="J377" s="189"/>
      <c r="K377" s="154" t="s">
        <v>508</v>
      </c>
      <c r="L377" s="159" t="str">
        <f>_xlfn.LET(
_xlpm.look, _xlfn.XLOOKUP(ITEquipmentTable[[#This Row],[Name]], VNCTable[ClientName], VNCTable[IP], ""),
_xlpm.chkk, IF(ITEquipmentTable[[#This Row],[IPv4 Address]] = "N/A", "N/A", _xlpm.look),
IF(ITEquipmentTable[[#This Row],[Name]] = "", "", _xlpm.chkk))</f>
        <v/>
      </c>
      <c r="M377" s="189" t="s">
        <v>659</v>
      </c>
      <c r="N377" s="159" t="str">
        <f>_xlfn.LET(_xlpm.emp, IF(_xlfn.XLOOKUP(ITEquipmentTable[[#This Row],[Assigned Employee]], EmployeeTable[name], EmployeeTable[Active], TRUE), "Employee", "Recover"),
IF(ITEquipmentTable[[#This Row],[Storage Location]] = "Assigned to Employee", _xlpm.emp, "N/A"))</f>
        <v>N/A</v>
      </c>
      <c r="O377" s="159" t="str" cm="1">
        <f t="array" ref="O37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7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377" s="193"/>
      <c r="R377" s="189" t="s">
        <v>312</v>
      </c>
      <c r="S377" s="189"/>
      <c r="T377" s="194"/>
      <c r="X377" s="1">
        <v>9485</v>
      </c>
      <c r="Y377" s="223" t="s">
        <v>1476</v>
      </c>
      <c r="Z377" s="1" t="b">
        <v>0</v>
      </c>
      <c r="AA377"/>
    </row>
    <row r="378" spans="1:27" s="1" customFormat="1" hidden="1" x14ac:dyDescent="0.2">
      <c r="A378" s="155">
        <v>694</v>
      </c>
      <c r="B378" s="1" t="s">
        <v>294</v>
      </c>
      <c r="C378" s="1" t="s">
        <v>403</v>
      </c>
      <c r="E378" s="1" t="s">
        <v>306</v>
      </c>
      <c r="F378" s="195" t="s">
        <v>3205</v>
      </c>
      <c r="G378" s="164" t="str">
        <f>_xlfn.XLOOKUP(ITEquipmentTable[[#This Row],[Name]], IntuneData[Device name], IntuneData[Serial number], "")</f>
        <v>5CD328B4Y9</v>
      </c>
      <c r="K378" s="154" t="s">
        <v>508</v>
      </c>
      <c r="L378" s="164" t="str">
        <f>_xlfn.LET(
_xlpm.look, _xlfn.XLOOKUP(ITEquipmentTable[[#This Row],[Name]], VNCTable[ClientName], VNCTable[IP], ""),
_xlpm.chkk, IF(ITEquipmentTable[[#This Row],[IPv4 Address]] = "N/A", "N/A", _xlpm.look),
IF(ITEquipmentTable[[#This Row],[Name]] = "", "", _xlpm.chkk))</f>
        <v/>
      </c>
      <c r="M378" s="1" t="s">
        <v>1786</v>
      </c>
      <c r="N378" s="159" t="str">
        <f>_xlfn.LET(_xlpm.emp, IF(_xlfn.XLOOKUP(ITEquipmentTable[[#This Row],[Assigned Employee]], EmployeeTable[name], EmployeeTable[Active], TRUE), "Employee", "Recover"),
IF(ITEquipmentTable[[#This Row],[Storage Location]] = "Assigned to Employee", _xlpm.emp, "N/A"))</f>
        <v>N/A</v>
      </c>
      <c r="O378" s="161" t="str" cm="1">
        <f t="array" ref="O37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7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378" s="1" t="s">
        <v>3326</v>
      </c>
      <c r="T378" s="194"/>
      <c r="X378" s="1">
        <v>9486</v>
      </c>
      <c r="Y378" s="223" t="s">
        <v>1478</v>
      </c>
      <c r="Z378" s="1" t="b">
        <v>0</v>
      </c>
      <c r="AA378"/>
    </row>
    <row r="379" spans="1:27" s="1" customFormat="1" x14ac:dyDescent="0.2">
      <c r="A379" s="155">
        <v>266</v>
      </c>
      <c r="B379" s="1" t="s">
        <v>304</v>
      </c>
      <c r="C379" s="1" t="s">
        <v>403</v>
      </c>
      <c r="D379" s="1" t="s">
        <v>953</v>
      </c>
      <c r="E379" s="1" t="s">
        <v>306</v>
      </c>
      <c r="F379" s="195" t="s">
        <v>1097</v>
      </c>
      <c r="G379" s="159" t="str">
        <f>_xlfn.XLOOKUP(ITEquipmentTable[[#This Row],[Name]], IntuneData[Device name], IntuneData[Serial number], "")</f>
        <v>8CG7442W13</v>
      </c>
      <c r="H379" s="168" t="s">
        <v>295</v>
      </c>
      <c r="I379" s="168" t="s">
        <v>1098</v>
      </c>
      <c r="J379" s="168"/>
      <c r="K379" s="223"/>
      <c r="L379" s="159" t="str">
        <f>_xlfn.LET(
_xlpm.look, _xlfn.XLOOKUP(ITEquipmentTable[[#This Row],[Name]], VNCTable[ClientName], VNCTable[IP], ""),
_xlpm.chkk, IF(ITEquipmentTable[[#This Row],[IPv4 Address]] = "N/A", "N/A", _xlpm.look),
IF(ITEquipmentTable[[#This Row],[Name]] = "", "", _xlpm.chkk))</f>
        <v/>
      </c>
      <c r="M379" s="168" t="s">
        <v>1099</v>
      </c>
      <c r="N379" s="161" t="str">
        <f>_xlfn.LET(_xlpm.emp, IF(_xlfn.XLOOKUP(ITEquipmentTable[[#This Row],[Assigned Employee]], EmployeeTable[name], EmployeeTable[Active], TRUE), "Employee", "Recover"),
IF(ITEquipmentTable[[#This Row],[Storage Location]] = "Assigned to Employee", _xlpm.emp, "N/A"))</f>
        <v>N/A</v>
      </c>
      <c r="O379" s="161" t="str" cm="1">
        <f t="array" ref="O37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37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379" s="189" t="s">
        <v>312</v>
      </c>
      <c r="T379" s="194"/>
      <c r="X379" s="1">
        <v>9487</v>
      </c>
      <c r="Y379" s="223" t="s">
        <v>1481</v>
      </c>
      <c r="Z379" s="1" t="b">
        <v>0</v>
      </c>
      <c r="AA379"/>
    </row>
    <row r="380" spans="1:27" s="1" customFormat="1" x14ac:dyDescent="0.2">
      <c r="A380" s="155">
        <v>267</v>
      </c>
      <c r="B380" s="1" t="s">
        <v>304</v>
      </c>
      <c r="C380" s="1" t="s">
        <v>403</v>
      </c>
      <c r="D380" s="1" t="s">
        <v>953</v>
      </c>
      <c r="E380" s="1" t="s">
        <v>306</v>
      </c>
      <c r="F380" s="195" t="s">
        <v>1106</v>
      </c>
      <c r="G380" s="159" t="str">
        <f>_xlfn.XLOOKUP(ITEquipmentTable[[#This Row],[Name]], IntuneData[Device name], IntuneData[Serial number], "")</f>
        <v>8CG7442VXP</v>
      </c>
      <c r="H380" s="1" t="s">
        <v>295</v>
      </c>
      <c r="I380" s="1" t="s">
        <v>1107</v>
      </c>
      <c r="K380" s="154"/>
      <c r="L380" s="159" t="str">
        <f>_xlfn.LET(
_xlpm.look, _xlfn.XLOOKUP(ITEquipmentTable[[#This Row],[Name]], VNCTable[ClientName], VNCTable[IP], ""),
_xlpm.chkk, IF(ITEquipmentTable[[#This Row],[IPv4 Address]] = "N/A", "N/A", _xlpm.look),
IF(ITEquipmentTable[[#This Row],[Name]] = "", "", _xlpm.chkk))</f>
        <v/>
      </c>
      <c r="M380" s="1" t="s">
        <v>1108</v>
      </c>
      <c r="N380" s="159" t="str">
        <f>_xlfn.LET(_xlpm.emp, IF(_xlfn.XLOOKUP(ITEquipmentTable[[#This Row],[Assigned Employee]], EmployeeTable[name], EmployeeTable[Active], TRUE), "Employee", "Recover"),
IF(ITEquipmentTable[[#This Row],[Storage Location]] = "Assigned to Employee", _xlpm.emp, "N/A"))</f>
        <v>N/A</v>
      </c>
      <c r="O380" s="159" t="str" cm="1">
        <f t="array" ref="O38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24H2</v>
      </c>
      <c r="P38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380" s="189" t="s">
        <v>312</v>
      </c>
      <c r="T380" s="194"/>
      <c r="X380" s="1">
        <v>9551</v>
      </c>
      <c r="Y380" s="223" t="s">
        <v>1484</v>
      </c>
      <c r="Z380" s="1" t="b">
        <v>0</v>
      </c>
      <c r="AA380"/>
    </row>
    <row r="381" spans="1:27" s="1" customFormat="1" x14ac:dyDescent="0.2">
      <c r="A381" s="155">
        <v>268</v>
      </c>
      <c r="B381" s="189" t="s">
        <v>304</v>
      </c>
      <c r="C381" s="189" t="s">
        <v>403</v>
      </c>
      <c r="D381" s="189" t="s">
        <v>953</v>
      </c>
      <c r="E381" s="189" t="s">
        <v>306</v>
      </c>
      <c r="F381" s="201" t="s">
        <v>1117</v>
      </c>
      <c r="G381" s="159" t="str">
        <f>_xlfn.XLOOKUP(ITEquipmentTable[[#This Row],[Name]], IntuneData[Device name], IntuneData[Serial number], "")</f>
        <v/>
      </c>
      <c r="H381" s="189" t="s">
        <v>302</v>
      </c>
      <c r="I381" s="189"/>
      <c r="J381" s="189"/>
      <c r="K381" s="154" t="s">
        <v>226</v>
      </c>
      <c r="L381" s="159" t="str">
        <f>_xlfn.LET(
_xlpm.look, _xlfn.XLOOKUP(ITEquipmentTable[[#This Row],[Name]], VNCTable[ClientName], VNCTable[IP], ""),
_xlpm.chkk, IF(ITEquipmentTable[[#This Row],[IPv4 Address]] = "N/A", "N/A", _xlpm.look),
IF(ITEquipmentTable[[#This Row],[Name]] = "", "", _xlpm.chkk))</f>
        <v>N/A</v>
      </c>
      <c r="M381" s="189" t="s">
        <v>1118</v>
      </c>
      <c r="N381" s="159" t="str">
        <f>_xlfn.LET(_xlpm.emp, IF(_xlfn.XLOOKUP(ITEquipmentTable[[#This Row],[Assigned Employee]], EmployeeTable[name], EmployeeTable[Active], TRUE), "Employee", "Recover"),
IF(ITEquipmentTable[[#This Row],[Storage Location]] = "Assigned to Employee", _xlpm.emp, "N/A"))</f>
        <v>N/A</v>
      </c>
      <c r="O381" s="159" t="str" cm="1">
        <f t="array" ref="O38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8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381" s="189"/>
      <c r="R381" s="189"/>
      <c r="S381" s="189"/>
      <c r="T381" s="194"/>
      <c r="X381" s="1">
        <v>9559</v>
      </c>
      <c r="Y381" s="223" t="s">
        <v>1487</v>
      </c>
      <c r="Z381" s="1" t="b">
        <v>0</v>
      </c>
      <c r="AA381"/>
    </row>
    <row r="382" spans="1:27" s="1" customFormat="1" x14ac:dyDescent="0.2">
      <c r="A382" s="155">
        <v>269</v>
      </c>
      <c r="B382" s="1" t="s">
        <v>304</v>
      </c>
      <c r="C382" s="1" t="s">
        <v>403</v>
      </c>
      <c r="D382" s="1" t="s">
        <v>949</v>
      </c>
      <c r="E382" s="1" t="s">
        <v>306</v>
      </c>
      <c r="F382" s="195" t="s">
        <v>1119</v>
      </c>
      <c r="G382" s="159" t="str">
        <f>_xlfn.XLOOKUP(ITEquipmentTable[[#This Row],[Name]], IntuneData[Device name], IntuneData[Serial number], "")</f>
        <v/>
      </c>
      <c r="H382" s="168"/>
      <c r="I382" s="168"/>
      <c r="J382" s="168"/>
      <c r="K382" s="223"/>
      <c r="L382" s="159" t="str">
        <f>_xlfn.LET(
_xlpm.look, _xlfn.XLOOKUP(ITEquipmentTable[[#This Row],[Name]], VNCTable[ClientName], VNCTable[IP], ""),
_xlpm.chkk, IF(ITEquipmentTable[[#This Row],[IPv4 Address]] = "N/A", "N/A", _xlpm.look),
IF(ITEquipmentTable[[#This Row],[Name]] = "", "", _xlpm.chkk))</f>
        <v/>
      </c>
      <c r="M382" s="168" t="s">
        <v>1120</v>
      </c>
      <c r="N382" s="161" t="str">
        <f>_xlfn.LET(_xlpm.emp, IF(_xlfn.XLOOKUP(ITEquipmentTable[[#This Row],[Assigned Employee]], EmployeeTable[name], EmployeeTable[Active], TRUE), "Employee", "Recover"),
IF(ITEquipmentTable[[#This Row],[Storage Location]] = "Assigned to Employee", _xlpm.emp, "N/A"))</f>
        <v>N/A</v>
      </c>
      <c r="O382" s="161" t="str" cm="1">
        <f t="array" ref="O38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8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82" s="168"/>
      <c r="R382" s="168"/>
      <c r="S382" s="1" t="s">
        <v>405</v>
      </c>
      <c r="T382" s="194"/>
      <c r="X382" s="1">
        <v>9560</v>
      </c>
      <c r="Y382" s="223" t="s">
        <v>1490</v>
      </c>
      <c r="Z382" s="1" t="b">
        <v>0</v>
      </c>
      <c r="AA382"/>
    </row>
    <row r="383" spans="1:27" s="1" customFormat="1" hidden="1" x14ac:dyDescent="0.2">
      <c r="A383" s="155">
        <v>471</v>
      </c>
      <c r="B383" s="1" t="s">
        <v>304</v>
      </c>
      <c r="F383" s="195"/>
      <c r="G383" s="159" t="str">
        <f>_xlfn.XLOOKUP(ITEquipmentTable[[#This Row],[Name]], IntuneData[Device name], IntuneData[Serial number], "")</f>
        <v/>
      </c>
      <c r="H383" s="168" t="s">
        <v>295</v>
      </c>
      <c r="I383" s="168" t="s">
        <v>1715</v>
      </c>
      <c r="J383" s="168"/>
      <c r="K383" s="154" t="s">
        <v>1129</v>
      </c>
      <c r="L383" s="159" t="str">
        <f>_xlfn.LET(
_xlpm.look, _xlfn.XLOOKUP(ITEquipmentTable[[#This Row],[Name]], VNCTable[ClientName], VNCTable[IP], ""),
_xlpm.chkk, IF(ITEquipmentTable[[#This Row],[IPv4 Address]] = "N/A", "N/A", _xlpm.look),
IF(ITEquipmentTable[[#This Row],[Name]] = "", "", _xlpm.chkk))</f>
        <v/>
      </c>
      <c r="M383" s="193" t="s">
        <v>1716</v>
      </c>
      <c r="N383" s="161" t="str">
        <f>_xlfn.LET(_xlpm.emp, IF(_xlfn.XLOOKUP(ITEquipmentTable[[#This Row],[Assigned Employee]], EmployeeTable[name], EmployeeTable[Active], TRUE), "Employee", "Recover"),
IF(ITEquipmentTable[[#This Row],[Storage Location]] = "Assigned to Employee", _xlpm.emp, "N/A"))</f>
        <v>N/A</v>
      </c>
      <c r="O383" s="161" t="str" cm="1">
        <f t="array" ref="O38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8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83" s="193"/>
      <c r="R383" s="193" t="s">
        <v>312</v>
      </c>
      <c r="S383" s="1" t="s">
        <v>299</v>
      </c>
      <c r="T383" s="194"/>
      <c r="X383" s="1">
        <v>9564</v>
      </c>
      <c r="Y383" s="223" t="s">
        <v>1493</v>
      </c>
      <c r="Z383" s="1" t="b">
        <v>0</v>
      </c>
      <c r="AA383"/>
    </row>
    <row r="384" spans="1:27" s="1" customFormat="1" x14ac:dyDescent="0.2">
      <c r="A384" s="155">
        <v>695</v>
      </c>
      <c r="B384" s="1" t="s">
        <v>304</v>
      </c>
      <c r="C384" s="1" t="s">
        <v>403</v>
      </c>
      <c r="E384" s="1" t="s">
        <v>306</v>
      </c>
      <c r="F384" s="195"/>
      <c r="G384" s="159" t="str">
        <f>_xlfn.XLOOKUP(ITEquipmentTable[[#This Row],[Name]], IntuneData[Device name], IntuneData[Serial number], "")</f>
        <v/>
      </c>
      <c r="H384" s="1" t="s">
        <v>295</v>
      </c>
      <c r="I384" s="1" t="s">
        <v>2101</v>
      </c>
      <c r="K384" s="154" t="s">
        <v>508</v>
      </c>
      <c r="L384" s="159" t="str">
        <f>_xlfn.LET(
_xlpm.look, _xlfn.XLOOKUP(ITEquipmentTable[[#This Row],[Name]], VNCTable[ClientName], VNCTable[IP], ""),
_xlpm.chkk, IF(ITEquipmentTable[[#This Row],[IPv4 Address]] = "N/A", "N/A", _xlpm.look),
IF(ITEquipmentTable[[#This Row],[Name]] = "", "", _xlpm.chkk))</f>
        <v/>
      </c>
      <c r="M384" s="1" t="s">
        <v>2102</v>
      </c>
      <c r="N384" s="159" t="str">
        <f>_xlfn.LET(_xlpm.emp, IF(_xlfn.XLOOKUP(ITEquipmentTable[[#This Row],[Assigned Employee]], EmployeeTable[name], EmployeeTable[Active], TRUE), "Employee", "Recover"),
IF(ITEquipmentTable[[#This Row],[Storage Location]] = "Assigned to Employee", _xlpm.emp, "N/A"))</f>
        <v>N/A</v>
      </c>
      <c r="O384" s="161" t="str" cm="1">
        <f t="array" ref="O38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38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84" s="1" t="s">
        <v>1311</v>
      </c>
      <c r="R384" s="1" t="s">
        <v>312</v>
      </c>
      <c r="T384" s="194"/>
      <c r="X384" s="1">
        <v>9575</v>
      </c>
      <c r="Y384" s="223" t="s">
        <v>1495</v>
      </c>
      <c r="Z384" s="1" t="b">
        <v>0</v>
      </c>
      <c r="AA384"/>
    </row>
    <row r="385" spans="1:27" s="1" customFormat="1" x14ac:dyDescent="0.2">
      <c r="A385" s="155">
        <v>696</v>
      </c>
      <c r="B385" s="1" t="s">
        <v>304</v>
      </c>
      <c r="C385" s="1" t="s">
        <v>403</v>
      </c>
      <c r="E385" s="1" t="s">
        <v>306</v>
      </c>
      <c r="F385" s="195"/>
      <c r="G385" s="159" t="str">
        <f>_xlfn.XLOOKUP(ITEquipmentTable[[#This Row],[Name]], IntuneData[Device name], IntuneData[Serial number], "")</f>
        <v/>
      </c>
      <c r="H385" s="1" t="s">
        <v>295</v>
      </c>
      <c r="I385" s="1" t="s">
        <v>2101</v>
      </c>
      <c r="K385" s="154" t="s">
        <v>508</v>
      </c>
      <c r="L385" s="159" t="str">
        <f>_xlfn.LET(
_xlpm.look, _xlfn.XLOOKUP(ITEquipmentTable[[#This Row],[Name]], VNCTable[ClientName], VNCTable[IP], ""),
_xlpm.chkk, IF(ITEquipmentTable[[#This Row],[IPv4 Address]] = "N/A", "N/A", _xlpm.look),
IF(ITEquipmentTable[[#This Row],[Name]] = "", "", _xlpm.chkk))</f>
        <v/>
      </c>
      <c r="M385" s="1" t="s">
        <v>2110</v>
      </c>
      <c r="N385" s="159" t="str">
        <f>_xlfn.LET(_xlpm.emp, IF(_xlfn.XLOOKUP(ITEquipmentTable[[#This Row],[Assigned Employee]], EmployeeTable[name], EmployeeTable[Active], TRUE), "Employee", "Recover"),
IF(ITEquipmentTable[[#This Row],[Storage Location]] = "Assigned to Employee", _xlpm.emp, "N/A"))</f>
        <v>N/A</v>
      </c>
      <c r="O385" s="161" t="str" cm="1">
        <f t="array" ref="O38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38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85" s="1" t="s">
        <v>1311</v>
      </c>
      <c r="R385" s="1" t="s">
        <v>312</v>
      </c>
      <c r="T385" s="194"/>
      <c r="X385" s="1">
        <v>9580</v>
      </c>
      <c r="Y385" s="223" t="s">
        <v>1498</v>
      </c>
      <c r="Z385" s="1" t="b">
        <v>0</v>
      </c>
      <c r="AA385"/>
    </row>
    <row r="386" spans="1:27" s="1" customFormat="1" x14ac:dyDescent="0.2">
      <c r="A386" s="155">
        <v>697</v>
      </c>
      <c r="B386" s="1" t="s">
        <v>304</v>
      </c>
      <c r="C386" s="1" t="s">
        <v>403</v>
      </c>
      <c r="E386" s="1" t="s">
        <v>306</v>
      </c>
      <c r="F386" s="195"/>
      <c r="G386" s="159" t="str">
        <f>_xlfn.XLOOKUP(ITEquipmentTable[[#This Row],[Name]], IntuneData[Device name], IntuneData[Serial number], "")</f>
        <v/>
      </c>
      <c r="H386" s="1" t="s">
        <v>295</v>
      </c>
      <c r="I386" s="1" t="s">
        <v>2101</v>
      </c>
      <c r="K386" s="154" t="s">
        <v>508</v>
      </c>
      <c r="L386" s="159" t="str">
        <f>_xlfn.LET(
_xlpm.look, _xlfn.XLOOKUP(ITEquipmentTable[[#This Row],[Name]], VNCTable[ClientName], VNCTable[IP], ""),
_xlpm.chkk, IF(ITEquipmentTable[[#This Row],[IPv4 Address]] = "N/A", "N/A", _xlpm.look),
IF(ITEquipmentTable[[#This Row],[Name]] = "", "", _xlpm.chkk))</f>
        <v/>
      </c>
      <c r="M386" s="1" t="s">
        <v>2111</v>
      </c>
      <c r="N386" s="159" t="str">
        <f>_xlfn.LET(_xlpm.emp, IF(_xlfn.XLOOKUP(ITEquipmentTable[[#This Row],[Assigned Employee]], EmployeeTable[name], EmployeeTable[Active], TRUE), "Employee", "Recover"),
IF(ITEquipmentTable[[#This Row],[Storage Location]] = "Assigned to Employee", _xlpm.emp, "N/A"))</f>
        <v>N/A</v>
      </c>
      <c r="O386" s="161" t="str" cm="1">
        <f t="array" ref="O38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38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86" s="168" t="s">
        <v>1311</v>
      </c>
      <c r="R386" s="1" t="s">
        <v>312</v>
      </c>
      <c r="T386" s="194"/>
      <c r="X386" s="1">
        <v>9583</v>
      </c>
      <c r="Y386" s="223" t="s">
        <v>1500</v>
      </c>
      <c r="Z386" s="1" t="b">
        <v>0</v>
      </c>
      <c r="AA386"/>
    </row>
    <row r="387" spans="1:27" s="1" customFormat="1" hidden="1" x14ac:dyDescent="0.2">
      <c r="A387" s="155">
        <v>271</v>
      </c>
      <c r="B387" s="1" t="s">
        <v>294</v>
      </c>
      <c r="C387" s="1" t="s">
        <v>403</v>
      </c>
      <c r="D387" s="1" t="s">
        <v>1167</v>
      </c>
      <c r="E387" s="1" t="s">
        <v>306</v>
      </c>
      <c r="F387" s="195" t="s">
        <v>1791</v>
      </c>
      <c r="G387" s="159" t="str">
        <f>_xlfn.XLOOKUP(ITEquipmentTable[[#This Row],[Name]], IntuneData[Device name], IntuneData[Serial number], "")</f>
        <v/>
      </c>
      <c r="H387" s="168"/>
      <c r="I387" s="168"/>
      <c r="J387" s="168"/>
      <c r="K387" s="154" t="s">
        <v>508</v>
      </c>
      <c r="L387" s="159" t="str">
        <f>_xlfn.LET(
_xlpm.look, _xlfn.XLOOKUP(ITEquipmentTable[[#This Row],[Name]], VNCTable[ClientName], VNCTable[IP], ""),
_xlpm.chkk, IF(ITEquipmentTable[[#This Row],[IPv4 Address]] = "N/A", "N/A", _xlpm.look),
IF(ITEquipmentTable[[#This Row],[Name]] = "", "", _xlpm.chkk))</f>
        <v/>
      </c>
      <c r="M387" s="168" t="s">
        <v>1792</v>
      </c>
      <c r="N387" s="161" t="str">
        <f>_xlfn.LET(_xlpm.emp, IF(_xlfn.XLOOKUP(ITEquipmentTable[[#This Row],[Assigned Employee]], EmployeeTable[name], EmployeeTable[Active], TRUE), "Employee", "Recover"),
IF(ITEquipmentTable[[#This Row],[Storage Location]] = "Assigned to Employee", _xlpm.emp, "N/A"))</f>
        <v>N/A</v>
      </c>
      <c r="O387" s="161" t="str" cm="1">
        <f t="array" ref="O38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8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87" s="168"/>
      <c r="R387" s="168"/>
      <c r="S387" s="1" t="s">
        <v>405</v>
      </c>
      <c r="T387" s="194"/>
      <c r="X387" s="1">
        <v>9595</v>
      </c>
      <c r="Y387" s="223" t="s">
        <v>1503</v>
      </c>
      <c r="Z387" s="1" t="b">
        <v>0</v>
      </c>
      <c r="AA387"/>
    </row>
    <row r="388" spans="1:27" s="1" customFormat="1" hidden="1" x14ac:dyDescent="0.2">
      <c r="A388" s="155">
        <v>531</v>
      </c>
      <c r="B388" s="1" t="s">
        <v>294</v>
      </c>
      <c r="C388" s="1" t="s">
        <v>403</v>
      </c>
      <c r="E388" s="1" t="s">
        <v>306</v>
      </c>
      <c r="F388" s="195"/>
      <c r="G388" s="164" t="str">
        <f>_xlfn.XLOOKUP(ITEquipmentTable[[#This Row],[Name]], IntuneData[Device name], IntuneData[Serial number], "")</f>
        <v/>
      </c>
      <c r="K388" s="154" t="s">
        <v>508</v>
      </c>
      <c r="L388" s="164" t="str">
        <f>_xlfn.LET(
_xlpm.look, _xlfn.XLOOKUP(ITEquipmentTable[[#This Row],[Name]], VNCTable[ClientName], VNCTable[IP], ""),
_xlpm.chkk, IF(ITEquipmentTable[[#This Row],[IPv4 Address]] = "N/A", "N/A", _xlpm.look),
IF(ITEquipmentTable[[#This Row],[Name]] = "", "", _xlpm.chkk))</f>
        <v/>
      </c>
      <c r="M388" s="1" t="s">
        <v>1793</v>
      </c>
      <c r="N388" s="159" t="str">
        <f>_xlfn.LET(_xlpm.emp, IF(_xlfn.XLOOKUP(ITEquipmentTable[[#This Row],[Assigned Employee]], EmployeeTable[name], EmployeeTable[Active], TRUE), "Employee", "Recover"),
IF(ITEquipmentTable[[#This Row],[Storage Location]] = "Assigned to Employee", _xlpm.emp, "N/A"))</f>
        <v>N/A</v>
      </c>
      <c r="O388" s="159" t="str" cm="1">
        <f t="array" ref="O38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38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388" s="1" t="s">
        <v>298</v>
      </c>
      <c r="T388" s="194"/>
      <c r="X388" s="1">
        <v>9596</v>
      </c>
      <c r="Y388" s="223" t="s">
        <v>1506</v>
      </c>
      <c r="Z388" s="1" t="b">
        <v>0</v>
      </c>
      <c r="AA388"/>
    </row>
    <row r="389" spans="1:27" s="1" customFormat="1" hidden="1" x14ac:dyDescent="0.2">
      <c r="A389" s="155">
        <v>49</v>
      </c>
      <c r="B389" s="1" t="s">
        <v>304</v>
      </c>
      <c r="C389" s="1" t="s">
        <v>308</v>
      </c>
      <c r="D389" s="1" t="s">
        <v>416</v>
      </c>
      <c r="E389" s="1" t="s">
        <v>310</v>
      </c>
      <c r="F389" s="195" t="s">
        <v>453</v>
      </c>
      <c r="G389" s="159" t="str">
        <f>_xlfn.XLOOKUP(ITEquipmentTable[[#This Row],[Name]], IntuneData[Device name], IntuneData[Serial number], "")</f>
        <v/>
      </c>
      <c r="H389" s="168" t="s">
        <v>318</v>
      </c>
      <c r="I389" s="168"/>
      <c r="J389" s="168"/>
      <c r="K389" s="223" t="s">
        <v>226</v>
      </c>
      <c r="L389" s="159" t="str">
        <f>_xlfn.LET(
_xlpm.look, _xlfn.XLOOKUP(ITEquipmentTable[[#This Row],[Name]], VNCTable[ClientName], VNCTable[IP], ""),
_xlpm.chkk, IF(ITEquipmentTable[[#This Row],[IPv4 Address]] = "N/A", "N/A", _xlpm.look),
IF(ITEquipmentTable[[#This Row],[Name]] = "", "", _xlpm.chkk))</f>
        <v>N/A</v>
      </c>
      <c r="M389" s="168" t="s">
        <v>226</v>
      </c>
      <c r="N389" s="161" t="str">
        <f>_xlfn.LET(_xlpm.emp, IF(_xlfn.XLOOKUP(ITEquipmentTable[[#This Row],[Assigned Employee]], EmployeeTable[name], EmployeeTable[Active], TRUE), "Employee", "Recover"),
IF(ITEquipmentTable[[#This Row],[Storage Location]] = "Assigned to Employee", _xlpm.emp, "N/A"))</f>
        <v>N/A</v>
      </c>
      <c r="O389" s="161" t="str" cm="1">
        <f t="array" ref="O38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38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389" s="168" t="s">
        <v>454</v>
      </c>
      <c r="R389" s="168" t="s">
        <v>351</v>
      </c>
      <c r="T389" s="194"/>
      <c r="X389" s="1">
        <v>9619</v>
      </c>
      <c r="Y389" s="223" t="s">
        <v>1510</v>
      </c>
      <c r="Z389" s="1" t="b">
        <v>0</v>
      </c>
      <c r="AA389"/>
    </row>
    <row r="390" spans="1:27" s="1" customFormat="1" hidden="1" x14ac:dyDescent="0.2">
      <c r="A390" s="155">
        <v>273</v>
      </c>
      <c r="B390" s="1" t="s">
        <v>294</v>
      </c>
      <c r="C390" s="1" t="s">
        <v>403</v>
      </c>
      <c r="D390" s="1" t="s">
        <v>1179</v>
      </c>
      <c r="E390" s="1" t="s">
        <v>306</v>
      </c>
      <c r="F390" s="195" t="s">
        <v>1794</v>
      </c>
      <c r="G390" s="159" t="str">
        <f>_xlfn.XLOOKUP(ITEquipmentTable[[#This Row],[Name]], IntuneData[Device name], IntuneData[Serial number], "")</f>
        <v/>
      </c>
      <c r="H390" s="168"/>
      <c r="I390" s="168"/>
      <c r="J390" s="168"/>
      <c r="K390" s="154" t="s">
        <v>508</v>
      </c>
      <c r="L390" s="159" t="str">
        <f>_xlfn.LET(
_xlpm.look, _xlfn.XLOOKUP(ITEquipmentTable[[#This Row],[Name]], VNCTable[ClientName], VNCTable[IP], ""),
_xlpm.chkk, IF(ITEquipmentTable[[#This Row],[IPv4 Address]] = "N/A", "N/A", _xlpm.look),
IF(ITEquipmentTable[[#This Row],[Name]] = "", "", _xlpm.chkk))</f>
        <v/>
      </c>
      <c r="M390" s="168" t="s">
        <v>1795</v>
      </c>
      <c r="N390" s="161" t="str">
        <f>_xlfn.LET(_xlpm.emp, IF(_xlfn.XLOOKUP(ITEquipmentTable[[#This Row],[Assigned Employee]], EmployeeTable[name], EmployeeTable[Active], TRUE), "Employee", "Recover"),
IF(ITEquipmentTable[[#This Row],[Storage Location]] = "Assigned to Employee", _xlpm.emp, "N/A"))</f>
        <v>N/A</v>
      </c>
      <c r="O390" s="161" t="str" cm="1">
        <f t="array" ref="O39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9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90" s="168"/>
      <c r="R390" s="168"/>
      <c r="S390" s="1" t="s">
        <v>405</v>
      </c>
      <c r="T390" s="194"/>
      <c r="X390" s="1">
        <v>9620</v>
      </c>
      <c r="Y390" s="223" t="s">
        <v>1512</v>
      </c>
      <c r="Z390" s="1" t="b">
        <v>0</v>
      </c>
      <c r="AA390"/>
    </row>
    <row r="391" spans="1:27" s="1" customFormat="1" hidden="1" x14ac:dyDescent="0.2">
      <c r="A391" s="155">
        <v>274</v>
      </c>
      <c r="B391" s="1" t="s">
        <v>294</v>
      </c>
      <c r="C391" s="1" t="s">
        <v>403</v>
      </c>
      <c r="D391" s="1" t="s">
        <v>1179</v>
      </c>
      <c r="E391" s="1" t="s">
        <v>306</v>
      </c>
      <c r="F391" s="195" t="s">
        <v>1796</v>
      </c>
      <c r="G391" s="159" t="str">
        <f>_xlfn.XLOOKUP(ITEquipmentTable[[#This Row],[Name]], IntuneData[Device name], IntuneData[Serial number], "")</f>
        <v/>
      </c>
      <c r="H391" s="168"/>
      <c r="I391" s="168"/>
      <c r="J391" s="168"/>
      <c r="K391" s="154" t="s">
        <v>508</v>
      </c>
      <c r="L391" s="159" t="str">
        <f>_xlfn.LET(
_xlpm.look, _xlfn.XLOOKUP(ITEquipmentTable[[#This Row],[Name]], VNCTable[ClientName], VNCTable[IP], ""),
_xlpm.chkk, IF(ITEquipmentTable[[#This Row],[IPv4 Address]] = "N/A", "N/A", _xlpm.look),
IF(ITEquipmentTable[[#This Row],[Name]] = "", "", _xlpm.chkk))</f>
        <v/>
      </c>
      <c r="M391" s="168" t="s">
        <v>1797</v>
      </c>
      <c r="N391" s="161" t="str">
        <f>_xlfn.LET(_xlpm.emp, IF(_xlfn.XLOOKUP(ITEquipmentTable[[#This Row],[Assigned Employee]], EmployeeTable[name], EmployeeTable[Active], TRUE), "Employee", "Recover"),
IF(ITEquipmentTable[[#This Row],[Storage Location]] = "Assigned to Employee", _xlpm.emp, "N/A"))</f>
        <v>N/A</v>
      </c>
      <c r="O391" s="161" t="str" cm="1">
        <f t="array" ref="O39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9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91" s="168"/>
      <c r="R391" s="168"/>
      <c r="S391" s="1" t="s">
        <v>405</v>
      </c>
      <c r="T391" s="194"/>
      <c r="X391" s="1">
        <v>9635</v>
      </c>
      <c r="Y391" s="223" t="s">
        <v>1514</v>
      </c>
      <c r="Z391" s="1" t="b">
        <v>0</v>
      </c>
      <c r="AA391"/>
    </row>
    <row r="392" spans="1:27" s="1" customFormat="1" hidden="1" x14ac:dyDescent="0.2">
      <c r="A392" s="155">
        <v>276</v>
      </c>
      <c r="B392" s="1" t="s">
        <v>294</v>
      </c>
      <c r="C392" s="1" t="s">
        <v>403</v>
      </c>
      <c r="D392" s="1" t="s">
        <v>1798</v>
      </c>
      <c r="E392" s="1" t="s">
        <v>306</v>
      </c>
      <c r="F392" s="195" t="s">
        <v>1799</v>
      </c>
      <c r="G392" s="159" t="str">
        <f>_xlfn.XLOOKUP(ITEquipmentTable[[#This Row],[Name]], IntuneData[Device name], IntuneData[Serial number], "")</f>
        <v/>
      </c>
      <c r="H392" s="168"/>
      <c r="I392" s="168"/>
      <c r="J392" s="168"/>
      <c r="K392" s="154" t="s">
        <v>508</v>
      </c>
      <c r="L392" s="159" t="str">
        <f>_xlfn.LET(
_xlpm.look, _xlfn.XLOOKUP(ITEquipmentTable[[#This Row],[Name]], VNCTable[ClientName], VNCTable[IP], ""),
_xlpm.chkk, IF(ITEquipmentTable[[#This Row],[IPv4 Address]] = "N/A", "N/A", _xlpm.look),
IF(ITEquipmentTable[[#This Row],[Name]] = "", "", _xlpm.chkk))</f>
        <v/>
      </c>
      <c r="M392" s="168" t="s">
        <v>1800</v>
      </c>
      <c r="N392" s="161" t="str">
        <f>_xlfn.LET(_xlpm.emp, IF(_xlfn.XLOOKUP(ITEquipmentTable[[#This Row],[Assigned Employee]], EmployeeTable[name], EmployeeTable[Active], TRUE), "Employee", "Recover"),
IF(ITEquipmentTable[[#This Row],[Storage Location]] = "Assigned to Employee", _xlpm.emp, "N/A"))</f>
        <v>N/A</v>
      </c>
      <c r="O392" s="161" t="str" cm="1">
        <f t="array" ref="O39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9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92" s="168"/>
      <c r="R392" s="168"/>
      <c r="S392" s="1" t="s">
        <v>405</v>
      </c>
      <c r="T392" s="194"/>
      <c r="X392" s="1">
        <v>9649</v>
      </c>
      <c r="Y392" s="223" t="s">
        <v>1517</v>
      </c>
      <c r="Z392" s="1" t="b">
        <v>0</v>
      </c>
      <c r="AA392"/>
    </row>
    <row r="393" spans="1:27" s="1" customFormat="1" hidden="1" x14ac:dyDescent="0.2">
      <c r="A393" s="155">
        <v>573</v>
      </c>
      <c r="F393" s="195"/>
      <c r="G393" s="164" t="str">
        <f>_xlfn.XLOOKUP(ITEquipmentTable[[#This Row],[Name]], IntuneData[Device name], IntuneData[Serial number], "")</f>
        <v/>
      </c>
      <c r="K393" s="154"/>
      <c r="L393" s="164" t="str">
        <f>_xlfn.LET(
_xlpm.look, _xlfn.XLOOKUP(ITEquipmentTable[[#This Row],[Name]], VNCTable[ClientName], VNCTable[IP], ""),
_xlpm.chkk, IF(ITEquipmentTable[[#This Row],[IPv4 Address]] = "N/A", "N/A", _xlpm.look),
IF(ITEquipmentTable[[#This Row],[Name]] = "", "", _xlpm.chkk))</f>
        <v/>
      </c>
      <c r="M393" s="1" t="s">
        <v>1848</v>
      </c>
      <c r="N393" s="159" t="str">
        <f>_xlfn.LET(_xlpm.emp, IF(_xlfn.XLOOKUP(ITEquipmentTable[[#This Row],[Assigned Employee]], EmployeeTable[name], EmployeeTable[Active], TRUE), "Employee", "Recover"),
IF(ITEquipmentTable[[#This Row],[Storage Location]] = "Assigned to Employee", _xlpm.emp, "N/A"))</f>
        <v>N/A</v>
      </c>
      <c r="O393" s="159" t="str" cm="1">
        <f t="array" ref="O39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39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393" s="1" t="s">
        <v>312</v>
      </c>
      <c r="S393" s="1" t="s">
        <v>298</v>
      </c>
      <c r="T393" s="194"/>
      <c r="X393" s="1">
        <v>9664</v>
      </c>
      <c r="Y393" s="223" t="s">
        <v>1519</v>
      </c>
      <c r="Z393" s="1" t="b">
        <v>0</v>
      </c>
      <c r="AA393"/>
    </row>
    <row r="394" spans="1:27" s="1" customFormat="1" hidden="1" x14ac:dyDescent="0.2">
      <c r="A394" s="155">
        <v>574</v>
      </c>
      <c r="F394" s="195"/>
      <c r="G394" s="164" t="str">
        <f>_xlfn.XLOOKUP(ITEquipmentTable[[#This Row],[Name]], IntuneData[Device name], IntuneData[Serial number], "")</f>
        <v/>
      </c>
      <c r="K394" s="154"/>
      <c r="L394" s="164" t="str">
        <f>_xlfn.LET(
_xlpm.look, _xlfn.XLOOKUP(ITEquipmentTable[[#This Row],[Name]], VNCTable[ClientName], VNCTable[IP], ""),
_xlpm.chkk, IF(ITEquipmentTable[[#This Row],[IPv4 Address]] = "N/A", "N/A", _xlpm.look),
IF(ITEquipmentTable[[#This Row],[Name]] = "", "", _xlpm.chkk))</f>
        <v/>
      </c>
      <c r="M394" s="1" t="s">
        <v>1849</v>
      </c>
      <c r="N394" s="159" t="str">
        <f>_xlfn.LET(_xlpm.emp, IF(_xlfn.XLOOKUP(ITEquipmentTable[[#This Row],[Assigned Employee]], EmployeeTable[name], EmployeeTable[Active], TRUE), "Employee", "Recover"),
IF(ITEquipmentTable[[#This Row],[Storage Location]] = "Assigned to Employee", _xlpm.emp, "N/A"))</f>
        <v>N/A</v>
      </c>
      <c r="O394" s="159" t="str" cm="1">
        <f t="array" ref="O39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39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394" s="1" t="s">
        <v>312</v>
      </c>
      <c r="S394" s="1" t="s">
        <v>298</v>
      </c>
      <c r="T394" s="194"/>
      <c r="X394" s="1">
        <v>9701</v>
      </c>
      <c r="Y394" s="223" t="s">
        <v>1522</v>
      </c>
      <c r="Z394" s="1" t="b">
        <v>0</v>
      </c>
      <c r="AA394"/>
    </row>
    <row r="395" spans="1:27" s="1" customFormat="1" hidden="1" x14ac:dyDescent="0.2">
      <c r="A395" s="155">
        <v>575</v>
      </c>
      <c r="F395" s="195"/>
      <c r="G395" s="164" t="str">
        <f>_xlfn.XLOOKUP(ITEquipmentTable[[#This Row],[Name]], IntuneData[Device name], IntuneData[Serial number], "")</f>
        <v/>
      </c>
      <c r="K395" s="154"/>
      <c r="L395" s="164" t="str">
        <f>_xlfn.LET(
_xlpm.look, _xlfn.XLOOKUP(ITEquipmentTable[[#This Row],[Name]], VNCTable[ClientName], VNCTable[IP], ""),
_xlpm.chkk, IF(ITEquipmentTable[[#This Row],[IPv4 Address]] = "N/A", "N/A", _xlpm.look),
IF(ITEquipmentTable[[#This Row],[Name]] = "", "", _xlpm.chkk))</f>
        <v/>
      </c>
      <c r="M395" s="1" t="s">
        <v>1850</v>
      </c>
      <c r="N395" s="159" t="str">
        <f>_xlfn.LET(_xlpm.emp, IF(_xlfn.XLOOKUP(ITEquipmentTable[[#This Row],[Assigned Employee]], EmployeeTable[name], EmployeeTable[Active], TRUE), "Employee", "Recover"),
IF(ITEquipmentTable[[#This Row],[Storage Location]] = "Assigned to Employee", _xlpm.emp, "N/A"))</f>
        <v>N/A</v>
      </c>
      <c r="O395" s="159" t="str" cm="1">
        <f t="array" ref="O39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39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395" s="1" t="s">
        <v>312</v>
      </c>
      <c r="S395" s="1" t="s">
        <v>298</v>
      </c>
      <c r="T395" s="194"/>
      <c r="X395" s="1">
        <v>9817</v>
      </c>
      <c r="Y395" s="223" t="s">
        <v>1525</v>
      </c>
      <c r="Z395" s="1" t="b">
        <v>0</v>
      </c>
      <c r="AA395"/>
    </row>
    <row r="396" spans="1:27" s="1" customFormat="1" hidden="1" x14ac:dyDescent="0.2">
      <c r="A396" s="155">
        <v>576</v>
      </c>
      <c r="F396" s="195"/>
      <c r="G396" s="164" t="str">
        <f>_xlfn.XLOOKUP(ITEquipmentTable[[#This Row],[Name]], IntuneData[Device name], IntuneData[Serial number], "")</f>
        <v/>
      </c>
      <c r="K396" s="154"/>
      <c r="L396" s="164" t="str">
        <f>_xlfn.LET(
_xlpm.look, _xlfn.XLOOKUP(ITEquipmentTable[[#This Row],[Name]], VNCTable[ClientName], VNCTable[IP], ""),
_xlpm.chkk, IF(ITEquipmentTable[[#This Row],[IPv4 Address]] = "N/A", "N/A", _xlpm.look),
IF(ITEquipmentTable[[#This Row],[Name]] = "", "", _xlpm.chkk))</f>
        <v/>
      </c>
      <c r="M396" s="1" t="s">
        <v>1851</v>
      </c>
      <c r="N396" s="159" t="str">
        <f>_xlfn.LET(_xlpm.emp, IF(_xlfn.XLOOKUP(ITEquipmentTable[[#This Row],[Assigned Employee]], EmployeeTable[name], EmployeeTable[Active], TRUE), "Employee", "Recover"),
IF(ITEquipmentTable[[#This Row],[Storage Location]] = "Assigned to Employee", _xlpm.emp, "N/A"))</f>
        <v>N/A</v>
      </c>
      <c r="O396" s="159" t="str" cm="1">
        <f t="array" ref="O39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39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396" s="1" t="s">
        <v>312</v>
      </c>
      <c r="S396" s="1" t="s">
        <v>298</v>
      </c>
      <c r="T396" s="194"/>
      <c r="X396" s="1">
        <v>9835</v>
      </c>
      <c r="Y396" s="223" t="s">
        <v>1527</v>
      </c>
      <c r="Z396" s="1" t="b">
        <v>0</v>
      </c>
      <c r="AA396"/>
    </row>
    <row r="397" spans="1:27" s="1" customFormat="1" hidden="1" x14ac:dyDescent="0.2">
      <c r="A397" s="155">
        <v>577</v>
      </c>
      <c r="F397" s="195"/>
      <c r="G397" s="164" t="str">
        <f>_xlfn.XLOOKUP(ITEquipmentTable[[#This Row],[Name]], IntuneData[Device name], IntuneData[Serial number], "")</f>
        <v/>
      </c>
      <c r="K397" s="154"/>
      <c r="L397" s="164" t="str">
        <f>_xlfn.LET(
_xlpm.look, _xlfn.XLOOKUP(ITEquipmentTable[[#This Row],[Name]], VNCTable[ClientName], VNCTable[IP], ""),
_xlpm.chkk, IF(ITEquipmentTable[[#This Row],[IPv4 Address]] = "N/A", "N/A", _xlpm.look),
IF(ITEquipmentTable[[#This Row],[Name]] = "", "", _xlpm.chkk))</f>
        <v/>
      </c>
      <c r="M397" s="1" t="s">
        <v>1852</v>
      </c>
      <c r="N397" s="159" t="str">
        <f>_xlfn.LET(_xlpm.emp, IF(_xlfn.XLOOKUP(ITEquipmentTable[[#This Row],[Assigned Employee]], EmployeeTable[name], EmployeeTable[Active], TRUE), "Employee", "Recover"),
IF(ITEquipmentTable[[#This Row],[Storage Location]] = "Assigned to Employee", _xlpm.emp, "N/A"))</f>
        <v>N/A</v>
      </c>
      <c r="O397" s="159" t="str" cm="1">
        <f t="array" ref="O39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39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397" s="1" t="s">
        <v>312</v>
      </c>
      <c r="S397" s="1" t="s">
        <v>298</v>
      </c>
      <c r="T397" s="194"/>
      <c r="X397" s="1">
        <v>9886</v>
      </c>
      <c r="Y397" s="223" t="s">
        <v>1532</v>
      </c>
      <c r="Z397" s="1" t="b">
        <v>0</v>
      </c>
      <c r="AA397"/>
    </row>
    <row r="398" spans="1:27" s="1" customFormat="1" x14ac:dyDescent="0.2">
      <c r="A398" s="155">
        <v>277</v>
      </c>
      <c r="B398" s="189" t="s">
        <v>304</v>
      </c>
      <c r="C398" s="189" t="s">
        <v>403</v>
      </c>
      <c r="D398" s="189" t="s">
        <v>568</v>
      </c>
      <c r="E398" s="189" t="s">
        <v>306</v>
      </c>
      <c r="F398" s="195"/>
      <c r="G398" s="159" t="str">
        <f>_xlfn.XLOOKUP(ITEquipmentTable[[#This Row],[Name]], IntuneData[Device name], IntuneData[Serial number], "")</f>
        <v/>
      </c>
      <c r="H398" s="193" t="s">
        <v>295</v>
      </c>
      <c r="I398" s="193" t="s">
        <v>1128</v>
      </c>
      <c r="J398" s="193"/>
      <c r="K398" s="154" t="s">
        <v>2780</v>
      </c>
      <c r="L398" s="159" t="str">
        <f>_xlfn.LET(
_xlpm.look, _xlfn.XLOOKUP(ITEquipmentTable[[#This Row],[Name]], VNCTable[ClientName], VNCTable[IP], ""),
_xlpm.chkk, IF(ITEquipmentTable[[#This Row],[IPv4 Address]] = "N/A", "N/A", _xlpm.look),
IF(ITEquipmentTable[[#This Row],[Name]] = "", "", _xlpm.chkk))</f>
        <v>10.68.134.209</v>
      </c>
      <c r="M398" s="193" t="s">
        <v>1130</v>
      </c>
      <c r="N398" s="161" t="str">
        <f>_xlfn.LET(_xlpm.emp, IF(_xlfn.XLOOKUP(ITEquipmentTable[[#This Row],[Assigned Employee]], EmployeeTable[name], EmployeeTable[Active], TRUE), "Employee", "Recover"),
IF(ITEquipmentTable[[#This Row],[Storage Location]] = "Assigned to Employee", _xlpm.emp, "N/A"))</f>
        <v>N/A</v>
      </c>
      <c r="O398" s="161" t="str" cm="1">
        <f t="array" ref="O39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39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398" s="193"/>
      <c r="R398" s="189" t="s">
        <v>312</v>
      </c>
      <c r="S398" s="189" t="s">
        <v>319</v>
      </c>
      <c r="T398" s="194"/>
      <c r="X398" s="1">
        <v>9887</v>
      </c>
      <c r="Y398" s="223" t="s">
        <v>1535</v>
      </c>
      <c r="Z398" s="1" t="b">
        <v>0</v>
      </c>
      <c r="AA398"/>
    </row>
    <row r="399" spans="1:27" s="1" customFormat="1" hidden="1" x14ac:dyDescent="0.2">
      <c r="A399" s="155">
        <v>593</v>
      </c>
      <c r="B399" s="1" t="s">
        <v>304</v>
      </c>
      <c r="F399" s="195"/>
      <c r="G399" s="159" t="str">
        <f>_xlfn.XLOOKUP(ITEquipmentTable[[#This Row],[Name]], IntuneData[Device name], IntuneData[Serial number], "")</f>
        <v/>
      </c>
      <c r="H399" s="1" t="s">
        <v>295</v>
      </c>
      <c r="K399" s="154" t="s">
        <v>1787</v>
      </c>
      <c r="L399" s="159" t="str">
        <f>_xlfn.LET(
_xlpm.look, _xlfn.XLOOKUP(ITEquipmentTable[[#This Row],[Name]], VNCTable[ClientName], VNCTable[IP], ""),
_xlpm.chkk, IF(ITEquipmentTable[[#This Row],[IPv4 Address]] = "N/A", "N/A", _xlpm.look),
IF(ITEquipmentTable[[#This Row],[Name]] = "", "", _xlpm.chkk))</f>
        <v>172.18.74.182</v>
      </c>
      <c r="M399" s="1" t="s">
        <v>1788</v>
      </c>
      <c r="N399" s="159" t="str">
        <f>_xlfn.LET(_xlpm.emp, IF(_xlfn.XLOOKUP(ITEquipmentTable[[#This Row],[Assigned Employee]], EmployeeTable[name], EmployeeTable[Active], TRUE), "Employee", "Recover"),
IF(ITEquipmentTable[[#This Row],[Storage Location]] = "Assigned to Employee", _xlpm.emp, "N/A"))</f>
        <v>N/A</v>
      </c>
      <c r="O399" s="161" t="str" cm="1">
        <f t="array" ref="O39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39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399" s="1" t="s">
        <v>312</v>
      </c>
      <c r="T399" s="194"/>
      <c r="X399" s="1">
        <v>9890</v>
      </c>
      <c r="Y399" s="223" t="s">
        <v>1539</v>
      </c>
      <c r="Z399" s="1" t="b">
        <v>0</v>
      </c>
      <c r="AA399"/>
    </row>
    <row r="400" spans="1:27" s="1" customFormat="1" x14ac:dyDescent="0.2">
      <c r="A400" s="155">
        <v>594</v>
      </c>
      <c r="B400" s="1" t="s">
        <v>304</v>
      </c>
      <c r="C400" s="1" t="s">
        <v>403</v>
      </c>
      <c r="E400" s="1" t="s">
        <v>306</v>
      </c>
      <c r="F400" s="195"/>
      <c r="G400" s="159" t="str">
        <f>_xlfn.XLOOKUP(ITEquipmentTable[[#This Row],[Name]], IntuneData[Device name], IntuneData[Serial number], "")</f>
        <v/>
      </c>
      <c r="K400" s="154"/>
      <c r="L400" s="159" t="str">
        <f>_xlfn.LET(
_xlpm.look, _xlfn.XLOOKUP(ITEquipmentTable[[#This Row],[Name]], VNCTable[ClientName], VNCTable[IP], ""),
_xlpm.chkk, IF(ITEquipmentTable[[#This Row],[IPv4 Address]] = "N/A", "N/A", _xlpm.look),
IF(ITEquipmentTable[[#This Row],[Name]] = "", "", _xlpm.chkk))</f>
        <v/>
      </c>
      <c r="M400" s="1" t="s">
        <v>1789</v>
      </c>
      <c r="N400" s="159" t="str">
        <f>_xlfn.LET(_xlpm.emp, IF(_xlfn.XLOOKUP(ITEquipmentTable[[#This Row],[Assigned Employee]], EmployeeTable[name], EmployeeTable[Active], TRUE), "Employee", "Recover"),
IF(ITEquipmentTable[[#This Row],[Storage Location]] = "Assigned to Employee", _xlpm.emp, "N/A"))</f>
        <v>N/A</v>
      </c>
      <c r="O400" s="161" t="str" cm="1">
        <f t="array" ref="O40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0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400" s="1" t="s">
        <v>298</v>
      </c>
      <c r="T400" s="194"/>
      <c r="X400" s="1">
        <v>9901</v>
      </c>
      <c r="Y400" s="223" t="s">
        <v>1542</v>
      </c>
      <c r="Z400" s="1" t="b">
        <v>0</v>
      </c>
      <c r="AA400"/>
    </row>
    <row r="401" spans="1:27" s="1" customFormat="1" x14ac:dyDescent="0.2">
      <c r="A401" s="155">
        <v>595</v>
      </c>
      <c r="B401" s="1" t="s">
        <v>304</v>
      </c>
      <c r="C401" s="1" t="s">
        <v>403</v>
      </c>
      <c r="E401" s="1" t="s">
        <v>306</v>
      </c>
      <c r="F401" s="195"/>
      <c r="G401" s="159" t="str">
        <f>_xlfn.XLOOKUP(ITEquipmentTable[[#This Row],[Name]], IntuneData[Device name], IntuneData[Serial number], "")</f>
        <v/>
      </c>
      <c r="K401" s="154"/>
      <c r="L401" s="159" t="str">
        <f>_xlfn.LET(
_xlpm.look, _xlfn.XLOOKUP(ITEquipmentTable[[#This Row],[Name]], VNCTable[ClientName], VNCTable[IP], ""),
_xlpm.chkk, IF(ITEquipmentTable[[#This Row],[IPv4 Address]] = "N/A", "N/A", _xlpm.look),
IF(ITEquipmentTable[[#This Row],[Name]] = "", "", _xlpm.chkk))</f>
        <v/>
      </c>
      <c r="M401" s="1" t="s">
        <v>1790</v>
      </c>
      <c r="N401" s="159" t="str">
        <f>_xlfn.LET(_xlpm.emp, IF(_xlfn.XLOOKUP(ITEquipmentTable[[#This Row],[Assigned Employee]], EmployeeTable[name], EmployeeTable[Active], TRUE), "Employee", "Recover"),
IF(ITEquipmentTable[[#This Row],[Storage Location]] = "Assigned to Employee", _xlpm.emp, "N/A"))</f>
        <v>N/A</v>
      </c>
      <c r="O401" s="161" t="str" cm="1">
        <f t="array" ref="O40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0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401" s="1" t="s">
        <v>298</v>
      </c>
      <c r="T401" s="194"/>
      <c r="X401" s="1">
        <v>9902</v>
      </c>
      <c r="Y401" s="223" t="s">
        <v>1545</v>
      </c>
      <c r="Z401" s="1" t="b">
        <v>0</v>
      </c>
      <c r="AA401"/>
    </row>
    <row r="402" spans="1:27" s="1" customFormat="1" x14ac:dyDescent="0.2">
      <c r="A402" s="155">
        <v>282</v>
      </c>
      <c r="B402" s="189" t="s">
        <v>304</v>
      </c>
      <c r="C402" s="189" t="s">
        <v>403</v>
      </c>
      <c r="D402" s="189" t="s">
        <v>568</v>
      </c>
      <c r="E402" s="189" t="s">
        <v>306</v>
      </c>
      <c r="F402" s="195"/>
      <c r="G402" s="159" t="str">
        <f>_xlfn.XLOOKUP(ITEquipmentTable[[#This Row],[Name]], IntuneData[Device name], IntuneData[Serial number], "")</f>
        <v/>
      </c>
      <c r="H402" s="189" t="s">
        <v>295</v>
      </c>
      <c r="I402" s="189" t="s">
        <v>1139</v>
      </c>
      <c r="J402" s="189"/>
      <c r="K402" s="219" t="s">
        <v>1140</v>
      </c>
      <c r="L402" s="159" t="str">
        <f>_xlfn.LET(
_xlpm.look, _xlfn.XLOOKUP(ITEquipmentTable[[#This Row],[Name]], VNCTable[ClientName], VNCTable[IP], ""),
_xlpm.chkk, IF(ITEquipmentTable[[#This Row],[IPv4 Address]] = "N/A", "N/A", _xlpm.look),
IF(ITEquipmentTable[[#This Row],[Name]] = "", "", _xlpm.chkk))</f>
        <v>10.68.89.96</v>
      </c>
      <c r="M402" s="189" t="s">
        <v>1141</v>
      </c>
      <c r="N402" s="159" t="str">
        <f>_xlfn.LET(_xlpm.emp, IF(_xlfn.XLOOKUP(ITEquipmentTable[[#This Row],[Assigned Employee]], EmployeeTable[name], EmployeeTable[Active], TRUE), "Employee", "Recover"),
IF(ITEquipmentTable[[#This Row],[Storage Location]] = "Assigned to Employee", _xlpm.emp, "N/A"))</f>
        <v>N/A</v>
      </c>
      <c r="O402" s="159" t="str" cm="1">
        <f t="array" ref="O40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0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02" s="189"/>
      <c r="R402" s="189" t="s">
        <v>312</v>
      </c>
      <c r="S402" s="189" t="s">
        <v>319</v>
      </c>
      <c r="T402" s="194"/>
      <c r="X402" s="1">
        <v>9903</v>
      </c>
      <c r="Y402" s="223" t="s">
        <v>1548</v>
      </c>
      <c r="Z402" s="1" t="b">
        <v>0</v>
      </c>
      <c r="AA402"/>
    </row>
    <row r="403" spans="1:27" s="1" customFormat="1" x14ac:dyDescent="0.2">
      <c r="A403" s="155">
        <v>286</v>
      </c>
      <c r="B403" s="189" t="s">
        <v>304</v>
      </c>
      <c r="C403" s="189" t="s">
        <v>403</v>
      </c>
      <c r="D403" s="189" t="s">
        <v>568</v>
      </c>
      <c r="E403" s="189" t="s">
        <v>306</v>
      </c>
      <c r="F403" s="195" t="s">
        <v>1151</v>
      </c>
      <c r="G403" s="159" t="str">
        <f>_xlfn.XLOOKUP(ITEquipmentTable[[#This Row],[Name]], IntuneData[Device name], IntuneData[Serial number], "")</f>
        <v/>
      </c>
      <c r="H403" s="189" t="s">
        <v>295</v>
      </c>
      <c r="I403" s="189" t="s">
        <v>1111</v>
      </c>
      <c r="J403" s="189"/>
      <c r="K403" s="219" t="s">
        <v>1152</v>
      </c>
      <c r="L403" s="159" t="str">
        <f>_xlfn.LET(
_xlpm.look, _xlfn.XLOOKUP(ITEquipmentTable[[#This Row],[Name]], VNCTable[ClientName], VNCTable[IP], ""),
_xlpm.chkk, IF(ITEquipmentTable[[#This Row],[IPv4 Address]] = "N/A", "N/A", _xlpm.look),
IF(ITEquipmentTable[[#This Row],[Name]] = "", "", _xlpm.chkk))</f>
        <v/>
      </c>
      <c r="M403" s="189" t="s">
        <v>1153</v>
      </c>
      <c r="N403" s="159" t="str">
        <f>_xlfn.LET(_xlpm.emp, IF(_xlfn.XLOOKUP(ITEquipmentTable[[#This Row],[Assigned Employee]], EmployeeTable[name], EmployeeTable[Active], TRUE), "Employee", "Recover"),
IF(ITEquipmentTable[[#This Row],[Storage Location]] = "Assigned to Employee", _xlpm.emp, "N/A"))</f>
        <v>N/A</v>
      </c>
      <c r="O403" s="159" t="str" cm="1">
        <f t="array" ref="O40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0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03" s="189"/>
      <c r="R403" s="189" t="s">
        <v>312</v>
      </c>
      <c r="S403" s="189"/>
      <c r="T403" s="194"/>
      <c r="X403" s="1">
        <v>9908</v>
      </c>
      <c r="Y403" s="223" t="s">
        <v>1551</v>
      </c>
      <c r="Z403" s="1" t="b">
        <v>0</v>
      </c>
      <c r="AA403"/>
    </row>
    <row r="404" spans="1:27" s="1" customFormat="1" x14ac:dyDescent="0.2">
      <c r="A404" s="155">
        <v>596</v>
      </c>
      <c r="B404" s="1" t="s">
        <v>304</v>
      </c>
      <c r="C404" s="1" t="s">
        <v>403</v>
      </c>
      <c r="E404" s="1" t="s">
        <v>306</v>
      </c>
      <c r="F404" s="195"/>
      <c r="G404" s="159" t="str">
        <f>_xlfn.XLOOKUP(ITEquipmentTable[[#This Row],[Name]], IntuneData[Device name], IntuneData[Serial number], "")</f>
        <v/>
      </c>
      <c r="K404" s="154"/>
      <c r="L404" s="159" t="str">
        <f>_xlfn.LET(
_xlpm.look, _xlfn.XLOOKUP(ITEquipmentTable[[#This Row],[Name]], VNCTable[ClientName], VNCTable[IP], ""),
_xlpm.chkk, IF(ITEquipmentTable[[#This Row],[IPv4 Address]] = "N/A", "N/A", _xlpm.look),
IF(ITEquipmentTable[[#This Row],[Name]] = "", "", _xlpm.chkk))</f>
        <v/>
      </c>
      <c r="M404" s="1" t="s">
        <v>1853</v>
      </c>
      <c r="N404" s="159" t="str">
        <f>_xlfn.LET(_xlpm.emp, IF(_xlfn.XLOOKUP(ITEquipmentTable[[#This Row],[Assigned Employee]], EmployeeTable[name], EmployeeTable[Active], TRUE), "Employee", "Recover"),
IF(ITEquipmentTable[[#This Row],[Storage Location]] = "Assigned to Employee", _xlpm.emp, "N/A"))</f>
        <v>N/A</v>
      </c>
      <c r="O404" s="161" t="str" cm="1">
        <f t="array" ref="O40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0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404" s="1" t="s">
        <v>298</v>
      </c>
      <c r="T404" s="194"/>
      <c r="X404" s="1">
        <v>9939</v>
      </c>
      <c r="Y404" s="223" t="s">
        <v>1554</v>
      </c>
      <c r="Z404" s="1" t="b">
        <v>0</v>
      </c>
      <c r="AA404"/>
    </row>
    <row r="405" spans="1:27" s="1" customFormat="1" x14ac:dyDescent="0.2">
      <c r="A405" s="155">
        <v>481</v>
      </c>
      <c r="B405" s="1" t="s">
        <v>304</v>
      </c>
      <c r="C405" s="189" t="s">
        <v>403</v>
      </c>
      <c r="D405" s="189" t="s">
        <v>568</v>
      </c>
      <c r="E405" s="189" t="s">
        <v>306</v>
      </c>
      <c r="F405" s="195" t="s">
        <v>1760</v>
      </c>
      <c r="G405" s="159" t="str">
        <f>_xlfn.XLOOKUP(ITEquipmentTable[[#This Row],[Name]], IntuneData[Device name], IntuneData[Serial number], "")</f>
        <v/>
      </c>
      <c r="H405" s="1" t="s">
        <v>295</v>
      </c>
      <c r="I405" s="1" t="s">
        <v>1102</v>
      </c>
      <c r="K405" s="154" t="s">
        <v>1761</v>
      </c>
      <c r="L405" s="159" t="str">
        <f>_xlfn.LET(
_xlpm.look, _xlfn.XLOOKUP(ITEquipmentTable[[#This Row],[Name]], VNCTable[ClientName], VNCTable[IP], ""),
_xlpm.chkk, IF(ITEquipmentTable[[#This Row],[IPv4 Address]] = "N/A", "N/A", _xlpm.look),
IF(ITEquipmentTable[[#This Row],[Name]] = "", "", _xlpm.chkk))</f>
        <v/>
      </c>
      <c r="M405" s="1" t="s">
        <v>1762</v>
      </c>
      <c r="N405" s="159" t="str">
        <f>_xlfn.LET(_xlpm.emp, IF(_xlfn.XLOOKUP(ITEquipmentTable[[#This Row],[Assigned Employee]], EmployeeTable[name], EmployeeTable[Active], TRUE), "Employee", "Recover"),
IF(ITEquipmentTable[[#This Row],[Storage Location]] = "Assigned to Employee", _xlpm.emp, "N/A"))</f>
        <v>N/A</v>
      </c>
      <c r="O405" s="159" t="str" cm="1">
        <f t="array" ref="O40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0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05" s="193" t="s">
        <v>312</v>
      </c>
      <c r="T405" s="194"/>
      <c r="X405" s="1">
        <v>9940</v>
      </c>
      <c r="Y405" s="223" t="s">
        <v>1557</v>
      </c>
      <c r="Z405" s="1" t="b">
        <v>0</v>
      </c>
      <c r="AA405"/>
    </row>
    <row r="406" spans="1:27" s="1" customFormat="1" x14ac:dyDescent="0.2">
      <c r="A406" s="155">
        <v>288</v>
      </c>
      <c r="B406" s="189" t="s">
        <v>304</v>
      </c>
      <c r="C406" s="189" t="s">
        <v>403</v>
      </c>
      <c r="D406" s="189" t="s">
        <v>568</v>
      </c>
      <c r="E406" s="189" t="s">
        <v>306</v>
      </c>
      <c r="F406" s="195" t="s">
        <v>1232</v>
      </c>
      <c r="G406" s="266" t="str">
        <f>_xlfn.XLOOKUP(ITEquipmentTable[[#This Row],[Name]], IntuneData[Device name], IntuneData[Serial number], "")</f>
        <v/>
      </c>
      <c r="H406" s="189" t="s">
        <v>295</v>
      </c>
      <c r="I406" s="189" t="s">
        <v>1092</v>
      </c>
      <c r="J406" s="189"/>
      <c r="K406" s="219" t="s">
        <v>1233</v>
      </c>
      <c r="L406" s="266" t="str">
        <f>_xlfn.LET(
_xlpm.look, _xlfn.XLOOKUP(ITEquipmentTable[[#This Row],[Name]], VNCTable[ClientName], VNCTable[IP], ""),
_xlpm.chkk, IF(ITEquipmentTable[[#This Row],[IPv4 Address]] = "N/A", "N/A", _xlpm.look),
IF(ITEquipmentTable[[#This Row],[Name]] = "", "", _xlpm.chkk))</f>
        <v/>
      </c>
      <c r="M406" s="189" t="s">
        <v>1234</v>
      </c>
      <c r="N406" s="159" t="str">
        <f>_xlfn.LET(_xlpm.emp, IF(_xlfn.XLOOKUP(ITEquipmentTable[[#This Row],[Assigned Employee]], EmployeeTable[name], EmployeeTable[Active], TRUE), "Employee", "Recover"),
IF(ITEquipmentTable[[#This Row],[Storage Location]] = "Assigned to Employee", _xlpm.emp, "N/A"))</f>
        <v>N/A</v>
      </c>
      <c r="O406" s="159" t="str" cm="1">
        <f t="array" ref="O40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0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06" s="189"/>
      <c r="R406" s="189" t="s">
        <v>312</v>
      </c>
      <c r="S406" s="189"/>
      <c r="T406" s="194"/>
      <c r="X406" s="1">
        <v>9941</v>
      </c>
      <c r="Y406" s="223" t="s">
        <v>1560</v>
      </c>
      <c r="Z406" s="1" t="b">
        <v>0</v>
      </c>
      <c r="AA406"/>
    </row>
    <row r="407" spans="1:27" s="1" customFormat="1" x14ac:dyDescent="0.2">
      <c r="A407" s="155">
        <v>289</v>
      </c>
      <c r="B407" s="189" t="s">
        <v>304</v>
      </c>
      <c r="C407" s="189" t="s">
        <v>403</v>
      </c>
      <c r="D407" s="189" t="s">
        <v>568</v>
      </c>
      <c r="E407" s="189" t="s">
        <v>306</v>
      </c>
      <c r="F407" s="195" t="s">
        <v>1236</v>
      </c>
      <c r="G407" s="266" t="str">
        <f>_xlfn.XLOOKUP(ITEquipmentTable[[#This Row],[Name]], IntuneData[Device name], IntuneData[Serial number], "")</f>
        <v/>
      </c>
      <c r="H407" s="189" t="s">
        <v>295</v>
      </c>
      <c r="I407" s="189" t="s">
        <v>1083</v>
      </c>
      <c r="J407" s="189"/>
      <c r="K407" s="219" t="s">
        <v>1237</v>
      </c>
      <c r="L407" s="266" t="str">
        <f>_xlfn.LET(
_xlpm.look, _xlfn.XLOOKUP(ITEquipmentTable[[#This Row],[Name]], VNCTable[ClientName], VNCTable[IP], ""),
_xlpm.chkk, IF(ITEquipmentTable[[#This Row],[IPv4 Address]] = "N/A", "N/A", _xlpm.look),
IF(ITEquipmentTable[[#This Row],[Name]] = "", "", _xlpm.chkk))</f>
        <v/>
      </c>
      <c r="M407" s="189" t="s">
        <v>1238</v>
      </c>
      <c r="N407" s="159" t="str">
        <f>_xlfn.LET(_xlpm.emp, IF(_xlfn.XLOOKUP(ITEquipmentTable[[#This Row],[Assigned Employee]], EmployeeTable[name], EmployeeTable[Active], TRUE), "Employee", "Recover"),
IF(ITEquipmentTable[[#This Row],[Storage Location]] = "Assigned to Employee", _xlpm.emp, "N/A"))</f>
        <v>N/A</v>
      </c>
      <c r="O407" s="159" t="str" cm="1">
        <f t="array" ref="O40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0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07" s="189"/>
      <c r="R407" s="189" t="s">
        <v>312</v>
      </c>
      <c r="S407" s="189"/>
      <c r="T407" s="194"/>
      <c r="X407" s="1">
        <v>9962</v>
      </c>
      <c r="Y407" s="223" t="s">
        <v>1562</v>
      </c>
      <c r="Z407" s="1" t="b">
        <v>0</v>
      </c>
      <c r="AA407"/>
    </row>
    <row r="408" spans="1:27" s="1" customFormat="1" x14ac:dyDescent="0.2">
      <c r="A408" s="155">
        <v>290</v>
      </c>
      <c r="B408" s="189" t="s">
        <v>304</v>
      </c>
      <c r="C408" s="189" t="s">
        <v>403</v>
      </c>
      <c r="D408" s="189" t="s">
        <v>568</v>
      </c>
      <c r="E408" s="189" t="s">
        <v>306</v>
      </c>
      <c r="F408" s="195" t="s">
        <v>1253</v>
      </c>
      <c r="G408" s="266" t="str">
        <f>_xlfn.XLOOKUP(ITEquipmentTable[[#This Row],[Name]], IntuneData[Device name], IntuneData[Serial number], "")</f>
        <v/>
      </c>
      <c r="H408" s="189" t="s">
        <v>295</v>
      </c>
      <c r="I408" s="189" t="s">
        <v>1076</v>
      </c>
      <c r="J408" s="189"/>
      <c r="K408" s="219" t="s">
        <v>1254</v>
      </c>
      <c r="L408" s="266" t="str">
        <f>_xlfn.LET(
_xlpm.look, _xlfn.XLOOKUP(ITEquipmentTable[[#This Row],[Name]], VNCTable[ClientName], VNCTable[IP], ""),
_xlpm.chkk, IF(ITEquipmentTable[[#This Row],[IPv4 Address]] = "N/A", "N/A", _xlpm.look),
IF(ITEquipmentTable[[#This Row],[Name]] = "", "", _xlpm.chkk))</f>
        <v/>
      </c>
      <c r="M408" s="189" t="s">
        <v>1255</v>
      </c>
      <c r="N408" s="159" t="str">
        <f>_xlfn.LET(_xlpm.emp, IF(_xlfn.XLOOKUP(ITEquipmentTable[[#This Row],[Assigned Employee]], EmployeeTable[name], EmployeeTable[Active], TRUE), "Employee", "Recover"),
IF(ITEquipmentTable[[#This Row],[Storage Location]] = "Assigned to Employee", _xlpm.emp, "N/A"))</f>
        <v>N/A</v>
      </c>
      <c r="O408" s="159" t="str" cm="1">
        <f t="array" ref="O40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0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08" s="189"/>
      <c r="R408" s="189" t="s">
        <v>312</v>
      </c>
      <c r="S408" s="189"/>
      <c r="T408" s="194"/>
      <c r="X408" s="1">
        <v>9963</v>
      </c>
      <c r="Y408" s="223" t="s">
        <v>1565</v>
      </c>
      <c r="Z408" s="1" t="b">
        <v>0</v>
      </c>
      <c r="AA408"/>
    </row>
    <row r="409" spans="1:27" s="1" customFormat="1" x14ac:dyDescent="0.2">
      <c r="A409" s="155">
        <v>291</v>
      </c>
      <c r="B409" s="189" t="s">
        <v>304</v>
      </c>
      <c r="C409" s="189" t="s">
        <v>403</v>
      </c>
      <c r="D409" s="189" t="s">
        <v>568</v>
      </c>
      <c r="E409" s="189" t="s">
        <v>306</v>
      </c>
      <c r="F409" s="195" t="s">
        <v>3331</v>
      </c>
      <c r="G409" s="266" t="str">
        <f>_xlfn.XLOOKUP(ITEquipmentTable[[#This Row],[Name]], IntuneData[Device name], IntuneData[Serial number], "")</f>
        <v/>
      </c>
      <c r="H409" s="189" t="s">
        <v>295</v>
      </c>
      <c r="I409" s="189" t="s">
        <v>1067</v>
      </c>
      <c r="J409" s="189"/>
      <c r="K409" s="219" t="s">
        <v>1279</v>
      </c>
      <c r="L409" s="266" t="str">
        <f>_xlfn.LET(
_xlpm.look, _xlfn.XLOOKUP(ITEquipmentTable[[#This Row],[Name]], VNCTable[ClientName], VNCTable[IP], ""),
_xlpm.chkk, IF(ITEquipmentTable[[#This Row],[IPv4 Address]] = "N/A", "N/A", _xlpm.look),
IF(ITEquipmentTable[[#This Row],[Name]] = "", "", _xlpm.chkk))</f>
        <v/>
      </c>
      <c r="M409" s="189" t="s">
        <v>1280</v>
      </c>
      <c r="N409" s="159" t="str">
        <f>_xlfn.LET(_xlpm.emp, IF(_xlfn.XLOOKUP(ITEquipmentTable[[#This Row],[Assigned Employee]], EmployeeTable[name], EmployeeTable[Active], TRUE), "Employee", "Recover"),
IF(ITEquipmentTable[[#This Row],[Storage Location]] = "Assigned to Employee", _xlpm.emp, "N/A"))</f>
        <v>N/A</v>
      </c>
      <c r="O409" s="159" t="str" cm="1">
        <f t="array" ref="O40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0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09" s="189"/>
      <c r="R409" s="189" t="s">
        <v>312</v>
      </c>
      <c r="S409" s="189"/>
      <c r="X409" s="1">
        <v>9964</v>
      </c>
      <c r="Y409" s="223" t="s">
        <v>1567</v>
      </c>
      <c r="Z409" s="1" t="b">
        <v>0</v>
      </c>
      <c r="AA409"/>
    </row>
    <row r="410" spans="1:27" s="1" customFormat="1" x14ac:dyDescent="0.2">
      <c r="A410" s="155">
        <v>292</v>
      </c>
      <c r="B410" s="189" t="s">
        <v>304</v>
      </c>
      <c r="C410" s="189" t="s">
        <v>403</v>
      </c>
      <c r="D410" s="189" t="s">
        <v>568</v>
      </c>
      <c r="E410" s="189" t="s">
        <v>306</v>
      </c>
      <c r="F410" s="195" t="s">
        <v>1282</v>
      </c>
      <c r="G410" s="266" t="str">
        <f>_xlfn.XLOOKUP(ITEquipmentTable[[#This Row],[Name]], IntuneData[Device name], IntuneData[Serial number], "")</f>
        <v/>
      </c>
      <c r="H410" s="189" t="s">
        <v>295</v>
      </c>
      <c r="I410" s="189" t="s">
        <v>1056</v>
      </c>
      <c r="J410" s="189"/>
      <c r="K410" s="219" t="s">
        <v>1283</v>
      </c>
      <c r="L410" s="266" t="str">
        <f>_xlfn.LET(
_xlpm.look, _xlfn.XLOOKUP(ITEquipmentTable[[#This Row],[Name]], VNCTable[ClientName], VNCTable[IP], ""),
_xlpm.chkk, IF(ITEquipmentTable[[#This Row],[IPv4 Address]] = "N/A", "N/A", _xlpm.look),
IF(ITEquipmentTable[[#This Row],[Name]] = "", "", _xlpm.chkk))</f>
        <v>10.68.89.138</v>
      </c>
      <c r="M410" s="189" t="s">
        <v>1284</v>
      </c>
      <c r="N410" s="159" t="str">
        <f>_xlfn.LET(_xlpm.emp, IF(_xlfn.XLOOKUP(ITEquipmentTable[[#This Row],[Assigned Employee]], EmployeeTable[name], EmployeeTable[Active], TRUE), "Employee", "Recover"),
IF(ITEquipmentTable[[#This Row],[Storage Location]] = "Assigned to Employee", _xlpm.emp, "N/A"))</f>
        <v>N/A</v>
      </c>
      <c r="O410" s="159" t="str" cm="1">
        <f t="array" ref="O41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1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10" s="189"/>
      <c r="R410" s="189" t="s">
        <v>312</v>
      </c>
      <c r="S410" s="189"/>
      <c r="X410" s="1">
        <v>9966</v>
      </c>
      <c r="Y410" s="223" t="s">
        <v>1570</v>
      </c>
      <c r="Z410" s="1" t="b">
        <v>0</v>
      </c>
      <c r="AA410"/>
    </row>
    <row r="411" spans="1:27" s="1" customFormat="1" x14ac:dyDescent="0.2">
      <c r="A411" s="155">
        <v>293</v>
      </c>
      <c r="B411" s="189" t="s">
        <v>304</v>
      </c>
      <c r="C411" s="189" t="s">
        <v>403</v>
      </c>
      <c r="D411" s="189" t="s">
        <v>568</v>
      </c>
      <c r="E411" s="189" t="s">
        <v>306</v>
      </c>
      <c r="F411" s="195" t="s">
        <v>1286</v>
      </c>
      <c r="G411" s="266" t="str">
        <f>_xlfn.XLOOKUP(ITEquipmentTable[[#This Row],[Name]], IntuneData[Device name], IntuneData[Serial number], "")</f>
        <v/>
      </c>
      <c r="H411" s="189" t="s">
        <v>295</v>
      </c>
      <c r="I411" s="189" t="s">
        <v>1046</v>
      </c>
      <c r="J411" s="189"/>
      <c r="K411" s="219" t="s">
        <v>1287</v>
      </c>
      <c r="L411" s="266" t="str">
        <f>_xlfn.LET(
_xlpm.look, _xlfn.XLOOKUP(ITEquipmentTable[[#This Row],[Name]], VNCTable[ClientName], VNCTable[IP], ""),
_xlpm.chkk, IF(ITEquipmentTable[[#This Row],[IPv4 Address]] = "N/A", "N/A", _xlpm.look),
IF(ITEquipmentTable[[#This Row],[Name]] = "", "", _xlpm.chkk))</f>
        <v>10.68.89.141</v>
      </c>
      <c r="M411" s="189" t="s">
        <v>1288</v>
      </c>
      <c r="N411" s="159" t="str">
        <f>_xlfn.LET(_xlpm.emp, IF(_xlfn.XLOOKUP(ITEquipmentTable[[#This Row],[Assigned Employee]], EmployeeTable[name], EmployeeTable[Active], TRUE), "Employee", "Recover"),
IF(ITEquipmentTable[[#This Row],[Storage Location]] = "Assigned to Employee", _xlpm.emp, "N/A"))</f>
        <v>N/A</v>
      </c>
      <c r="O411" s="159" t="str" cm="1">
        <f t="array" ref="O41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41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11" s="189"/>
      <c r="R411" s="189" t="s">
        <v>312</v>
      </c>
      <c r="S411" s="189"/>
      <c r="X411" s="1">
        <v>9986</v>
      </c>
      <c r="Y411" s="223" t="s">
        <v>1573</v>
      </c>
      <c r="Z411" s="1" t="b">
        <v>0</v>
      </c>
      <c r="AA411"/>
    </row>
    <row r="412" spans="1:27" s="1" customFormat="1" x14ac:dyDescent="0.2">
      <c r="A412" s="155">
        <v>294</v>
      </c>
      <c r="B412" s="189" t="s">
        <v>304</v>
      </c>
      <c r="C412" s="189" t="s">
        <v>403</v>
      </c>
      <c r="D412" s="189" t="s">
        <v>568</v>
      </c>
      <c r="E412" s="189" t="s">
        <v>306</v>
      </c>
      <c r="F412" s="195"/>
      <c r="G412" s="266" t="str">
        <f>_xlfn.XLOOKUP(ITEquipmentTable[[#This Row],[Name]], IntuneData[Device name], IntuneData[Serial number], "")</f>
        <v/>
      </c>
      <c r="H412" s="189"/>
      <c r="I412" s="189"/>
      <c r="J412" s="189"/>
      <c r="K412" s="219"/>
      <c r="L412" s="266" t="str">
        <f>_xlfn.LET(
_xlpm.look, _xlfn.XLOOKUP(ITEquipmentTable[[#This Row],[Name]], VNCTable[ClientName], VNCTable[IP], ""),
_xlpm.chkk, IF(ITEquipmentTable[[#This Row],[IPv4 Address]] = "N/A", "N/A", _xlpm.look),
IF(ITEquipmentTable[[#This Row],[Name]] = "", "", _xlpm.chkk))</f>
        <v/>
      </c>
      <c r="M412" s="189" t="s">
        <v>1290</v>
      </c>
      <c r="N412" s="159" t="str">
        <f>_xlfn.LET(_xlpm.emp, IF(_xlfn.XLOOKUP(ITEquipmentTable[[#This Row],[Assigned Employee]], EmployeeTable[name], EmployeeTable[Active], TRUE), "Employee", "Recover"),
IF(ITEquipmentTable[[#This Row],[Storage Location]] = "Assigned to Employee", _xlpm.emp, "N/A"))</f>
        <v>N/A</v>
      </c>
      <c r="O412" s="159" t="str" cm="1">
        <f t="array" ref="O41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1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12" s="189"/>
      <c r="R412" s="189" t="s">
        <v>312</v>
      </c>
      <c r="S412" s="189" t="s">
        <v>319</v>
      </c>
      <c r="X412" s="1">
        <v>9987</v>
      </c>
      <c r="Y412" s="223" t="s">
        <v>1576</v>
      </c>
      <c r="Z412" s="1" t="b">
        <v>0</v>
      </c>
      <c r="AA412"/>
    </row>
    <row r="413" spans="1:27" s="1" customFormat="1" x14ac:dyDescent="0.2">
      <c r="A413" s="155">
        <v>295</v>
      </c>
      <c r="B413" s="189" t="s">
        <v>304</v>
      </c>
      <c r="C413" s="189" t="s">
        <v>403</v>
      </c>
      <c r="D413" s="189" t="s">
        <v>568</v>
      </c>
      <c r="E413" s="189" t="s">
        <v>306</v>
      </c>
      <c r="F413" s="195"/>
      <c r="G413" s="266" t="str">
        <f>_xlfn.XLOOKUP(ITEquipmentTable[[#This Row],[Name]], IntuneData[Device name], IntuneData[Serial number], "")</f>
        <v/>
      </c>
      <c r="H413" s="189" t="s">
        <v>295</v>
      </c>
      <c r="I413" s="189" t="s">
        <v>1292</v>
      </c>
      <c r="J413" s="189"/>
      <c r="K413" s="219" t="s">
        <v>1293</v>
      </c>
      <c r="L413" s="266" t="str">
        <f>_xlfn.LET(
_xlpm.look, _xlfn.XLOOKUP(ITEquipmentTable[[#This Row],[Name]], VNCTable[ClientName], VNCTable[IP], ""),
_xlpm.chkk, IF(ITEquipmentTable[[#This Row],[IPv4 Address]] = "N/A", "N/A", _xlpm.look),
IF(ITEquipmentTable[[#This Row],[Name]] = "", "", _xlpm.chkk))</f>
        <v/>
      </c>
      <c r="M413" s="189" t="s">
        <v>1294</v>
      </c>
      <c r="N413" s="159" t="str">
        <f>_xlfn.LET(_xlpm.emp, IF(_xlfn.XLOOKUP(ITEquipmentTable[[#This Row],[Assigned Employee]], EmployeeTable[name], EmployeeTable[Active], TRUE), "Employee", "Recover"),
IF(ITEquipmentTable[[#This Row],[Storage Location]] = "Assigned to Employee", _xlpm.emp, "N/A"))</f>
        <v>N/A</v>
      </c>
      <c r="O413" s="159" t="str" cm="1">
        <f t="array" ref="O41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1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13" s="189"/>
      <c r="R413" s="189" t="s">
        <v>312</v>
      </c>
      <c r="S413" s="189" t="s">
        <v>319</v>
      </c>
      <c r="X413" s="1">
        <v>9993</v>
      </c>
      <c r="Y413" s="223" t="s">
        <v>1578</v>
      </c>
      <c r="Z413" s="1" t="b">
        <v>0</v>
      </c>
    </row>
    <row r="414" spans="1:27" s="1" customFormat="1" x14ac:dyDescent="0.2">
      <c r="A414" s="155">
        <v>296</v>
      </c>
      <c r="B414" s="1" t="s">
        <v>304</v>
      </c>
      <c r="C414" s="1" t="s">
        <v>403</v>
      </c>
      <c r="D414" s="1" t="s">
        <v>568</v>
      </c>
      <c r="E414" s="1" t="s">
        <v>306</v>
      </c>
      <c r="F414" s="195" t="s">
        <v>1296</v>
      </c>
      <c r="G414" s="266" t="str">
        <f>_xlfn.XLOOKUP(ITEquipmentTable[[#This Row],[Name]], IntuneData[Device name], IntuneData[Serial number], "")</f>
        <v/>
      </c>
      <c r="H414" s="1" t="s">
        <v>295</v>
      </c>
      <c r="I414" s="1" t="s">
        <v>1297</v>
      </c>
      <c r="K414" s="154" t="s">
        <v>2860</v>
      </c>
      <c r="L414" s="266" t="str">
        <f>_xlfn.LET(
_xlpm.look, _xlfn.XLOOKUP(ITEquipmentTable[[#This Row],[Name]], VNCTable[ClientName], VNCTable[IP], ""),
_xlpm.chkk, IF(ITEquipmentTable[[#This Row],[IPv4 Address]] = "N/A", "N/A", _xlpm.look),
IF(ITEquipmentTable[[#This Row],[Name]] = "", "", _xlpm.chkk))</f>
        <v>10.68.134.71</v>
      </c>
      <c r="M414" s="1" t="s">
        <v>1298</v>
      </c>
      <c r="N414" s="159" t="str">
        <f>_xlfn.LET(_xlpm.emp, IF(_xlfn.XLOOKUP(ITEquipmentTable[[#This Row],[Assigned Employee]], EmployeeTable[name], EmployeeTable[Active], TRUE), "Employee", "Recover"),
IF(ITEquipmentTable[[#This Row],[Storage Location]] = "Assigned to Employee", _xlpm.emp, "N/A"))</f>
        <v>N/A</v>
      </c>
      <c r="O414" s="159" t="str" cm="1">
        <f t="array" ref="O41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1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14" s="1" t="s">
        <v>312</v>
      </c>
      <c r="X414" s="1">
        <v>9994</v>
      </c>
      <c r="Y414" s="223" t="s">
        <v>1581</v>
      </c>
      <c r="Z414" s="1" t="b">
        <v>0</v>
      </c>
    </row>
    <row r="415" spans="1:27" s="1" customFormat="1" x14ac:dyDescent="0.2">
      <c r="A415" s="155">
        <v>298</v>
      </c>
      <c r="B415" s="189" t="s">
        <v>304</v>
      </c>
      <c r="C415" s="189" t="s">
        <v>403</v>
      </c>
      <c r="D415" s="189" t="s">
        <v>568</v>
      </c>
      <c r="E415" s="189" t="s">
        <v>306</v>
      </c>
      <c r="F415" s="195"/>
      <c r="G415" s="266" t="str">
        <f>_xlfn.XLOOKUP(ITEquipmentTable[[#This Row],[Name]], IntuneData[Device name], IntuneData[Serial number], "")</f>
        <v/>
      </c>
      <c r="H415" s="189" t="s">
        <v>295</v>
      </c>
      <c r="I415" s="189" t="s">
        <v>1307</v>
      </c>
      <c r="J415" s="189"/>
      <c r="K415" s="154" t="s">
        <v>1129</v>
      </c>
      <c r="L415" s="266" t="str">
        <f>_xlfn.LET(
_xlpm.look, _xlfn.XLOOKUP(ITEquipmentTable[[#This Row],[Name]], VNCTable[ClientName], VNCTable[IP], ""),
_xlpm.chkk, IF(ITEquipmentTable[[#This Row],[IPv4 Address]] = "N/A", "N/A", _xlpm.look),
IF(ITEquipmentTable[[#This Row],[Name]] = "", "", _xlpm.chkk))</f>
        <v/>
      </c>
      <c r="M415" s="189" t="s">
        <v>1308</v>
      </c>
      <c r="N415" s="159" t="str">
        <f>_xlfn.LET(_xlpm.emp, IF(_xlfn.XLOOKUP(ITEquipmentTable[[#This Row],[Assigned Employee]], EmployeeTable[name], EmployeeTable[Active], TRUE), "Employee", "Recover"),
IF(ITEquipmentTable[[#This Row],[Storage Location]] = "Assigned to Employee", _xlpm.emp, "N/A"))</f>
        <v>N/A</v>
      </c>
      <c r="O415" s="159" t="str" cm="1">
        <f t="array" ref="O41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1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15" s="189"/>
      <c r="R415" s="189"/>
      <c r="S415" s="189" t="s">
        <v>319</v>
      </c>
      <c r="X415" s="1">
        <v>9998</v>
      </c>
      <c r="Y415" s="223" t="s">
        <v>1582</v>
      </c>
      <c r="Z415" s="1" t="b">
        <v>0</v>
      </c>
    </row>
    <row r="416" spans="1:27" s="1" customFormat="1" x14ac:dyDescent="0.2">
      <c r="A416" s="155">
        <v>300</v>
      </c>
      <c r="B416" s="189" t="s">
        <v>304</v>
      </c>
      <c r="C416" s="189" t="s">
        <v>403</v>
      </c>
      <c r="D416" s="189" t="s">
        <v>568</v>
      </c>
      <c r="E416" s="189" t="s">
        <v>306</v>
      </c>
      <c r="F416" s="195"/>
      <c r="G416" s="266" t="str">
        <f>_xlfn.XLOOKUP(ITEquipmentTable[[#This Row],[Name]], IntuneData[Device name], IntuneData[Serial number], "")</f>
        <v/>
      </c>
      <c r="H416" s="189" t="s">
        <v>295</v>
      </c>
      <c r="I416" s="189" t="s">
        <v>1314</v>
      </c>
      <c r="J416" s="189"/>
      <c r="K416" s="219" t="s">
        <v>1315</v>
      </c>
      <c r="L416" s="266" t="str">
        <f>_xlfn.LET(
_xlpm.look, _xlfn.XLOOKUP(ITEquipmentTable[[#This Row],[Name]], VNCTable[ClientName], VNCTable[IP], ""),
_xlpm.chkk, IF(ITEquipmentTable[[#This Row],[IPv4 Address]] = "N/A", "N/A", _xlpm.look),
IF(ITEquipmentTable[[#This Row],[Name]] = "", "", _xlpm.chkk))</f>
        <v>10.68.89.155</v>
      </c>
      <c r="M416" s="189" t="s">
        <v>1316</v>
      </c>
      <c r="N416" s="159" t="str">
        <f>_xlfn.LET(_xlpm.emp, IF(_xlfn.XLOOKUP(ITEquipmentTable[[#This Row],[Assigned Employee]], EmployeeTable[name], EmployeeTable[Active], TRUE), "Employee", "Recover"),
IF(ITEquipmentTable[[#This Row],[Storage Location]] = "Assigned to Employee", _xlpm.emp, "N/A"))</f>
        <v>N/A</v>
      </c>
      <c r="O416" s="159" t="str" cm="1">
        <f t="array" ref="O41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1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16" s="189"/>
      <c r="R416" s="189" t="s">
        <v>312</v>
      </c>
      <c r="S416" s="189" t="s">
        <v>319</v>
      </c>
    </row>
    <row r="417" spans="1:19" s="1" customFormat="1" x14ac:dyDescent="0.2">
      <c r="A417" s="155">
        <v>301</v>
      </c>
      <c r="B417" s="189" t="s">
        <v>304</v>
      </c>
      <c r="C417" s="189" t="s">
        <v>403</v>
      </c>
      <c r="D417" s="189" t="s">
        <v>568</v>
      </c>
      <c r="E417" s="189" t="s">
        <v>306</v>
      </c>
      <c r="F417" s="195"/>
      <c r="G417" s="266" t="str">
        <f>_xlfn.XLOOKUP(ITEquipmentTable[[#This Row],[Name]], IntuneData[Device name], IntuneData[Serial number], "")</f>
        <v/>
      </c>
      <c r="H417" s="189" t="s">
        <v>295</v>
      </c>
      <c r="I417" s="189" t="s">
        <v>1318</v>
      </c>
      <c r="J417" s="189"/>
      <c r="K417" s="219" t="s">
        <v>333</v>
      </c>
      <c r="L417" s="266" t="str">
        <f>_xlfn.LET(
_xlpm.look, _xlfn.XLOOKUP(ITEquipmentTable[[#This Row],[Name]], VNCTable[ClientName], VNCTable[IP], ""),
_xlpm.chkk, IF(ITEquipmentTable[[#This Row],[IPv4 Address]] = "N/A", "N/A", _xlpm.look),
IF(ITEquipmentTable[[#This Row],[Name]] = "", "", _xlpm.chkk))</f>
        <v>10.68.134.47</v>
      </c>
      <c r="M417" s="189" t="s">
        <v>1319</v>
      </c>
      <c r="N417" s="159" t="str">
        <f>_xlfn.LET(_xlpm.emp, IF(_xlfn.XLOOKUP(ITEquipmentTable[[#This Row],[Assigned Employee]], EmployeeTable[name], EmployeeTable[Active], TRUE), "Employee", "Recover"),
IF(ITEquipmentTable[[#This Row],[Storage Location]] = "Assigned to Employee", _xlpm.emp, "N/A"))</f>
        <v>N/A</v>
      </c>
      <c r="O417" s="159" t="str" cm="1">
        <f t="array" ref="O41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1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17" s="189"/>
      <c r="R417" s="189" t="s">
        <v>312</v>
      </c>
      <c r="S417" s="189" t="s">
        <v>319</v>
      </c>
    </row>
    <row r="418" spans="1:19" s="1" customFormat="1" x14ac:dyDescent="0.2">
      <c r="A418" s="155">
        <v>302</v>
      </c>
      <c r="B418" s="189" t="s">
        <v>304</v>
      </c>
      <c r="C418" s="189" t="s">
        <v>403</v>
      </c>
      <c r="D418" s="189" t="s">
        <v>568</v>
      </c>
      <c r="E418" s="189" t="s">
        <v>306</v>
      </c>
      <c r="F418" s="195"/>
      <c r="G418" s="266" t="str">
        <f>_xlfn.XLOOKUP(ITEquipmentTable[[#This Row],[Name]], IntuneData[Device name], IntuneData[Serial number], "")</f>
        <v/>
      </c>
      <c r="H418" s="189" t="s">
        <v>295</v>
      </c>
      <c r="I418" s="189" t="s">
        <v>1321</v>
      </c>
      <c r="J418" s="189"/>
      <c r="K418" s="219"/>
      <c r="L418" s="266" t="str">
        <f>_xlfn.LET(
_xlpm.look, _xlfn.XLOOKUP(ITEquipmentTable[[#This Row],[Name]], VNCTable[ClientName], VNCTable[IP], ""),
_xlpm.chkk, IF(ITEquipmentTable[[#This Row],[IPv4 Address]] = "N/A", "N/A", _xlpm.look),
IF(ITEquipmentTable[[#This Row],[Name]] = "", "", _xlpm.chkk))</f>
        <v/>
      </c>
      <c r="M418" s="189" t="s">
        <v>1322</v>
      </c>
      <c r="N418" s="159" t="str">
        <f>_xlfn.LET(_xlpm.emp, IF(_xlfn.XLOOKUP(ITEquipmentTable[[#This Row],[Assigned Employee]], EmployeeTable[name], EmployeeTable[Active], TRUE), "Employee", "Recover"),
IF(ITEquipmentTable[[#This Row],[Storage Location]] = "Assigned to Employee", _xlpm.emp, "N/A"))</f>
        <v>N/A</v>
      </c>
      <c r="O418" s="159" t="str" cm="1">
        <f t="array" ref="O41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1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18" s="189"/>
      <c r="R418" s="189" t="s">
        <v>312</v>
      </c>
      <c r="S418" s="189" t="s">
        <v>319</v>
      </c>
    </row>
    <row r="419" spans="1:19" s="1" customFormat="1" x14ac:dyDescent="0.2">
      <c r="A419" s="155">
        <v>304</v>
      </c>
      <c r="B419" s="189" t="s">
        <v>304</v>
      </c>
      <c r="C419" s="189" t="s">
        <v>403</v>
      </c>
      <c r="D419" s="189" t="s">
        <v>568</v>
      </c>
      <c r="E419" s="189" t="s">
        <v>306</v>
      </c>
      <c r="F419" s="195"/>
      <c r="G419" s="266" t="str">
        <f>_xlfn.XLOOKUP(ITEquipmentTable[[#This Row],[Name]], IntuneData[Device name], IntuneData[Serial number], "")</f>
        <v/>
      </c>
      <c r="H419" s="189" t="s">
        <v>295</v>
      </c>
      <c r="I419" s="189" t="s">
        <v>463</v>
      </c>
      <c r="J419" s="189"/>
      <c r="K419" s="219"/>
      <c r="L419" s="266" t="str">
        <f>_xlfn.LET(
_xlpm.look, _xlfn.XLOOKUP(ITEquipmentTable[[#This Row],[Name]], VNCTable[ClientName], VNCTable[IP], ""),
_xlpm.chkk, IF(ITEquipmentTable[[#This Row],[IPv4 Address]] = "N/A", "N/A", _xlpm.look),
IF(ITEquipmentTable[[#This Row],[Name]] = "", "", _xlpm.chkk))</f>
        <v/>
      </c>
      <c r="M419" s="189" t="s">
        <v>1327</v>
      </c>
      <c r="N419" s="159" t="str">
        <f>_xlfn.LET(_xlpm.emp, IF(_xlfn.XLOOKUP(ITEquipmentTable[[#This Row],[Assigned Employee]], EmployeeTable[name], EmployeeTable[Active], TRUE), "Employee", "Recover"),
IF(ITEquipmentTable[[#This Row],[Storage Location]] = "Assigned to Employee", _xlpm.emp, "N/A"))</f>
        <v>N/A</v>
      </c>
      <c r="O419" s="159" t="str" cm="1">
        <f t="array" ref="O41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1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19" s="193"/>
      <c r="R419" s="193"/>
      <c r="S419" s="189" t="s">
        <v>319</v>
      </c>
    </row>
    <row r="420" spans="1:19" s="1" customFormat="1" x14ac:dyDescent="0.2">
      <c r="A420" s="155">
        <v>306</v>
      </c>
      <c r="B420" s="189" t="s">
        <v>304</v>
      </c>
      <c r="C420" s="189" t="s">
        <v>403</v>
      </c>
      <c r="D420" s="189" t="s">
        <v>568</v>
      </c>
      <c r="E420" s="189" t="s">
        <v>306</v>
      </c>
      <c r="F420" s="1" t="s">
        <v>1333</v>
      </c>
      <c r="G420" s="266" t="str">
        <f>_xlfn.XLOOKUP(ITEquipmentTable[[#This Row],[Name]], IntuneData[Device name], IntuneData[Serial number], "")</f>
        <v/>
      </c>
      <c r="H420" s="189"/>
      <c r="I420" s="189"/>
      <c r="J420" s="189"/>
      <c r="K420" s="219" t="s">
        <v>226</v>
      </c>
      <c r="L420" s="266" t="str">
        <f>_xlfn.LET(
_xlpm.look, _xlfn.XLOOKUP(ITEquipmentTable[[#This Row],[Name]], VNCTable[ClientName], VNCTable[IP], ""),
_xlpm.chkk, IF(ITEquipmentTable[[#This Row],[IPv4 Address]] = "N/A", "N/A", _xlpm.look),
IF(ITEquipmentTable[[#This Row],[Name]] = "", "", _xlpm.chkk))</f>
        <v>N/A</v>
      </c>
      <c r="M420" s="189" t="s">
        <v>1334</v>
      </c>
      <c r="N420" s="159" t="str">
        <f>_xlfn.LET(_xlpm.emp, IF(_xlfn.XLOOKUP(ITEquipmentTable[[#This Row],[Assigned Employee]], EmployeeTable[name], EmployeeTable[Active], TRUE), "Employee", "Recover"),
IF(ITEquipmentTable[[#This Row],[Storage Location]] = "Assigned to Employee", _xlpm.emp, "N/A"))</f>
        <v>N/A</v>
      </c>
      <c r="O420" s="159" t="str" cm="1">
        <f t="array" ref="O42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2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20" s="189"/>
      <c r="R420" s="189" t="s">
        <v>312</v>
      </c>
      <c r="S420" s="189"/>
    </row>
    <row r="421" spans="1:19" s="1" customFormat="1" x14ac:dyDescent="0.2">
      <c r="A421" s="155">
        <v>309</v>
      </c>
      <c r="B421" s="189" t="s">
        <v>304</v>
      </c>
      <c r="C421" s="189" t="s">
        <v>403</v>
      </c>
      <c r="D421" s="189" t="s">
        <v>568</v>
      </c>
      <c r="E421" s="189" t="s">
        <v>306</v>
      </c>
      <c r="F421" s="195"/>
      <c r="G421" s="266" t="str">
        <f>_xlfn.XLOOKUP(ITEquipmentTable[[#This Row],[Name]], IntuneData[Device name], IntuneData[Serial number], "")</f>
        <v/>
      </c>
      <c r="H421" s="189" t="s">
        <v>295</v>
      </c>
      <c r="I421" s="189" t="s">
        <v>1340</v>
      </c>
      <c r="J421" s="189"/>
      <c r="K421" s="219" t="s">
        <v>1341</v>
      </c>
      <c r="L421" s="266" t="str">
        <f>_xlfn.LET(
_xlpm.look, _xlfn.XLOOKUP(ITEquipmentTable[[#This Row],[Name]], VNCTable[ClientName], VNCTable[IP], ""),
_xlpm.chkk, IF(ITEquipmentTable[[#This Row],[IPv4 Address]] = "N/A", "N/A", _xlpm.look),
IF(ITEquipmentTable[[#This Row],[Name]] = "", "", _xlpm.chkk))</f>
        <v>10.68.89.200</v>
      </c>
      <c r="M421" s="189" t="s">
        <v>1342</v>
      </c>
      <c r="N421" s="159" t="str">
        <f>_xlfn.LET(_xlpm.emp, IF(_xlfn.XLOOKUP(ITEquipmentTable[[#This Row],[Assigned Employee]], EmployeeTable[name], EmployeeTable[Active], TRUE), "Employee", "Recover"),
IF(ITEquipmentTable[[#This Row],[Storage Location]] = "Assigned to Employee", _xlpm.emp, "N/A"))</f>
        <v>N/A</v>
      </c>
      <c r="O421" s="159" t="str" cm="1">
        <f t="array" ref="O42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2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21" s="193"/>
      <c r="R421" s="193" t="s">
        <v>312</v>
      </c>
      <c r="S421" s="189" t="s">
        <v>319</v>
      </c>
    </row>
    <row r="422" spans="1:19" s="1" customFormat="1" x14ac:dyDescent="0.2">
      <c r="A422" s="155">
        <v>310</v>
      </c>
      <c r="B422" s="189" t="s">
        <v>304</v>
      </c>
      <c r="C422" s="189" t="s">
        <v>403</v>
      </c>
      <c r="D422" s="189" t="s">
        <v>568</v>
      </c>
      <c r="E422" s="189" t="s">
        <v>306</v>
      </c>
      <c r="F422" s="195"/>
      <c r="G422" s="266" t="str">
        <f>_xlfn.XLOOKUP(ITEquipmentTable[[#This Row],[Name]], IntuneData[Device name], IntuneData[Serial number], "")</f>
        <v/>
      </c>
      <c r="H422" s="189" t="s">
        <v>295</v>
      </c>
      <c r="I422" s="189" t="s">
        <v>1344</v>
      </c>
      <c r="J422" s="189"/>
      <c r="K422" s="154" t="s">
        <v>3606</v>
      </c>
      <c r="L422" s="266" t="str">
        <f>_xlfn.LET(
_xlpm.look, _xlfn.XLOOKUP(ITEquipmentTable[[#This Row],[Name]], VNCTable[ClientName], VNCTable[IP], ""),
_xlpm.chkk, IF(ITEquipmentTable[[#This Row],[IPv4 Address]] = "N/A", "N/A", _xlpm.look),
IF(ITEquipmentTable[[#This Row],[Name]] = "", "", _xlpm.chkk))</f>
        <v>10.68.89.201</v>
      </c>
      <c r="M422" s="189" t="s">
        <v>1345</v>
      </c>
      <c r="N422" s="159" t="str">
        <f>_xlfn.LET(_xlpm.emp, IF(_xlfn.XLOOKUP(ITEquipmentTable[[#This Row],[Assigned Employee]], EmployeeTable[name], EmployeeTable[Active], TRUE), "Employee", "Recover"),
IF(ITEquipmentTable[[#This Row],[Storage Location]] = "Assigned to Employee", _xlpm.emp, "N/A"))</f>
        <v>N/A</v>
      </c>
      <c r="O422" s="159" t="str" cm="1">
        <f t="array" ref="O42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2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22" s="193"/>
      <c r="R422" s="193" t="s">
        <v>312</v>
      </c>
      <c r="S422" s="189" t="s">
        <v>319</v>
      </c>
    </row>
    <row r="423" spans="1:19" s="1" customFormat="1" x14ac:dyDescent="0.2">
      <c r="A423" s="155">
        <v>311</v>
      </c>
      <c r="B423" s="189" t="s">
        <v>304</v>
      </c>
      <c r="C423" s="189" t="s">
        <v>403</v>
      </c>
      <c r="D423" s="189" t="s">
        <v>568</v>
      </c>
      <c r="E423" s="189" t="s">
        <v>306</v>
      </c>
      <c r="F423" s="195"/>
      <c r="G423" s="266" t="str">
        <f>_xlfn.XLOOKUP(ITEquipmentTable[[#This Row],[Name]], IntuneData[Device name], IntuneData[Serial number], "")</f>
        <v/>
      </c>
      <c r="H423" s="189" t="s">
        <v>295</v>
      </c>
      <c r="I423" s="189" t="s">
        <v>1347</v>
      </c>
      <c r="J423" s="189"/>
      <c r="K423" s="154" t="s">
        <v>3608</v>
      </c>
      <c r="L423" s="266" t="str">
        <f>_xlfn.LET(
_xlpm.look, _xlfn.XLOOKUP(ITEquipmentTable[[#This Row],[Name]], VNCTable[ClientName], VNCTable[IP], ""),
_xlpm.chkk, IF(ITEquipmentTable[[#This Row],[IPv4 Address]] = "N/A", "N/A", _xlpm.look),
IF(ITEquipmentTable[[#This Row],[Name]] = "", "", _xlpm.chkk))</f>
        <v>10.68.89.202</v>
      </c>
      <c r="M423" s="189" t="s">
        <v>1348</v>
      </c>
      <c r="N423" s="159" t="str">
        <f>_xlfn.LET(_xlpm.emp, IF(_xlfn.XLOOKUP(ITEquipmentTable[[#This Row],[Assigned Employee]], EmployeeTable[name], EmployeeTable[Active], TRUE), "Employee", "Recover"),
IF(ITEquipmentTable[[#This Row],[Storage Location]] = "Assigned to Employee", _xlpm.emp, "N/A"))</f>
        <v>N/A</v>
      </c>
      <c r="O423" s="159" t="str" cm="1">
        <f t="array" ref="O42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2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23" s="193"/>
      <c r="R423" s="193" t="s">
        <v>312</v>
      </c>
      <c r="S423" s="189" t="s">
        <v>319</v>
      </c>
    </row>
    <row r="424" spans="1:19" s="1" customFormat="1" x14ac:dyDescent="0.2">
      <c r="A424" s="155">
        <v>312</v>
      </c>
      <c r="B424" s="189" t="s">
        <v>304</v>
      </c>
      <c r="C424" s="189" t="s">
        <v>403</v>
      </c>
      <c r="D424" s="189" t="s">
        <v>568</v>
      </c>
      <c r="E424" s="189" t="s">
        <v>306</v>
      </c>
      <c r="F424" s="195"/>
      <c r="G424" s="266" t="str">
        <f>_xlfn.XLOOKUP(ITEquipmentTable[[#This Row],[Name]], IntuneData[Device name], IntuneData[Serial number], "")</f>
        <v/>
      </c>
      <c r="H424" s="189" t="s">
        <v>295</v>
      </c>
      <c r="I424" s="189" t="s">
        <v>1350</v>
      </c>
      <c r="J424" s="189"/>
      <c r="K424" s="154" t="s">
        <v>1129</v>
      </c>
      <c r="L424" s="266" t="str">
        <f>_xlfn.LET(
_xlpm.look, _xlfn.XLOOKUP(ITEquipmentTable[[#This Row],[Name]], VNCTable[ClientName], VNCTable[IP], ""),
_xlpm.chkk, IF(ITEquipmentTable[[#This Row],[IPv4 Address]] = "N/A", "N/A", _xlpm.look),
IF(ITEquipmentTable[[#This Row],[Name]] = "", "", _xlpm.chkk))</f>
        <v/>
      </c>
      <c r="M424" s="189" t="s">
        <v>1351</v>
      </c>
      <c r="N424" s="159" t="str">
        <f>_xlfn.LET(_xlpm.emp, IF(_xlfn.XLOOKUP(ITEquipmentTable[[#This Row],[Assigned Employee]], EmployeeTable[name], EmployeeTable[Active], TRUE), "Employee", "Recover"),
IF(ITEquipmentTable[[#This Row],[Storage Location]] = "Assigned to Employee", _xlpm.emp, "N/A"))</f>
        <v>N/A</v>
      </c>
      <c r="O424" s="159" t="str" cm="1">
        <f t="array" ref="O42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2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24" s="193"/>
      <c r="R424" s="193" t="s">
        <v>312</v>
      </c>
      <c r="S424" s="189" t="s">
        <v>319</v>
      </c>
    </row>
    <row r="425" spans="1:19" s="1" customFormat="1" x14ac:dyDescent="0.2">
      <c r="A425" s="155">
        <v>598</v>
      </c>
      <c r="B425" s="1" t="s">
        <v>304</v>
      </c>
      <c r="C425" s="1" t="s">
        <v>403</v>
      </c>
      <c r="D425" s="189" t="s">
        <v>568</v>
      </c>
      <c r="E425" s="1" t="s">
        <v>306</v>
      </c>
      <c r="F425" s="195" t="s">
        <v>1856</v>
      </c>
      <c r="G425" s="266" t="str">
        <f>_xlfn.XLOOKUP(ITEquipmentTable[[#This Row],[Name]], IntuneData[Device name], IntuneData[Serial number], "")</f>
        <v/>
      </c>
      <c r="H425" s="1" t="s">
        <v>318</v>
      </c>
      <c r="K425" s="154" t="s">
        <v>226</v>
      </c>
      <c r="L425" s="266" t="str">
        <f>_xlfn.LET(
_xlpm.look, _xlfn.XLOOKUP(ITEquipmentTable[[#This Row],[Name]], VNCTable[ClientName], VNCTable[IP], ""),
_xlpm.chkk, IF(ITEquipmentTable[[#This Row],[IPv4 Address]] = "N/A", "N/A", _xlpm.look),
IF(ITEquipmentTable[[#This Row],[Name]] = "", "", _xlpm.chkk))</f>
        <v>N/A</v>
      </c>
      <c r="M425" s="1" t="s">
        <v>1857</v>
      </c>
      <c r="N425" s="159" t="str">
        <f>_xlfn.LET(_xlpm.emp, IF(_xlfn.XLOOKUP(ITEquipmentTable[[#This Row],[Assigned Employee]], EmployeeTable[name], EmployeeTable[Active], TRUE), "Employee", "Recover"),
IF(ITEquipmentTable[[#This Row],[Storage Location]] = "Assigned to Employee", _xlpm.emp, "N/A"))</f>
        <v>N/A</v>
      </c>
      <c r="O425" s="161" t="str" cm="1">
        <f t="array" ref="O42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2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25" s="1" t="s">
        <v>312</v>
      </c>
    </row>
    <row r="426" spans="1:19" s="1" customFormat="1" x14ac:dyDescent="0.2">
      <c r="A426" s="155">
        <v>599</v>
      </c>
      <c r="B426" s="1" t="s">
        <v>304</v>
      </c>
      <c r="C426" s="1" t="s">
        <v>403</v>
      </c>
      <c r="E426" s="1" t="s">
        <v>306</v>
      </c>
      <c r="F426" s="195"/>
      <c r="G426" s="266" t="str">
        <f>_xlfn.XLOOKUP(ITEquipmentTable[[#This Row],[Name]], IntuneData[Device name], IntuneData[Serial number], "")</f>
        <v/>
      </c>
      <c r="K426" s="154"/>
      <c r="L426" s="266" t="str">
        <f>_xlfn.LET(
_xlpm.look, _xlfn.XLOOKUP(ITEquipmentTable[[#This Row],[Name]], VNCTable[ClientName], VNCTable[IP], ""),
_xlpm.chkk, IF(ITEquipmentTable[[#This Row],[IPv4 Address]] = "N/A", "N/A", _xlpm.look),
IF(ITEquipmentTable[[#This Row],[Name]] = "", "", _xlpm.chkk))</f>
        <v/>
      </c>
      <c r="M426" s="1" t="s">
        <v>1858</v>
      </c>
      <c r="N426" s="159" t="str">
        <f>_xlfn.LET(_xlpm.emp, IF(_xlfn.XLOOKUP(ITEquipmentTable[[#This Row],[Assigned Employee]], EmployeeTable[name], EmployeeTable[Active], TRUE), "Employee", "Recover"),
IF(ITEquipmentTable[[#This Row],[Storage Location]] = "Assigned to Employee", _xlpm.emp, "N/A"))</f>
        <v>N/A</v>
      </c>
      <c r="O426" s="161" t="str" cm="1">
        <f t="array" ref="O42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2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426" s="1" t="s">
        <v>298</v>
      </c>
    </row>
    <row r="427" spans="1:19" s="1" customFormat="1" x14ac:dyDescent="0.2">
      <c r="A427" s="155">
        <v>313</v>
      </c>
      <c r="B427" s="189" t="s">
        <v>304</v>
      </c>
      <c r="C427" s="189" t="s">
        <v>403</v>
      </c>
      <c r="D427" s="189" t="s">
        <v>568</v>
      </c>
      <c r="E427" s="189" t="s">
        <v>306</v>
      </c>
      <c r="F427" s="195"/>
      <c r="G427" s="266" t="str">
        <f>_xlfn.XLOOKUP(ITEquipmentTable[[#This Row],[Name]], IntuneData[Device name], IntuneData[Serial number], "")</f>
        <v/>
      </c>
      <c r="H427" s="189" t="s">
        <v>295</v>
      </c>
      <c r="I427" s="189" t="s">
        <v>1353</v>
      </c>
      <c r="J427" s="189"/>
      <c r="K427" s="219" t="s">
        <v>3610</v>
      </c>
      <c r="L427" s="266" t="str">
        <f>_xlfn.LET(
_xlpm.look, _xlfn.XLOOKUP(ITEquipmentTable[[#This Row],[Name]], VNCTable[ClientName], VNCTable[IP], ""),
_xlpm.chkk, IF(ITEquipmentTable[[#This Row],[IPv4 Address]] = "N/A", "N/A", _xlpm.look),
IF(ITEquipmentTable[[#This Row],[Name]] = "", "", _xlpm.chkk))</f>
        <v>10.68.89.88</v>
      </c>
      <c r="M427" s="189" t="s">
        <v>1354</v>
      </c>
      <c r="N427" s="159" t="str">
        <f>_xlfn.LET(_xlpm.emp, IF(_xlfn.XLOOKUP(ITEquipmentTable[[#This Row],[Assigned Employee]], EmployeeTable[name], EmployeeTable[Active], TRUE), "Employee", "Recover"),
IF(ITEquipmentTable[[#This Row],[Storage Location]] = "Assigned to Employee", _xlpm.emp, "N/A"))</f>
        <v>N/A</v>
      </c>
      <c r="O427" s="159" t="str" cm="1">
        <f t="array" ref="O42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2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27" s="193"/>
      <c r="R427" s="193" t="s">
        <v>312</v>
      </c>
      <c r="S427" s="189" t="s">
        <v>319</v>
      </c>
    </row>
    <row r="428" spans="1:19" s="1" customFormat="1" x14ac:dyDescent="0.2">
      <c r="A428" s="155">
        <v>315</v>
      </c>
      <c r="B428" s="1" t="s">
        <v>304</v>
      </c>
      <c r="C428" s="1" t="s">
        <v>403</v>
      </c>
      <c r="D428" s="1" t="s">
        <v>568</v>
      </c>
      <c r="E428" s="1" t="s">
        <v>306</v>
      </c>
      <c r="F428" s="195" t="s">
        <v>1364</v>
      </c>
      <c r="G428" s="266" t="str">
        <f>_xlfn.XLOOKUP(ITEquipmentTable[[#This Row],[Name]], IntuneData[Device name], IntuneData[Serial number], "")</f>
        <v/>
      </c>
      <c r="H428" s="1" t="s">
        <v>295</v>
      </c>
      <c r="I428" s="1" t="s">
        <v>700</v>
      </c>
      <c r="K428" s="154" t="s">
        <v>1365</v>
      </c>
      <c r="L428" s="266" t="str">
        <f>_xlfn.LET(
_xlpm.look, _xlfn.XLOOKUP(ITEquipmentTable[[#This Row],[Name]], VNCTable[ClientName], VNCTable[IP], ""),
_xlpm.chkk, IF(ITEquipmentTable[[#This Row],[IPv4 Address]] = "N/A", "N/A", _xlpm.look),
IF(ITEquipmentTable[[#This Row],[Name]] = "", "", _xlpm.chkk))</f>
        <v>10.68.89.63</v>
      </c>
      <c r="M428" s="1" t="s">
        <v>1360</v>
      </c>
      <c r="N428" s="161" t="str">
        <f>_xlfn.LET(_xlpm.emp, IF(_xlfn.XLOOKUP(ITEquipmentTable[[#This Row],[Assigned Employee]], EmployeeTable[name], EmployeeTable[Active], TRUE), "Employee", "Recover"),
IF(ITEquipmentTable[[#This Row],[Storage Location]] = "Assigned to Employee", _xlpm.emp, "N/A"))</f>
        <v>N/A</v>
      </c>
      <c r="O428" s="161" t="str" cm="1">
        <f t="array" ref="O42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2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28" s="1" t="s">
        <v>312</v>
      </c>
    </row>
    <row r="429" spans="1:19" s="1" customFormat="1" x14ac:dyDescent="0.2">
      <c r="A429" s="155">
        <v>285</v>
      </c>
      <c r="B429" s="189" t="s">
        <v>304</v>
      </c>
      <c r="C429" s="189" t="s">
        <v>403</v>
      </c>
      <c r="D429" s="189" t="s">
        <v>568</v>
      </c>
      <c r="E429" s="189" t="s">
        <v>306</v>
      </c>
      <c r="F429" s="195" t="s">
        <v>1147</v>
      </c>
      <c r="G429" s="266" t="str">
        <f>_xlfn.XLOOKUP(ITEquipmentTable[[#This Row],[Name]], IntuneData[Device name], IntuneData[Serial number], "")</f>
        <v/>
      </c>
      <c r="H429" s="189" t="s">
        <v>295</v>
      </c>
      <c r="I429" s="189" t="s">
        <v>1037</v>
      </c>
      <c r="J429" s="189"/>
      <c r="K429" s="219" t="s">
        <v>1148</v>
      </c>
      <c r="L429" s="266" t="str">
        <f>_xlfn.LET(
_xlpm.look, _xlfn.XLOOKUP(ITEquipmentTable[[#This Row],[Name]], VNCTable[ClientName], VNCTable[IP], ""),
_xlpm.chkk, IF(ITEquipmentTable[[#This Row],[IPv4 Address]] = "N/A", "N/A", _xlpm.look),
IF(ITEquipmentTable[[#This Row],[Name]] = "", "", _xlpm.chkk))</f>
        <v>10.68.89.130</v>
      </c>
      <c r="M429" s="189" t="s">
        <v>1149</v>
      </c>
      <c r="N429" s="159" t="str">
        <f>_xlfn.LET(_xlpm.emp, IF(_xlfn.XLOOKUP(ITEquipmentTable[[#This Row],[Assigned Employee]], EmployeeTable[name], EmployeeTable[Active], TRUE), "Employee", "Recover"),
IF(ITEquipmentTable[[#This Row],[Storage Location]] = "Assigned to Employee", _xlpm.emp, "N/A"))</f>
        <v>N/A</v>
      </c>
      <c r="O429" s="159" t="str" cm="1">
        <f t="array" ref="O42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2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29" s="189"/>
      <c r="R429" s="189" t="s">
        <v>312</v>
      </c>
      <c r="S429" s="189"/>
    </row>
    <row r="430" spans="1:19" s="1" customFormat="1" x14ac:dyDescent="0.2">
      <c r="A430" s="155">
        <v>316</v>
      </c>
      <c r="B430" s="189" t="s">
        <v>304</v>
      </c>
      <c r="C430" s="189" t="s">
        <v>403</v>
      </c>
      <c r="D430" s="189" t="s">
        <v>568</v>
      </c>
      <c r="E430" s="189" t="s">
        <v>306</v>
      </c>
      <c r="F430" s="195"/>
      <c r="G430" s="266" t="str">
        <f>_xlfn.XLOOKUP(ITEquipmentTable[[#This Row],[Name]], IntuneData[Device name], IntuneData[Serial number], "")</f>
        <v/>
      </c>
      <c r="H430" s="189" t="s">
        <v>295</v>
      </c>
      <c r="I430" s="189" t="s">
        <v>1376</v>
      </c>
      <c r="J430" s="189"/>
      <c r="K430" s="219" t="s">
        <v>1377</v>
      </c>
      <c r="L430" s="266" t="str">
        <f>_xlfn.LET(
_xlpm.look, _xlfn.XLOOKUP(ITEquipmentTable[[#This Row],[Name]], VNCTable[ClientName], VNCTable[IP], ""),
_xlpm.chkk, IF(ITEquipmentTable[[#This Row],[IPv4 Address]] = "N/A", "N/A", _xlpm.look),
IF(ITEquipmentTable[[#This Row],[Name]] = "", "", _xlpm.chkk))</f>
        <v>10.68.89.77</v>
      </c>
      <c r="M430" s="189" t="s">
        <v>1378</v>
      </c>
      <c r="N430" s="159" t="str">
        <f>_xlfn.LET(_xlpm.emp, IF(_xlfn.XLOOKUP(ITEquipmentTable[[#This Row],[Assigned Employee]], EmployeeTable[name], EmployeeTable[Active], TRUE), "Employee", "Recover"),
IF(ITEquipmentTable[[#This Row],[Storage Location]] = "Assigned to Employee", _xlpm.emp, "N/A"))</f>
        <v>N/A</v>
      </c>
      <c r="O430" s="159" t="str" cm="1">
        <f t="array" ref="O43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3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30" s="189"/>
      <c r="R430" s="193" t="s">
        <v>312</v>
      </c>
      <c r="S430" s="189" t="s">
        <v>319</v>
      </c>
    </row>
    <row r="431" spans="1:19" s="1" customFormat="1" x14ac:dyDescent="0.2">
      <c r="A431" s="155">
        <v>317</v>
      </c>
      <c r="B431" s="189" t="s">
        <v>304</v>
      </c>
      <c r="C431" s="189" t="s">
        <v>403</v>
      </c>
      <c r="D431" s="189" t="s">
        <v>568</v>
      </c>
      <c r="E431" s="189" t="s">
        <v>306</v>
      </c>
      <c r="F431" s="195"/>
      <c r="G431" s="266" t="str">
        <f>_xlfn.XLOOKUP(ITEquipmentTable[[#This Row],[Name]], IntuneData[Device name], IntuneData[Serial number], "")</f>
        <v/>
      </c>
      <c r="H431" s="189" t="s">
        <v>295</v>
      </c>
      <c r="I431" s="189" t="s">
        <v>1394</v>
      </c>
      <c r="J431" s="189"/>
      <c r="K431" s="154" t="s">
        <v>1129</v>
      </c>
      <c r="L431" s="266" t="str">
        <f>_xlfn.LET(
_xlpm.look, _xlfn.XLOOKUP(ITEquipmentTable[[#This Row],[Name]], VNCTable[ClientName], VNCTable[IP], ""),
_xlpm.chkk, IF(ITEquipmentTable[[#This Row],[IPv4 Address]] = "N/A", "N/A", _xlpm.look),
IF(ITEquipmentTable[[#This Row],[Name]] = "", "", _xlpm.chkk))</f>
        <v/>
      </c>
      <c r="M431" s="189" t="s">
        <v>1395</v>
      </c>
      <c r="N431" s="159" t="str">
        <f>_xlfn.LET(_xlpm.emp, IF(_xlfn.XLOOKUP(ITEquipmentTable[[#This Row],[Assigned Employee]], EmployeeTable[name], EmployeeTable[Active], TRUE), "Employee", "Recover"),
IF(ITEquipmentTable[[#This Row],[Storage Location]] = "Assigned to Employee", _xlpm.emp, "N/A"))</f>
        <v>N/A</v>
      </c>
      <c r="O431" s="159" t="str" cm="1">
        <f t="array" ref="O43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3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31" s="189"/>
      <c r="R431" s="193" t="s">
        <v>312</v>
      </c>
      <c r="S431" s="189" t="s">
        <v>319</v>
      </c>
    </row>
    <row r="432" spans="1:19" s="1" customFormat="1" x14ac:dyDescent="0.2">
      <c r="A432" s="155">
        <v>600</v>
      </c>
      <c r="B432" s="1" t="s">
        <v>304</v>
      </c>
      <c r="C432" s="1" t="s">
        <v>403</v>
      </c>
      <c r="E432" s="1" t="s">
        <v>306</v>
      </c>
      <c r="F432" s="195"/>
      <c r="G432" s="266" t="str">
        <f>_xlfn.XLOOKUP(ITEquipmentTable[[#This Row],[Name]], IntuneData[Device name], IntuneData[Serial number], "")</f>
        <v/>
      </c>
      <c r="K432" s="154"/>
      <c r="L432" s="266" t="str">
        <f>_xlfn.LET(
_xlpm.look, _xlfn.XLOOKUP(ITEquipmentTable[[#This Row],[Name]], VNCTable[ClientName], VNCTable[IP], ""),
_xlpm.chkk, IF(ITEquipmentTable[[#This Row],[IPv4 Address]] = "N/A", "N/A", _xlpm.look),
IF(ITEquipmentTable[[#This Row],[Name]] = "", "", _xlpm.chkk))</f>
        <v/>
      </c>
      <c r="M432" s="1" t="s">
        <v>1859</v>
      </c>
      <c r="N432" s="159" t="str">
        <f>_xlfn.LET(_xlpm.emp, IF(_xlfn.XLOOKUP(ITEquipmentTable[[#This Row],[Assigned Employee]], EmployeeTable[name], EmployeeTable[Active], TRUE), "Employee", "Recover"),
IF(ITEquipmentTable[[#This Row],[Storage Location]] = "Assigned to Employee", _xlpm.emp, "N/A"))</f>
        <v>N/A</v>
      </c>
      <c r="O432" s="161" t="str" cm="1">
        <f t="array" ref="O43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3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432" s="1" t="s">
        <v>298</v>
      </c>
    </row>
    <row r="433" spans="1:19" s="1" customFormat="1" hidden="1" x14ac:dyDescent="0.2">
      <c r="A433" s="155">
        <v>578</v>
      </c>
      <c r="F433" s="195"/>
      <c r="G433" s="1" t="str">
        <f>_xlfn.XLOOKUP(ITEquipmentTable[[#This Row],[Name]], IntuneData[Device name], IntuneData[Serial number], "")</f>
        <v/>
      </c>
      <c r="K433" s="154"/>
      <c r="L433" s="1" t="str">
        <f>_xlfn.LET(
_xlpm.look, _xlfn.XLOOKUP(ITEquipmentTable[[#This Row],[Name]], VNCTable[ClientName], VNCTable[IP], ""),
_xlpm.chkk, IF(ITEquipmentTable[[#This Row],[IPv4 Address]] = "N/A", "N/A", _xlpm.look),
IF(ITEquipmentTable[[#This Row],[Name]] = "", "", _xlpm.chkk))</f>
        <v/>
      </c>
      <c r="M433" s="1" t="s">
        <v>1874</v>
      </c>
      <c r="N433" s="159" t="str">
        <f>_xlfn.LET(_xlpm.emp, IF(_xlfn.XLOOKUP(ITEquipmentTable[[#This Row],[Assigned Employee]], EmployeeTable[name], EmployeeTable[Active], TRUE), "Employee", "Recover"),
IF(ITEquipmentTable[[#This Row],[Storage Location]] = "Assigned to Employee", _xlpm.emp, "N/A"))</f>
        <v>N/A</v>
      </c>
      <c r="O433" s="159" t="str" cm="1">
        <f t="array" ref="O43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3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433" s="1" t="s">
        <v>312</v>
      </c>
      <c r="S433" s="1" t="s">
        <v>298</v>
      </c>
    </row>
    <row r="434" spans="1:19" s="1" customFormat="1" x14ac:dyDescent="0.2">
      <c r="A434" s="155">
        <v>597</v>
      </c>
      <c r="B434" s="1" t="s">
        <v>304</v>
      </c>
      <c r="C434" s="1" t="s">
        <v>403</v>
      </c>
      <c r="D434" s="218" t="s">
        <v>568</v>
      </c>
      <c r="E434" s="1" t="s">
        <v>306</v>
      </c>
      <c r="F434" s="195" t="s">
        <v>1854</v>
      </c>
      <c r="G434" s="266" t="str">
        <f>_xlfn.XLOOKUP(ITEquipmentTable[[#This Row],[Name]], IntuneData[Device name], IntuneData[Serial number], "")</f>
        <v/>
      </c>
      <c r="H434" s="1" t="s">
        <v>318</v>
      </c>
      <c r="K434" s="154" t="s">
        <v>226</v>
      </c>
      <c r="L434" s="266" t="str">
        <f>_xlfn.LET(
_xlpm.look, _xlfn.XLOOKUP(ITEquipmentTable[[#This Row],[Name]], VNCTable[ClientName], VNCTable[IP], ""),
_xlpm.chkk, IF(ITEquipmentTable[[#This Row],[IPv4 Address]] = "N/A", "N/A", _xlpm.look),
IF(ITEquipmentTable[[#This Row],[Name]] = "", "", _xlpm.chkk))</f>
        <v>N/A</v>
      </c>
      <c r="M434" s="1" t="s">
        <v>1855</v>
      </c>
      <c r="N434" s="159" t="str">
        <f>_xlfn.LET(_xlpm.emp, IF(_xlfn.XLOOKUP(ITEquipmentTable[[#This Row],[Assigned Employee]], EmployeeTable[name], EmployeeTable[Active], TRUE), "Employee", "Recover"),
IF(ITEquipmentTable[[#This Row],[Storage Location]] = "Assigned to Employee", _xlpm.emp, "N/A"))</f>
        <v>N/A</v>
      </c>
      <c r="O434" s="161" t="str" cm="1">
        <f t="array" ref="O43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3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34" s="1" t="s">
        <v>312</v>
      </c>
    </row>
    <row r="435" spans="1:19" s="1" customFormat="1" hidden="1" x14ac:dyDescent="0.2">
      <c r="A435" s="155">
        <v>319</v>
      </c>
      <c r="B435" s="189" t="s">
        <v>323</v>
      </c>
      <c r="E435" s="189" t="s">
        <v>306</v>
      </c>
      <c r="F435" s="195"/>
      <c r="G435" s="159" t="str">
        <f>_xlfn.XLOOKUP(ITEquipmentTable[[#This Row],[Name]], IntuneData[Device name], IntuneData[Serial number], "")</f>
        <v/>
      </c>
      <c r="H435" s="189" t="s">
        <v>295</v>
      </c>
      <c r="I435" s="189" t="s">
        <v>556</v>
      </c>
      <c r="J435" s="189"/>
      <c r="K435" s="219"/>
      <c r="L435" s="159" t="str">
        <f>_xlfn.LET(
_xlpm.look, _xlfn.XLOOKUP(ITEquipmentTable[[#This Row],[Name]], VNCTable[ClientName], VNCTable[IP], ""),
_xlpm.chkk, IF(ITEquipmentTable[[#This Row],[IPv4 Address]] = "N/A", "N/A", _xlpm.look),
IF(ITEquipmentTable[[#This Row],[Name]] = "", "", _xlpm.chkk))</f>
        <v/>
      </c>
      <c r="M435" s="189" t="s">
        <v>557</v>
      </c>
      <c r="N435" s="159" t="str">
        <f>_xlfn.LET(_xlpm.emp, IF(_xlfn.XLOOKUP(ITEquipmentTable[[#This Row],[Assigned Employee]], EmployeeTable[name], EmployeeTable[Active], TRUE), "Employee", "Recover"),
IF(ITEquipmentTable[[#This Row],[Storage Location]] = "Assigned to Employee", _xlpm.emp, "N/A"))</f>
        <v>N/A</v>
      </c>
      <c r="O435" s="159" t="str" cm="1">
        <f t="array" ref="O43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WinSer 2019 / LTSC</v>
      </c>
      <c r="P43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35" s="193"/>
      <c r="R435" s="193"/>
      <c r="S435" s="189" t="s">
        <v>299</v>
      </c>
    </row>
    <row r="436" spans="1:19" s="1" customFormat="1" hidden="1" x14ac:dyDescent="0.2">
      <c r="A436" s="155">
        <v>601</v>
      </c>
      <c r="F436" s="195"/>
      <c r="G436" s="164" t="str">
        <f>_xlfn.XLOOKUP(ITEquipmentTable[[#This Row],[Name]], IntuneData[Device name], IntuneData[Serial number], "")</f>
        <v/>
      </c>
      <c r="K436" s="154"/>
      <c r="L436" s="164" t="str">
        <f>_xlfn.LET(
_xlpm.look, _xlfn.XLOOKUP(ITEquipmentTable[[#This Row],[Name]], VNCTable[ClientName], VNCTable[IP], ""),
_xlpm.chkk, IF(ITEquipmentTable[[#This Row],[IPv4 Address]] = "N/A", "N/A", _xlpm.look),
IF(ITEquipmentTable[[#This Row],[Name]] = "", "", _xlpm.chkk))</f>
        <v/>
      </c>
      <c r="M436" s="1" t="s">
        <v>1878</v>
      </c>
      <c r="N436" s="159" t="str">
        <f>_xlfn.LET(_xlpm.emp, IF(_xlfn.XLOOKUP(ITEquipmentTable[[#This Row],[Assigned Employee]], EmployeeTable[name], EmployeeTable[Active], TRUE), "Employee", "Recover"),
IF(ITEquipmentTable[[#This Row],[Storage Location]] = "Assigned to Employee", _xlpm.emp, "N/A"))</f>
        <v>N/A</v>
      </c>
      <c r="O436" s="161" t="str" cm="1">
        <f t="array" ref="O43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3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436" s="1" t="s">
        <v>298</v>
      </c>
    </row>
    <row r="437" spans="1:19" s="1" customFormat="1" hidden="1" x14ac:dyDescent="0.2">
      <c r="A437" s="155">
        <v>82</v>
      </c>
      <c r="B437" s="1" t="s">
        <v>304</v>
      </c>
      <c r="C437" s="1" t="s">
        <v>308</v>
      </c>
      <c r="D437" s="1" t="s">
        <v>309</v>
      </c>
      <c r="E437" s="1" t="s">
        <v>310</v>
      </c>
      <c r="F437" s="195" t="s">
        <v>728</v>
      </c>
      <c r="G437" s="159" t="str">
        <f>_xlfn.XLOOKUP(ITEquipmentTable[[#This Row],[Name]], IntuneData[Device name], IntuneData[Serial number], "")</f>
        <v/>
      </c>
      <c r="H437" s="1" t="s">
        <v>295</v>
      </c>
      <c r="I437" s="1" t="s">
        <v>390</v>
      </c>
      <c r="K437" s="154" t="s">
        <v>3548</v>
      </c>
      <c r="L437" s="159" t="str">
        <f>_xlfn.LET(
_xlpm.look, _xlfn.XLOOKUP(ITEquipmentTable[[#This Row],[Name]], VNCTable[ClientName], VNCTable[IP], ""),
_xlpm.chkk, IF(ITEquipmentTable[[#This Row],[IPv4 Address]] = "N/A", "N/A", _xlpm.look),
IF(ITEquipmentTable[[#This Row],[Name]] = "", "", _xlpm.chkk))</f>
        <v>10.68.134.143</v>
      </c>
      <c r="M437" s="1" t="s">
        <v>729</v>
      </c>
      <c r="N437" s="159" t="str">
        <f>_xlfn.LET(_xlpm.emp, IF(_xlfn.XLOOKUP(ITEquipmentTable[[#This Row],[Assigned Employee]], EmployeeTable[name], EmployeeTable[Active], TRUE), "Employee", "Recover"),
IF(ITEquipmentTable[[#This Row],[Storage Location]] = "Assigned to Employee", _xlpm.emp, "N/A"))</f>
        <v>N/A</v>
      </c>
      <c r="O437" s="159" t="str" cm="1">
        <f t="array" ref="O43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43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37" s="189" t="s">
        <v>312</v>
      </c>
    </row>
    <row r="438" spans="1:19" s="1" customFormat="1" hidden="1" x14ac:dyDescent="0.2">
      <c r="A438" s="155">
        <v>111</v>
      </c>
      <c r="B438" s="1" t="s">
        <v>304</v>
      </c>
      <c r="C438" s="1" t="s">
        <v>308</v>
      </c>
      <c r="D438" s="1" t="s">
        <v>435</v>
      </c>
      <c r="E438" s="1" t="s">
        <v>310</v>
      </c>
      <c r="F438" s="195" t="s">
        <v>859</v>
      </c>
      <c r="G438" s="159" t="str">
        <f>_xlfn.XLOOKUP(ITEquipmentTable[[#This Row],[Name]], IntuneData[Device name], IntuneData[Serial number], "")</f>
        <v/>
      </c>
      <c r="H438" s="1" t="s">
        <v>318</v>
      </c>
      <c r="K438" s="154" t="s">
        <v>226</v>
      </c>
      <c r="L438" s="159" t="str">
        <f>_xlfn.LET(
_xlpm.look, _xlfn.XLOOKUP(ITEquipmentTable[[#This Row],[Name]], VNCTable[ClientName], VNCTable[IP], ""),
_xlpm.chkk, IF(ITEquipmentTable[[#This Row],[IPv4 Address]] = "N/A", "N/A", _xlpm.look),
IF(ITEquipmentTable[[#This Row],[Name]] = "", "", _xlpm.chkk))</f>
        <v/>
      </c>
      <c r="N438" s="159" t="str">
        <f>_xlfn.LET(_xlpm.emp, IF(_xlfn.XLOOKUP(ITEquipmentTable[[#This Row],[Assigned Employee]], EmployeeTable[name], EmployeeTable[Active], TRUE), "Employee", "Recover"),
IF(ITEquipmentTable[[#This Row],[Storage Location]] = "Assigned to Employee", _xlpm.emp, "N/A"))</f>
        <v>N/A</v>
      </c>
      <c r="O438" s="159" t="str" cm="1">
        <f t="array" ref="O43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43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38" s="1" t="s">
        <v>454</v>
      </c>
      <c r="R438" s="189" t="s">
        <v>312</v>
      </c>
    </row>
    <row r="439" spans="1:19" s="1" customFormat="1" x14ac:dyDescent="0.2">
      <c r="A439" s="155">
        <v>303</v>
      </c>
      <c r="B439" s="189" t="s">
        <v>304</v>
      </c>
      <c r="C439" s="189" t="s">
        <v>403</v>
      </c>
      <c r="D439" s="189" t="s">
        <v>568</v>
      </c>
      <c r="E439" s="189" t="s">
        <v>306</v>
      </c>
      <c r="F439" s="195"/>
      <c r="G439" s="159" t="str">
        <f>_xlfn.XLOOKUP(ITEquipmentTable[[#This Row],[Name]], IntuneData[Device name], IntuneData[Serial number], "")</f>
        <v/>
      </c>
      <c r="H439" s="189" t="s">
        <v>318</v>
      </c>
      <c r="I439" s="189" t="s">
        <v>226</v>
      </c>
      <c r="J439" s="189"/>
      <c r="K439" s="154" t="s">
        <v>226</v>
      </c>
      <c r="L439" s="159" t="str">
        <f>_xlfn.LET(
_xlpm.look, _xlfn.XLOOKUP(ITEquipmentTable[[#This Row],[Name]], VNCTable[ClientName], VNCTable[IP], ""),
_xlpm.chkk, IF(ITEquipmentTable[[#This Row],[IPv4 Address]] = "N/A", "N/A", _xlpm.look),
IF(ITEquipmentTable[[#This Row],[Name]] = "", "", _xlpm.chkk))</f>
        <v>N/A</v>
      </c>
      <c r="M439" s="189" t="s">
        <v>226</v>
      </c>
      <c r="N439" s="159" t="str">
        <f>_xlfn.LET(_xlpm.emp, IF(_xlfn.XLOOKUP(ITEquipmentTable[[#This Row],[Assigned Employee]], EmployeeTable[name], EmployeeTable[Active], TRUE), "Employee", "Recover"),
IF(ITEquipmentTable[[#This Row],[Storage Location]] = "Assigned to Employee", _xlpm.emp, "N/A"))</f>
        <v>N/A</v>
      </c>
      <c r="O439" s="159" t="str" cm="1">
        <f t="array" ref="O43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3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39" s="193"/>
      <c r="R439" s="193" t="s">
        <v>312</v>
      </c>
      <c r="S439" s="189" t="s">
        <v>319</v>
      </c>
    </row>
    <row r="440" spans="1:19" s="1" customFormat="1" hidden="1" x14ac:dyDescent="0.2">
      <c r="A440" s="155">
        <v>320</v>
      </c>
      <c r="B440" s="1" t="s">
        <v>350</v>
      </c>
      <c r="C440" s="1" t="s">
        <v>519</v>
      </c>
      <c r="D440" s="1" t="s">
        <v>520</v>
      </c>
      <c r="E440" s="1" t="s">
        <v>306</v>
      </c>
      <c r="F440" s="195" t="s">
        <v>521</v>
      </c>
      <c r="G440" s="159" t="str">
        <f>_xlfn.XLOOKUP(ITEquipmentTable[[#This Row],[Name]], IntuneData[Device name], IntuneData[Serial number], "")</f>
        <v/>
      </c>
      <c r="I440" s="1" t="s">
        <v>522</v>
      </c>
      <c r="K440" s="154" t="s">
        <v>226</v>
      </c>
      <c r="L440" s="159" t="str">
        <f>_xlfn.LET(
_xlpm.look, _xlfn.XLOOKUP(ITEquipmentTable[[#This Row],[Name]], VNCTable[ClientName], VNCTable[IP], ""),
_xlpm.chkk, IF(ITEquipmentTable[[#This Row],[IPv4 Address]] = "N/A", "N/A", _xlpm.look),
IF(ITEquipmentTable[[#This Row],[Name]] = "", "", _xlpm.chkk))</f>
        <v>N/A</v>
      </c>
      <c r="M440" s="1" t="s">
        <v>226</v>
      </c>
      <c r="N440" s="159" t="str">
        <f>_xlfn.LET(_xlpm.emp, IF(_xlfn.XLOOKUP(ITEquipmentTable[[#This Row],[Assigned Employee]], EmployeeTable[name], EmployeeTable[Active], TRUE), "Employee", "Recover"),
IF(ITEquipmentTable[[#This Row],[Storage Location]] = "Assigned to Employee", _xlpm.emp, "N/A"))</f>
        <v>N/A</v>
      </c>
      <c r="O440" s="159" t="str" cm="1">
        <f t="array" ref="O44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4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440" s="1" t="s">
        <v>352</v>
      </c>
      <c r="R440" s="189" t="s">
        <v>351</v>
      </c>
      <c r="S440" s="1" t="s">
        <v>523</v>
      </c>
    </row>
    <row r="441" spans="1:19" s="1" customFormat="1" hidden="1" x14ac:dyDescent="0.2">
      <c r="A441" s="155">
        <v>321</v>
      </c>
      <c r="B441" s="1" t="s">
        <v>350</v>
      </c>
      <c r="C441" s="1" t="s">
        <v>519</v>
      </c>
      <c r="D441" s="1" t="s">
        <v>520</v>
      </c>
      <c r="E441" s="1" t="s">
        <v>306</v>
      </c>
      <c r="F441" s="195" t="s">
        <v>525</v>
      </c>
      <c r="G441" s="266" t="str">
        <f>_xlfn.XLOOKUP(ITEquipmentTable[[#This Row],[Name]], IntuneData[Device name], IntuneData[Serial number], "")</f>
        <v/>
      </c>
      <c r="H441" s="1" t="s">
        <v>295</v>
      </c>
      <c r="I441" s="1" t="s">
        <v>522</v>
      </c>
      <c r="K441" s="154" t="s">
        <v>226</v>
      </c>
      <c r="L441" s="266" t="str">
        <f>_xlfn.LET(
_xlpm.look, _xlfn.XLOOKUP(ITEquipmentTable[[#This Row],[Name]], VNCTable[ClientName], VNCTable[IP], ""),
_xlpm.chkk, IF(ITEquipmentTable[[#This Row],[IPv4 Address]] = "N/A", "N/A", _xlpm.look),
IF(ITEquipmentTable[[#This Row],[Name]] = "", "", _xlpm.chkk))</f>
        <v>N/A</v>
      </c>
      <c r="M441" s="1" t="s">
        <v>226</v>
      </c>
      <c r="N441" s="159" t="str">
        <f>_xlfn.LET(_xlpm.emp, IF(_xlfn.XLOOKUP(ITEquipmentTable[[#This Row],[Assigned Employee]], EmployeeTable[name], EmployeeTable[Active], TRUE), "Employee", "Recover"),
IF(ITEquipmentTable[[#This Row],[Storage Location]] = "Assigned to Employee", _xlpm.emp, "N/A"))</f>
        <v>N/A</v>
      </c>
      <c r="O441" s="159" t="str" cm="1">
        <f t="array" ref="O44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4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41" s="1" t="s">
        <v>526</v>
      </c>
      <c r="R441" s="189" t="s">
        <v>312</v>
      </c>
    </row>
    <row r="442" spans="1:19" s="1" customFormat="1" hidden="1" x14ac:dyDescent="0.2">
      <c r="A442" s="155">
        <v>322</v>
      </c>
      <c r="B442" s="1" t="s">
        <v>350</v>
      </c>
      <c r="C442" s="1" t="s">
        <v>519</v>
      </c>
      <c r="D442" s="1" t="s">
        <v>520</v>
      </c>
      <c r="E442" s="1" t="s">
        <v>306</v>
      </c>
      <c r="F442" s="195" t="s">
        <v>528</v>
      </c>
      <c r="G442" s="266" t="str">
        <f>_xlfn.XLOOKUP(ITEquipmentTable[[#This Row],[Name]], IntuneData[Device name], IntuneData[Serial number], "")</f>
        <v/>
      </c>
      <c r="H442" s="1" t="s">
        <v>295</v>
      </c>
      <c r="I442" s="1" t="s">
        <v>522</v>
      </c>
      <c r="K442" s="154" t="s">
        <v>226</v>
      </c>
      <c r="L442" s="266" t="str">
        <f>_xlfn.LET(
_xlpm.look, _xlfn.XLOOKUP(ITEquipmentTable[[#This Row],[Name]], VNCTable[ClientName], VNCTable[IP], ""),
_xlpm.chkk, IF(ITEquipmentTable[[#This Row],[IPv4 Address]] = "N/A", "N/A", _xlpm.look),
IF(ITEquipmentTable[[#This Row],[Name]] = "", "", _xlpm.chkk))</f>
        <v>N/A</v>
      </c>
      <c r="M442" s="1" t="s">
        <v>226</v>
      </c>
      <c r="N442" s="159" t="str">
        <f>_xlfn.LET(_xlpm.emp, IF(_xlfn.XLOOKUP(ITEquipmentTable[[#This Row],[Assigned Employee]], EmployeeTable[name], EmployeeTable[Active], TRUE), "Employee", "Recover"),
IF(ITEquipmentTable[[#This Row],[Storage Location]] = "Assigned to Employee", _xlpm.emp, "N/A"))</f>
        <v>N/A</v>
      </c>
      <c r="O442" s="159" t="str" cm="1">
        <f t="array" ref="O44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4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42" s="1" t="s">
        <v>529</v>
      </c>
      <c r="R442" s="189" t="s">
        <v>312</v>
      </c>
    </row>
    <row r="443" spans="1:19" s="1" customFormat="1" hidden="1" x14ac:dyDescent="0.2">
      <c r="A443" s="155">
        <v>330</v>
      </c>
      <c r="B443" s="1" t="s">
        <v>379</v>
      </c>
      <c r="C443" s="1" t="s">
        <v>514</v>
      </c>
      <c r="D443" s="1" t="s">
        <v>693</v>
      </c>
      <c r="E443" s="1" t="s">
        <v>331</v>
      </c>
      <c r="F443" s="224"/>
      <c r="G443" s="159" t="str">
        <f>_xlfn.XLOOKUP(ITEquipmentTable[[#This Row],[Name]], IntuneData[Device name], IntuneData[Serial number], "")</f>
        <v/>
      </c>
      <c r="H443" s="1" t="s">
        <v>302</v>
      </c>
      <c r="K443" s="154" t="s">
        <v>226</v>
      </c>
      <c r="L443" s="159" t="str">
        <f>_xlfn.LET(
_xlpm.look, _xlfn.XLOOKUP(ITEquipmentTable[[#This Row],[Name]], VNCTable[ClientName], VNCTable[IP], ""),
_xlpm.chkk, IF(ITEquipmentTable[[#This Row],[IPv4 Address]] = "N/A", "N/A", _xlpm.look),
IF(ITEquipmentTable[[#This Row],[Name]] = "", "", _xlpm.chkk))</f>
        <v>N/A</v>
      </c>
      <c r="M443" s="1" t="s">
        <v>226</v>
      </c>
      <c r="N443" s="159" t="str">
        <f>_xlfn.LET(_xlpm.emp, IF(_xlfn.XLOOKUP(ITEquipmentTable[[#This Row],[Assigned Employee]], EmployeeTable[name], EmployeeTable[Active], TRUE), "Employee", "Recover"),
IF(ITEquipmentTable[[#This Row],[Storage Location]] = "Assigned to Employee", _xlpm.emp, "N/A"))</f>
        <v>N/A</v>
      </c>
      <c r="O443" s="159" t="str" cm="1">
        <f t="array" ref="O44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4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43" s="1" t="s">
        <v>1893</v>
      </c>
      <c r="R443" s="1" t="s">
        <v>351</v>
      </c>
    </row>
    <row r="444" spans="1:19" s="1" customFormat="1" hidden="1" x14ac:dyDescent="0.2">
      <c r="A444" s="155">
        <v>331</v>
      </c>
      <c r="B444" s="1" t="s">
        <v>379</v>
      </c>
      <c r="C444" s="1" t="s">
        <v>514</v>
      </c>
      <c r="D444" s="1" t="s">
        <v>693</v>
      </c>
      <c r="E444" s="1" t="s">
        <v>331</v>
      </c>
      <c r="F444" s="195"/>
      <c r="G444" s="159" t="str">
        <f>_xlfn.XLOOKUP(ITEquipmentTable[[#This Row],[Name]], IntuneData[Device name], IntuneData[Serial number], "")</f>
        <v/>
      </c>
      <c r="H444" s="1" t="s">
        <v>302</v>
      </c>
      <c r="K444" s="154" t="s">
        <v>226</v>
      </c>
      <c r="L444" s="159" t="str">
        <f>_xlfn.LET(
_xlpm.look, _xlfn.XLOOKUP(ITEquipmentTable[[#This Row],[Name]], VNCTable[ClientName], VNCTable[IP], ""),
_xlpm.chkk, IF(ITEquipmentTable[[#This Row],[IPv4 Address]] = "N/A", "N/A", _xlpm.look),
IF(ITEquipmentTable[[#This Row],[Name]] = "", "", _xlpm.chkk))</f>
        <v>N/A</v>
      </c>
      <c r="M444" s="1" t="s">
        <v>226</v>
      </c>
      <c r="N444" s="159" t="str">
        <f>_xlfn.LET(_xlpm.emp, IF(_xlfn.XLOOKUP(ITEquipmentTable[[#This Row],[Assigned Employee]], EmployeeTable[name], EmployeeTable[Active], TRUE), "Employee", "Recover"),
IF(ITEquipmentTable[[#This Row],[Storage Location]] = "Assigned to Employee", _xlpm.emp, "N/A"))</f>
        <v>N/A</v>
      </c>
      <c r="O444" s="159" t="str" cm="1">
        <f t="array" ref="O44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4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44" s="1" t="s">
        <v>1893</v>
      </c>
      <c r="R444" s="1" t="s">
        <v>351</v>
      </c>
    </row>
    <row r="445" spans="1:19" s="1" customFormat="1" hidden="1" x14ac:dyDescent="0.2">
      <c r="A445" s="155">
        <v>332</v>
      </c>
      <c r="B445" s="1" t="s">
        <v>379</v>
      </c>
      <c r="C445" s="1" t="s">
        <v>514</v>
      </c>
      <c r="D445" s="1" t="s">
        <v>693</v>
      </c>
      <c r="E445" s="1" t="s">
        <v>331</v>
      </c>
      <c r="F445" s="195"/>
      <c r="G445" s="159" t="str">
        <f>_xlfn.XLOOKUP(ITEquipmentTable[[#This Row],[Name]], IntuneData[Device name], IntuneData[Serial number], "")</f>
        <v/>
      </c>
      <c r="H445" s="1" t="s">
        <v>302</v>
      </c>
      <c r="K445" s="154" t="s">
        <v>226</v>
      </c>
      <c r="L445" s="159" t="str">
        <f>_xlfn.LET(
_xlpm.look, _xlfn.XLOOKUP(ITEquipmentTable[[#This Row],[Name]], VNCTable[ClientName], VNCTable[IP], ""),
_xlpm.chkk, IF(ITEquipmentTable[[#This Row],[IPv4 Address]] = "N/A", "N/A", _xlpm.look),
IF(ITEquipmentTable[[#This Row],[Name]] = "", "", _xlpm.chkk))</f>
        <v>N/A</v>
      </c>
      <c r="M445" s="1" t="s">
        <v>226</v>
      </c>
      <c r="N445" s="159" t="str">
        <f>_xlfn.LET(_xlpm.emp, IF(_xlfn.XLOOKUP(ITEquipmentTable[[#This Row],[Assigned Employee]], EmployeeTable[name], EmployeeTable[Active], TRUE), "Employee", "Recover"),
IF(ITEquipmentTable[[#This Row],[Storage Location]] = "Assigned to Employee", _xlpm.emp, "N/A"))</f>
        <v>N/A</v>
      </c>
      <c r="O445" s="159" t="str" cm="1">
        <f t="array" ref="O44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4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45" s="1" t="s">
        <v>1893</v>
      </c>
      <c r="R445" s="1" t="s">
        <v>351</v>
      </c>
    </row>
    <row r="446" spans="1:19" s="1" customFormat="1" hidden="1" x14ac:dyDescent="0.2">
      <c r="A446" s="155">
        <v>333</v>
      </c>
      <c r="B446" s="1" t="s">
        <v>379</v>
      </c>
      <c r="C446" s="1" t="s">
        <v>514</v>
      </c>
      <c r="D446" s="1" t="s">
        <v>693</v>
      </c>
      <c r="E446" s="1" t="s">
        <v>331</v>
      </c>
      <c r="F446" s="195"/>
      <c r="G446" s="159" t="str">
        <f>_xlfn.XLOOKUP(ITEquipmentTable[[#This Row],[Name]], IntuneData[Device name], IntuneData[Serial number], "")</f>
        <v/>
      </c>
      <c r="H446" s="1" t="s">
        <v>302</v>
      </c>
      <c r="K446" s="154" t="s">
        <v>226</v>
      </c>
      <c r="L446" s="159" t="str">
        <f>_xlfn.LET(
_xlpm.look, _xlfn.XLOOKUP(ITEquipmentTable[[#This Row],[Name]], VNCTable[ClientName], VNCTable[IP], ""),
_xlpm.chkk, IF(ITEquipmentTable[[#This Row],[IPv4 Address]] = "N/A", "N/A", _xlpm.look),
IF(ITEquipmentTable[[#This Row],[Name]] = "", "", _xlpm.chkk))</f>
        <v>N/A</v>
      </c>
      <c r="M446" s="1" t="s">
        <v>226</v>
      </c>
      <c r="N446" s="159" t="str">
        <f>_xlfn.LET(_xlpm.emp, IF(_xlfn.XLOOKUP(ITEquipmentTable[[#This Row],[Assigned Employee]], EmployeeTable[name], EmployeeTable[Active], TRUE), "Employee", "Recover"),
IF(ITEquipmentTable[[#This Row],[Storage Location]] = "Assigned to Employee", _xlpm.emp, "N/A"))</f>
        <v>N/A</v>
      </c>
      <c r="O446" s="159" t="str" cm="1">
        <f t="array" ref="O44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4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46" s="1" t="s">
        <v>1893</v>
      </c>
      <c r="R446" s="1" t="s">
        <v>351</v>
      </c>
    </row>
    <row r="447" spans="1:19" s="1" customFormat="1" hidden="1" x14ac:dyDescent="0.2">
      <c r="A447" s="155">
        <v>334</v>
      </c>
      <c r="B447" s="1" t="s">
        <v>379</v>
      </c>
      <c r="C447" s="1" t="s">
        <v>514</v>
      </c>
      <c r="D447" s="1" t="s">
        <v>693</v>
      </c>
      <c r="E447" s="1" t="s">
        <v>331</v>
      </c>
      <c r="F447" s="195"/>
      <c r="G447" s="159" t="str">
        <f>_xlfn.XLOOKUP(ITEquipmentTable[[#This Row],[Name]], IntuneData[Device name], IntuneData[Serial number], "")</f>
        <v/>
      </c>
      <c r="H447" s="1" t="s">
        <v>302</v>
      </c>
      <c r="K447" s="154" t="s">
        <v>226</v>
      </c>
      <c r="L447" s="159" t="str">
        <f>_xlfn.LET(
_xlpm.look, _xlfn.XLOOKUP(ITEquipmentTable[[#This Row],[Name]], VNCTable[ClientName], VNCTable[IP], ""),
_xlpm.chkk, IF(ITEquipmentTable[[#This Row],[IPv4 Address]] = "N/A", "N/A", _xlpm.look),
IF(ITEquipmentTable[[#This Row],[Name]] = "", "", _xlpm.chkk))</f>
        <v>N/A</v>
      </c>
      <c r="M447" s="1" t="s">
        <v>226</v>
      </c>
      <c r="N447" s="159" t="str">
        <f>_xlfn.LET(_xlpm.emp, IF(_xlfn.XLOOKUP(ITEquipmentTable[[#This Row],[Assigned Employee]], EmployeeTable[name], EmployeeTable[Active], TRUE), "Employee", "Recover"),
IF(ITEquipmentTable[[#This Row],[Storage Location]] = "Assigned to Employee", _xlpm.emp, "N/A"))</f>
        <v>N/A</v>
      </c>
      <c r="O447" s="159" t="str" cm="1">
        <f t="array" ref="O44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4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47" s="1" t="s">
        <v>1893</v>
      </c>
      <c r="R447" s="1" t="s">
        <v>351</v>
      </c>
    </row>
    <row r="448" spans="1:19" s="1" customFormat="1" hidden="1" x14ac:dyDescent="0.2">
      <c r="A448" s="155">
        <v>335</v>
      </c>
      <c r="B448" s="1" t="s">
        <v>379</v>
      </c>
      <c r="C448" s="1" t="s">
        <v>514</v>
      </c>
      <c r="D448" s="1" t="s">
        <v>693</v>
      </c>
      <c r="E448" s="1" t="s">
        <v>331</v>
      </c>
      <c r="F448" s="195"/>
      <c r="G448" s="159" t="str">
        <f>_xlfn.XLOOKUP(ITEquipmentTable[[#This Row],[Name]], IntuneData[Device name], IntuneData[Serial number], "")</f>
        <v/>
      </c>
      <c r="H448" s="1" t="s">
        <v>302</v>
      </c>
      <c r="K448" s="154" t="s">
        <v>226</v>
      </c>
      <c r="L448" s="159" t="str">
        <f>_xlfn.LET(
_xlpm.look, _xlfn.XLOOKUP(ITEquipmentTable[[#This Row],[Name]], VNCTable[ClientName], VNCTable[IP], ""),
_xlpm.chkk, IF(ITEquipmentTable[[#This Row],[IPv4 Address]] = "N/A", "N/A", _xlpm.look),
IF(ITEquipmentTable[[#This Row],[Name]] = "", "", _xlpm.chkk))</f>
        <v>N/A</v>
      </c>
      <c r="M448" s="1" t="s">
        <v>226</v>
      </c>
      <c r="N448" s="159" t="str">
        <f>_xlfn.LET(_xlpm.emp, IF(_xlfn.XLOOKUP(ITEquipmentTable[[#This Row],[Assigned Employee]], EmployeeTable[name], EmployeeTable[Active], TRUE), "Employee", "Recover"),
IF(ITEquipmentTable[[#This Row],[Storage Location]] = "Assigned to Employee", _xlpm.emp, "N/A"))</f>
        <v>N/A</v>
      </c>
      <c r="O448" s="159" t="str" cm="1">
        <f t="array" ref="O44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4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48" s="1" t="s">
        <v>1893</v>
      </c>
      <c r="R448" s="1" t="s">
        <v>351</v>
      </c>
    </row>
    <row r="449" spans="1:18" s="1" customFormat="1" hidden="1" x14ac:dyDescent="0.2">
      <c r="A449" s="155">
        <v>336</v>
      </c>
      <c r="B449" s="1" t="s">
        <v>379</v>
      </c>
      <c r="C449" s="1" t="s">
        <v>514</v>
      </c>
      <c r="D449" s="1" t="s">
        <v>693</v>
      </c>
      <c r="E449" s="1" t="s">
        <v>306</v>
      </c>
      <c r="F449" s="195" t="s">
        <v>1894</v>
      </c>
      <c r="G449" s="266" t="str">
        <f>_xlfn.XLOOKUP(ITEquipmentTable[[#This Row],[Name]], IntuneData[Device name], IntuneData[Serial number], "")</f>
        <v/>
      </c>
      <c r="K449" s="154" t="s">
        <v>226</v>
      </c>
      <c r="L449" s="266" t="str">
        <f>_xlfn.LET(
_xlpm.look, _xlfn.XLOOKUP(ITEquipmentTable[[#This Row],[Name]], VNCTable[ClientName], VNCTable[IP], ""),
_xlpm.chkk, IF(ITEquipmentTable[[#This Row],[IPv4 Address]] = "N/A", "N/A", _xlpm.look),
IF(ITEquipmentTable[[#This Row],[Name]] = "", "", _xlpm.chkk))</f>
        <v>N/A</v>
      </c>
      <c r="M449" s="1" t="s">
        <v>226</v>
      </c>
      <c r="N449" s="159" t="str">
        <f>_xlfn.LET(_xlpm.emp, IF(_xlfn.XLOOKUP(ITEquipmentTable[[#This Row],[Assigned Employee]], EmployeeTable[name], EmployeeTable[Active], TRUE), "Employee", "Recover"),
IF(ITEquipmentTable[[#This Row],[Storage Location]] = "Assigned to Employee", _xlpm.emp, "N/A"))</f>
        <v>N/A</v>
      </c>
      <c r="O449" s="159" t="str" cm="1">
        <f t="array" ref="O44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4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row>
    <row r="450" spans="1:18" s="1" customFormat="1" hidden="1" x14ac:dyDescent="0.2">
      <c r="A450" s="155">
        <v>337</v>
      </c>
      <c r="B450" s="1" t="s">
        <v>379</v>
      </c>
      <c r="C450" s="1" t="s">
        <v>514</v>
      </c>
      <c r="D450" s="1" t="s">
        <v>693</v>
      </c>
      <c r="E450" s="1" t="s">
        <v>306</v>
      </c>
      <c r="F450" s="195" t="s">
        <v>1895</v>
      </c>
      <c r="G450" s="266" t="str">
        <f>_xlfn.XLOOKUP(ITEquipmentTable[[#This Row],[Name]], IntuneData[Device name], IntuneData[Serial number], "")</f>
        <v/>
      </c>
      <c r="I450" s="168"/>
      <c r="J450" s="168"/>
      <c r="K450" s="154" t="s">
        <v>226</v>
      </c>
      <c r="L450" s="266" t="str">
        <f>_xlfn.LET(
_xlpm.look, _xlfn.XLOOKUP(ITEquipmentTable[[#This Row],[Name]], VNCTable[ClientName], VNCTable[IP], ""),
_xlpm.chkk, IF(ITEquipmentTable[[#This Row],[IPv4 Address]] = "N/A", "N/A", _xlpm.look),
IF(ITEquipmentTable[[#This Row],[Name]] = "", "", _xlpm.chkk))</f>
        <v>N/A</v>
      </c>
      <c r="M450" s="1" t="s">
        <v>226</v>
      </c>
      <c r="N450" s="161" t="str">
        <f>_xlfn.LET(_xlpm.emp, IF(_xlfn.XLOOKUP(ITEquipmentTable[[#This Row],[Assigned Employee]], EmployeeTable[name], EmployeeTable[Active], TRUE), "Employee", "Recover"),
IF(ITEquipmentTable[[#This Row],[Storage Location]] = "Assigned to Employee", _xlpm.emp, "N/A"))</f>
        <v>N/A</v>
      </c>
      <c r="O450" s="161" t="str" cm="1">
        <f t="array" ref="O45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5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row>
    <row r="451" spans="1:18" s="1" customFormat="1" hidden="1" x14ac:dyDescent="0.2">
      <c r="A451" s="155">
        <v>338</v>
      </c>
      <c r="B451" s="1" t="s">
        <v>379</v>
      </c>
      <c r="C451" s="1" t="s">
        <v>514</v>
      </c>
      <c r="D451" s="1" t="s">
        <v>693</v>
      </c>
      <c r="E451" s="1" t="s">
        <v>306</v>
      </c>
      <c r="F451" s="195" t="s">
        <v>1896</v>
      </c>
      <c r="G451" s="266" t="str">
        <f>_xlfn.XLOOKUP(ITEquipmentTable[[#This Row],[Name]], IntuneData[Device name], IntuneData[Serial number], "")</f>
        <v/>
      </c>
      <c r="I451" s="168"/>
      <c r="J451" s="168"/>
      <c r="K451" s="154" t="s">
        <v>226</v>
      </c>
      <c r="L451" s="159" t="str">
        <f>_xlfn.LET(
_xlpm.look, _xlfn.XLOOKUP(ITEquipmentTable[[#This Row],[Name]], VNCTable[ClientName], VNCTable[IP], ""),
_xlpm.chkk, IF(ITEquipmentTable[[#This Row],[IPv4 Address]] = "N/A", "N/A", _xlpm.look),
IF(ITEquipmentTable[[#This Row],[Name]] = "", "", _xlpm.chkk))</f>
        <v>N/A</v>
      </c>
      <c r="M451" s="1" t="s">
        <v>226</v>
      </c>
      <c r="N451" s="161" t="str">
        <f>_xlfn.LET(_xlpm.emp, IF(_xlfn.XLOOKUP(ITEquipmentTable[[#This Row],[Assigned Employee]], EmployeeTable[name], EmployeeTable[Active], TRUE), "Employee", "Recover"),
IF(ITEquipmentTable[[#This Row],[Storage Location]] = "Assigned to Employee", _xlpm.emp, "N/A"))</f>
        <v>N/A</v>
      </c>
      <c r="O451" s="161" t="str" cm="1">
        <f t="array" ref="O45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5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row>
    <row r="452" spans="1:18" s="1" customFormat="1" hidden="1" x14ac:dyDescent="0.2">
      <c r="A452" s="155">
        <v>339</v>
      </c>
      <c r="B452" s="1" t="s">
        <v>379</v>
      </c>
      <c r="C452" s="1" t="s">
        <v>514</v>
      </c>
      <c r="D452" s="1" t="s">
        <v>693</v>
      </c>
      <c r="E452" s="1" t="s">
        <v>306</v>
      </c>
      <c r="F452" s="195" t="s">
        <v>1897</v>
      </c>
      <c r="G452" s="266" t="str">
        <f>_xlfn.XLOOKUP(ITEquipmentTable[[#This Row],[Name]], IntuneData[Device name], IntuneData[Serial number], "")</f>
        <v/>
      </c>
      <c r="K452" s="154" t="s">
        <v>226</v>
      </c>
      <c r="L452" s="159" t="str">
        <f>_xlfn.LET(
_xlpm.look, _xlfn.XLOOKUP(ITEquipmentTable[[#This Row],[Name]], VNCTable[ClientName], VNCTable[IP], ""),
_xlpm.chkk, IF(ITEquipmentTable[[#This Row],[IPv4 Address]] = "N/A", "N/A", _xlpm.look),
IF(ITEquipmentTable[[#This Row],[Name]] = "", "", _xlpm.chkk))</f>
        <v>N/A</v>
      </c>
      <c r="M452" s="1" t="s">
        <v>226</v>
      </c>
      <c r="N452" s="159" t="str">
        <f>_xlfn.LET(_xlpm.emp, IF(_xlfn.XLOOKUP(ITEquipmentTable[[#This Row],[Assigned Employee]], EmployeeTable[name], EmployeeTable[Active], TRUE), "Employee", "Recover"),
IF(ITEquipmentTable[[#This Row],[Storage Location]] = "Assigned to Employee", _xlpm.emp, "N/A"))</f>
        <v>N/A</v>
      </c>
      <c r="O452" s="159" t="str" cm="1">
        <f t="array" ref="O45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5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row>
    <row r="453" spans="1:18" s="1" customFormat="1" hidden="1" x14ac:dyDescent="0.2">
      <c r="A453" s="155">
        <v>340</v>
      </c>
      <c r="B453" s="1" t="s">
        <v>379</v>
      </c>
      <c r="C453" s="1" t="s">
        <v>514</v>
      </c>
      <c r="D453" s="1" t="s">
        <v>693</v>
      </c>
      <c r="E453" s="1" t="s">
        <v>306</v>
      </c>
      <c r="F453" s="195" t="s">
        <v>1898</v>
      </c>
      <c r="G453" s="266" t="str">
        <f>_xlfn.XLOOKUP(ITEquipmentTable[[#This Row],[Name]], IntuneData[Device name], IntuneData[Serial number], "")</f>
        <v/>
      </c>
      <c r="K453" s="154" t="s">
        <v>226</v>
      </c>
      <c r="L453" s="159" t="str">
        <f>_xlfn.LET(
_xlpm.look, _xlfn.XLOOKUP(ITEquipmentTable[[#This Row],[Name]], VNCTable[ClientName], VNCTable[IP], ""),
_xlpm.chkk, IF(ITEquipmentTable[[#This Row],[IPv4 Address]] = "N/A", "N/A", _xlpm.look),
IF(ITEquipmentTable[[#This Row],[Name]] = "", "", _xlpm.chkk))</f>
        <v>N/A</v>
      </c>
      <c r="M453" s="1" t="s">
        <v>226</v>
      </c>
      <c r="N453" s="159" t="str">
        <f>_xlfn.LET(_xlpm.emp, IF(_xlfn.XLOOKUP(ITEquipmentTable[[#This Row],[Assigned Employee]], EmployeeTable[name], EmployeeTable[Active], TRUE), "Employee", "Recover"),
IF(ITEquipmentTable[[#This Row],[Storage Location]] = "Assigned to Employee", _xlpm.emp, "N/A"))</f>
        <v>N/A</v>
      </c>
      <c r="O453" s="159" t="str" cm="1">
        <f t="array" ref="O45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5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453" s="1" t="s">
        <v>312</v>
      </c>
    </row>
    <row r="454" spans="1:18" s="1" customFormat="1" hidden="1" x14ac:dyDescent="0.2">
      <c r="A454" s="155">
        <v>341</v>
      </c>
      <c r="B454" s="1" t="s">
        <v>379</v>
      </c>
      <c r="C454" s="1" t="s">
        <v>514</v>
      </c>
      <c r="D454" s="1" t="s">
        <v>693</v>
      </c>
      <c r="E454" s="1" t="s">
        <v>306</v>
      </c>
      <c r="F454" s="195" t="s">
        <v>1899</v>
      </c>
      <c r="G454" s="266" t="str">
        <f>_xlfn.XLOOKUP(ITEquipmentTable[[#This Row],[Name]], IntuneData[Device name], IntuneData[Serial number], "")</f>
        <v/>
      </c>
      <c r="K454" s="154" t="s">
        <v>226</v>
      </c>
      <c r="L454" s="266" t="str">
        <f>_xlfn.LET(
_xlpm.look, _xlfn.XLOOKUP(ITEquipmentTable[[#This Row],[Name]], VNCTable[ClientName], VNCTable[IP], ""),
_xlpm.chkk, IF(ITEquipmentTable[[#This Row],[IPv4 Address]] = "N/A", "N/A", _xlpm.look),
IF(ITEquipmentTable[[#This Row],[Name]] = "", "", _xlpm.chkk))</f>
        <v>N/A</v>
      </c>
      <c r="M454" s="1" t="s">
        <v>226</v>
      </c>
      <c r="N454" s="159" t="str">
        <f>_xlfn.LET(_xlpm.emp, IF(_xlfn.XLOOKUP(ITEquipmentTable[[#This Row],[Assigned Employee]], EmployeeTable[name], EmployeeTable[Active], TRUE), "Employee", "Recover"),
IF(ITEquipmentTable[[#This Row],[Storage Location]] = "Assigned to Employee", _xlpm.emp, "N/A"))</f>
        <v>N/A</v>
      </c>
      <c r="O454" s="159" t="str" cm="1">
        <f t="array" ref="O45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5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row>
    <row r="455" spans="1:18" s="1" customFormat="1" hidden="1" x14ac:dyDescent="0.2">
      <c r="A455" s="155">
        <v>342</v>
      </c>
      <c r="B455" s="1" t="s">
        <v>379</v>
      </c>
      <c r="C455" s="1" t="s">
        <v>514</v>
      </c>
      <c r="D455" s="1" t="s">
        <v>693</v>
      </c>
      <c r="E455" s="1" t="s">
        <v>306</v>
      </c>
      <c r="F455" s="195" t="s">
        <v>1900</v>
      </c>
      <c r="G455" s="266" t="str">
        <f>_xlfn.XLOOKUP(ITEquipmentTable[[#This Row],[Name]], IntuneData[Device name], IntuneData[Serial number], "")</f>
        <v/>
      </c>
      <c r="K455" s="154" t="s">
        <v>226</v>
      </c>
      <c r="L455" s="159" t="str">
        <f>_xlfn.LET(
_xlpm.look, _xlfn.XLOOKUP(ITEquipmentTable[[#This Row],[Name]], VNCTable[ClientName], VNCTable[IP], ""),
_xlpm.chkk, IF(ITEquipmentTable[[#This Row],[IPv4 Address]] = "N/A", "N/A", _xlpm.look),
IF(ITEquipmentTable[[#This Row],[Name]] = "", "", _xlpm.chkk))</f>
        <v>N/A</v>
      </c>
      <c r="M455" s="1" t="s">
        <v>226</v>
      </c>
      <c r="N455" s="159" t="str">
        <f>_xlfn.LET(_xlpm.emp, IF(_xlfn.XLOOKUP(ITEquipmentTable[[#This Row],[Assigned Employee]], EmployeeTable[name], EmployeeTable[Active], TRUE), "Employee", "Recover"),
IF(ITEquipmentTable[[#This Row],[Storage Location]] = "Assigned to Employee", _xlpm.emp, "N/A"))</f>
        <v>N/A</v>
      </c>
      <c r="O455" s="159" t="str" cm="1">
        <f t="array" ref="O45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5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row>
    <row r="456" spans="1:18" s="1" customFormat="1" hidden="1" x14ac:dyDescent="0.2">
      <c r="A456" s="155">
        <v>343</v>
      </c>
      <c r="B456" s="1" t="s">
        <v>379</v>
      </c>
      <c r="C456" s="1" t="s">
        <v>514</v>
      </c>
      <c r="D456" s="1" t="s">
        <v>693</v>
      </c>
      <c r="E456" s="1" t="s">
        <v>306</v>
      </c>
      <c r="F456" s="195" t="s">
        <v>1901</v>
      </c>
      <c r="G456" s="266" t="str">
        <f>_xlfn.XLOOKUP(ITEquipmentTable[[#This Row],[Name]], IntuneData[Device name], IntuneData[Serial number], "")</f>
        <v/>
      </c>
      <c r="K456" s="154" t="s">
        <v>226</v>
      </c>
      <c r="L456" s="159" t="str">
        <f>_xlfn.LET(
_xlpm.look, _xlfn.XLOOKUP(ITEquipmentTable[[#This Row],[Name]], VNCTable[ClientName], VNCTable[IP], ""),
_xlpm.chkk, IF(ITEquipmentTable[[#This Row],[IPv4 Address]] = "N/A", "N/A", _xlpm.look),
IF(ITEquipmentTable[[#This Row],[Name]] = "", "", _xlpm.chkk))</f>
        <v>N/A</v>
      </c>
      <c r="M456" s="1" t="s">
        <v>226</v>
      </c>
      <c r="N456" s="159" t="str">
        <f>_xlfn.LET(_xlpm.emp, IF(_xlfn.XLOOKUP(ITEquipmentTable[[#This Row],[Assigned Employee]], EmployeeTable[name], EmployeeTable[Active], TRUE), "Employee", "Recover"),
IF(ITEquipmentTable[[#This Row],[Storage Location]] = "Assigned to Employee", _xlpm.emp, "N/A"))</f>
        <v>N/A</v>
      </c>
      <c r="O456" s="159" t="str" cm="1">
        <f t="array" ref="O45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5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row>
    <row r="457" spans="1:18" s="1" customFormat="1" hidden="1" x14ac:dyDescent="0.2">
      <c r="A457" s="155">
        <v>345</v>
      </c>
      <c r="B457" s="1" t="s">
        <v>379</v>
      </c>
      <c r="C457" s="1" t="s">
        <v>514</v>
      </c>
      <c r="D457" s="1" t="s">
        <v>693</v>
      </c>
      <c r="E457" s="1" t="s">
        <v>306</v>
      </c>
      <c r="F457" s="195" t="s">
        <v>1902</v>
      </c>
      <c r="G457" s="266" t="str">
        <f>_xlfn.XLOOKUP(ITEquipmentTable[[#This Row],[Name]], IntuneData[Device name], IntuneData[Serial number], "")</f>
        <v/>
      </c>
      <c r="K457" s="154" t="s">
        <v>226</v>
      </c>
      <c r="L457" s="266" t="str">
        <f>_xlfn.LET(
_xlpm.look, _xlfn.XLOOKUP(ITEquipmentTable[[#This Row],[Name]], VNCTable[ClientName], VNCTable[IP], ""),
_xlpm.chkk, IF(ITEquipmentTable[[#This Row],[IPv4 Address]] = "N/A", "N/A", _xlpm.look),
IF(ITEquipmentTable[[#This Row],[Name]] = "", "", _xlpm.chkk))</f>
        <v>N/A</v>
      </c>
      <c r="M457" s="1" t="s">
        <v>226</v>
      </c>
      <c r="N457" s="159" t="str">
        <f>_xlfn.LET(_xlpm.emp, IF(_xlfn.XLOOKUP(ITEquipmentTable[[#This Row],[Assigned Employee]], EmployeeTable[name], EmployeeTable[Active], TRUE), "Employee", "Recover"),
IF(ITEquipmentTable[[#This Row],[Storage Location]] = "Assigned to Employee", _xlpm.emp, "N/A"))</f>
        <v>N/A</v>
      </c>
      <c r="O457" s="159" t="str" cm="1">
        <f t="array" ref="O45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5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row>
    <row r="458" spans="1:18" s="1" customFormat="1" hidden="1" x14ac:dyDescent="0.2">
      <c r="A458" s="155">
        <v>346</v>
      </c>
      <c r="B458" s="1" t="s">
        <v>379</v>
      </c>
      <c r="C458" s="1" t="s">
        <v>514</v>
      </c>
      <c r="D458" s="1" t="s">
        <v>693</v>
      </c>
      <c r="E458" s="1" t="s">
        <v>306</v>
      </c>
      <c r="F458" s="195" t="s">
        <v>1903</v>
      </c>
      <c r="G458" s="266" t="str">
        <f>_xlfn.XLOOKUP(ITEquipmentTable[[#This Row],[Name]], IntuneData[Device name], IntuneData[Serial number], "")</f>
        <v/>
      </c>
      <c r="K458" s="154" t="s">
        <v>226</v>
      </c>
      <c r="L458" s="266" t="str">
        <f>_xlfn.LET(
_xlpm.look, _xlfn.XLOOKUP(ITEquipmentTable[[#This Row],[Name]], VNCTable[ClientName], VNCTable[IP], ""),
_xlpm.chkk, IF(ITEquipmentTable[[#This Row],[IPv4 Address]] = "N/A", "N/A", _xlpm.look),
IF(ITEquipmentTable[[#This Row],[Name]] = "", "", _xlpm.chkk))</f>
        <v>N/A</v>
      </c>
      <c r="M458" s="1" t="s">
        <v>226</v>
      </c>
      <c r="N458" s="159" t="str">
        <f>_xlfn.LET(_xlpm.emp, IF(_xlfn.XLOOKUP(ITEquipmentTable[[#This Row],[Assigned Employee]], EmployeeTable[name], EmployeeTable[Active], TRUE), "Employee", "Recover"),
IF(ITEquipmentTable[[#This Row],[Storage Location]] = "Assigned to Employee", _xlpm.emp, "N/A"))</f>
        <v>N/A</v>
      </c>
      <c r="O458" s="159" t="str" cm="1">
        <f t="array" ref="O45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5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row>
    <row r="459" spans="1:18" s="1" customFormat="1" hidden="1" x14ac:dyDescent="0.2">
      <c r="A459" s="155">
        <v>347</v>
      </c>
      <c r="B459" s="1" t="s">
        <v>379</v>
      </c>
      <c r="C459" s="1" t="s">
        <v>514</v>
      </c>
      <c r="D459" s="1" t="s">
        <v>693</v>
      </c>
      <c r="E459" s="1" t="s">
        <v>306</v>
      </c>
      <c r="F459" s="195" t="s">
        <v>1904</v>
      </c>
      <c r="G459" s="266" t="str">
        <f>_xlfn.XLOOKUP(ITEquipmentTable[[#This Row],[Name]], IntuneData[Device name], IntuneData[Serial number], "")</f>
        <v/>
      </c>
      <c r="K459" s="154" t="s">
        <v>226</v>
      </c>
      <c r="L459" s="266" t="str">
        <f>_xlfn.LET(
_xlpm.look, _xlfn.XLOOKUP(ITEquipmentTable[[#This Row],[Name]], VNCTable[ClientName], VNCTable[IP], ""),
_xlpm.chkk, IF(ITEquipmentTable[[#This Row],[IPv4 Address]] = "N/A", "N/A", _xlpm.look),
IF(ITEquipmentTable[[#This Row],[Name]] = "", "", _xlpm.chkk))</f>
        <v>N/A</v>
      </c>
      <c r="M459" s="1" t="s">
        <v>226</v>
      </c>
      <c r="N459" s="159" t="str">
        <f>_xlfn.LET(_xlpm.emp, IF(_xlfn.XLOOKUP(ITEquipmentTable[[#This Row],[Assigned Employee]], EmployeeTable[name], EmployeeTable[Active], TRUE), "Employee", "Recover"),
IF(ITEquipmentTable[[#This Row],[Storage Location]] = "Assigned to Employee", _xlpm.emp, "N/A"))</f>
        <v>N/A</v>
      </c>
      <c r="O459" s="159" t="str" cm="1">
        <f t="array" ref="O45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5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row>
    <row r="460" spans="1:18" s="1" customFormat="1" hidden="1" x14ac:dyDescent="0.2">
      <c r="A460" s="155">
        <v>348</v>
      </c>
      <c r="B460" s="1" t="s">
        <v>379</v>
      </c>
      <c r="C460" s="1" t="s">
        <v>514</v>
      </c>
      <c r="D460" s="1" t="s">
        <v>693</v>
      </c>
      <c r="E460" s="1" t="s">
        <v>306</v>
      </c>
      <c r="F460" s="195" t="s">
        <v>1905</v>
      </c>
      <c r="G460" s="266" t="str">
        <f>_xlfn.XLOOKUP(ITEquipmentTable[[#This Row],[Name]], IntuneData[Device name], IntuneData[Serial number], "")</f>
        <v/>
      </c>
      <c r="K460" s="154" t="s">
        <v>226</v>
      </c>
      <c r="L460" s="266" t="str">
        <f>_xlfn.LET(
_xlpm.look, _xlfn.XLOOKUP(ITEquipmentTable[[#This Row],[Name]], VNCTable[ClientName], VNCTable[IP], ""),
_xlpm.chkk, IF(ITEquipmentTable[[#This Row],[IPv4 Address]] = "N/A", "N/A", _xlpm.look),
IF(ITEquipmentTable[[#This Row],[Name]] = "", "", _xlpm.chkk))</f>
        <v>N/A</v>
      </c>
      <c r="M460" s="1" t="s">
        <v>226</v>
      </c>
      <c r="N460" s="159" t="str">
        <f>_xlfn.LET(_xlpm.emp, IF(_xlfn.XLOOKUP(ITEquipmentTable[[#This Row],[Assigned Employee]], EmployeeTable[name], EmployeeTable[Active], TRUE), "Employee", "Recover"),
IF(ITEquipmentTable[[#This Row],[Storage Location]] = "Assigned to Employee", _xlpm.emp, "N/A"))</f>
        <v>N/A</v>
      </c>
      <c r="O460" s="159" t="str" cm="1">
        <f t="array" ref="O46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6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row>
    <row r="461" spans="1:18" s="1" customFormat="1" hidden="1" x14ac:dyDescent="0.2">
      <c r="A461" s="155">
        <v>349</v>
      </c>
      <c r="B461" s="1" t="s">
        <v>379</v>
      </c>
      <c r="C461" s="1" t="s">
        <v>514</v>
      </c>
      <c r="D461" s="1" t="s">
        <v>693</v>
      </c>
      <c r="E461" s="1" t="s">
        <v>306</v>
      </c>
      <c r="F461" s="195" t="s">
        <v>1906</v>
      </c>
      <c r="G461" s="266" t="str">
        <f>_xlfn.XLOOKUP(ITEquipmentTable[[#This Row],[Name]], IntuneData[Device name], IntuneData[Serial number], "")</f>
        <v/>
      </c>
      <c r="K461" s="154" t="s">
        <v>226</v>
      </c>
      <c r="L461" s="266" t="str">
        <f>_xlfn.LET(
_xlpm.look, _xlfn.XLOOKUP(ITEquipmentTable[[#This Row],[Name]], VNCTable[ClientName], VNCTable[IP], ""),
_xlpm.chkk, IF(ITEquipmentTable[[#This Row],[IPv4 Address]] = "N/A", "N/A", _xlpm.look),
IF(ITEquipmentTable[[#This Row],[Name]] = "", "", _xlpm.chkk))</f>
        <v>N/A</v>
      </c>
      <c r="M461" s="1" t="s">
        <v>226</v>
      </c>
      <c r="N461" s="159" t="str">
        <f>_xlfn.LET(_xlpm.emp, IF(_xlfn.XLOOKUP(ITEquipmentTable[[#This Row],[Assigned Employee]], EmployeeTable[name], EmployeeTable[Active], TRUE), "Employee", "Recover"),
IF(ITEquipmentTable[[#This Row],[Storage Location]] = "Assigned to Employee", _xlpm.emp, "N/A"))</f>
        <v>N/A</v>
      </c>
      <c r="O461" s="159" t="str" cm="1">
        <f t="array" ref="O46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6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row>
    <row r="462" spans="1:18" s="1" customFormat="1" hidden="1" x14ac:dyDescent="0.2">
      <c r="A462" s="155">
        <v>350</v>
      </c>
      <c r="B462" s="1" t="s">
        <v>342</v>
      </c>
      <c r="C462" s="1" t="s">
        <v>342</v>
      </c>
      <c r="D462" s="1" t="s">
        <v>1907</v>
      </c>
      <c r="E462" s="1" t="s">
        <v>306</v>
      </c>
      <c r="F462" s="195" t="s">
        <v>1908</v>
      </c>
      <c r="G462" s="266" t="str">
        <f>_xlfn.XLOOKUP(ITEquipmentTable[[#This Row],[Name]], IntuneData[Device name], IntuneData[Serial number], "")</f>
        <v/>
      </c>
      <c r="H462" s="1" t="s">
        <v>315</v>
      </c>
      <c r="K462" s="154" t="s">
        <v>226</v>
      </c>
      <c r="L462" s="266" t="str">
        <f>_xlfn.LET(
_xlpm.look, _xlfn.XLOOKUP(ITEquipmentTable[[#This Row],[Name]], VNCTable[ClientName], VNCTable[IP], ""),
_xlpm.chkk, IF(ITEquipmentTable[[#This Row],[IPv4 Address]] = "N/A", "N/A", _xlpm.look),
IF(ITEquipmentTable[[#This Row],[Name]] = "", "", _xlpm.chkk))</f>
        <v>N/A</v>
      </c>
      <c r="M462" s="1" t="s">
        <v>226</v>
      </c>
      <c r="N462" s="159" t="str">
        <f>_xlfn.LET(_xlpm.emp, IF(_xlfn.XLOOKUP(ITEquipmentTable[[#This Row],[Assigned Employee]], EmployeeTable[name], EmployeeTable[Active], TRUE), "Employee", "Recover"),
IF(ITEquipmentTable[[#This Row],[Storage Location]] = "Assigned to Employee", _xlpm.emp, "N/A"))</f>
        <v>N/A</v>
      </c>
      <c r="O462" s="159" t="str" cm="1">
        <f t="array" ref="O46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6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row>
    <row r="463" spans="1:18" s="1" customFormat="1" hidden="1" x14ac:dyDescent="0.2">
      <c r="A463" s="155">
        <v>351</v>
      </c>
      <c r="B463" s="1" t="s">
        <v>342</v>
      </c>
      <c r="C463" s="1" t="s">
        <v>342</v>
      </c>
      <c r="D463" s="1" t="s">
        <v>1909</v>
      </c>
      <c r="E463" s="1" t="s">
        <v>306</v>
      </c>
      <c r="F463" s="195" t="s">
        <v>1910</v>
      </c>
      <c r="G463" s="266" t="str">
        <f>_xlfn.XLOOKUP(ITEquipmentTable[[#This Row],[Name]], IntuneData[Device name], IntuneData[Serial number], "")</f>
        <v/>
      </c>
      <c r="H463" s="1" t="s">
        <v>315</v>
      </c>
      <c r="K463" s="154" t="s">
        <v>226</v>
      </c>
      <c r="L463" s="266" t="str">
        <f>_xlfn.LET(
_xlpm.look, _xlfn.XLOOKUP(ITEquipmentTable[[#This Row],[Name]], VNCTable[ClientName], VNCTable[IP], ""),
_xlpm.chkk, IF(ITEquipmentTable[[#This Row],[IPv4 Address]] = "N/A", "N/A", _xlpm.look),
IF(ITEquipmentTable[[#This Row],[Name]] = "", "", _xlpm.chkk))</f>
        <v>N/A</v>
      </c>
      <c r="M463" s="1" t="s">
        <v>226</v>
      </c>
      <c r="N463" s="159" t="str">
        <f>_xlfn.LET(_xlpm.emp, IF(_xlfn.XLOOKUP(ITEquipmentTable[[#This Row],[Assigned Employee]], EmployeeTable[name], EmployeeTable[Active], TRUE), "Employee", "Recover"),
IF(ITEquipmentTable[[#This Row],[Storage Location]] = "Assigned to Employee", _xlpm.emp, "N/A"))</f>
        <v>N/A</v>
      </c>
      <c r="O463" s="159" t="str" cm="1">
        <f t="array" ref="O46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6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row>
    <row r="464" spans="1:18" s="1" customFormat="1" hidden="1" x14ac:dyDescent="0.2">
      <c r="A464" s="155">
        <v>352</v>
      </c>
      <c r="B464" s="1" t="s">
        <v>342</v>
      </c>
      <c r="C464" s="1" t="s">
        <v>342</v>
      </c>
      <c r="D464" s="1" t="s">
        <v>1911</v>
      </c>
      <c r="E464" s="1" t="s">
        <v>306</v>
      </c>
      <c r="F464" s="195" t="s">
        <v>1912</v>
      </c>
      <c r="G464" s="266" t="str">
        <f>_xlfn.XLOOKUP(ITEquipmentTable[[#This Row],[Name]], IntuneData[Device name], IntuneData[Serial number], "")</f>
        <v/>
      </c>
      <c r="H464" s="1" t="s">
        <v>321</v>
      </c>
      <c r="K464" s="154" t="s">
        <v>226</v>
      </c>
      <c r="L464" s="266" t="str">
        <f>_xlfn.LET(
_xlpm.look, _xlfn.XLOOKUP(ITEquipmentTable[[#This Row],[Name]], VNCTable[ClientName], VNCTable[IP], ""),
_xlpm.chkk, IF(ITEquipmentTable[[#This Row],[IPv4 Address]] = "N/A", "N/A", _xlpm.look),
IF(ITEquipmentTable[[#This Row],[Name]] = "", "", _xlpm.chkk))</f>
        <v>N/A</v>
      </c>
      <c r="M464" s="1" t="s">
        <v>226</v>
      </c>
      <c r="N464" s="159" t="str">
        <f>_xlfn.LET(_xlpm.emp, IF(_xlfn.XLOOKUP(ITEquipmentTable[[#This Row],[Assigned Employee]], EmployeeTable[name], EmployeeTable[Active], TRUE), "Employee", "Recover"),
IF(ITEquipmentTable[[#This Row],[Storage Location]] = "Assigned to Employee", _xlpm.emp, "N/A"))</f>
        <v>N/A</v>
      </c>
      <c r="O464" s="159" t="str" cm="1">
        <f t="array" ref="O46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6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row>
    <row r="465" spans="1:19" s="1" customFormat="1" hidden="1" x14ac:dyDescent="0.2">
      <c r="A465" s="155">
        <v>353</v>
      </c>
      <c r="B465" s="1" t="s">
        <v>342</v>
      </c>
      <c r="C465" s="1" t="s">
        <v>342</v>
      </c>
      <c r="D465" s="1" t="s">
        <v>1911</v>
      </c>
      <c r="E465" s="1" t="s">
        <v>306</v>
      </c>
      <c r="F465" s="195" t="s">
        <v>1913</v>
      </c>
      <c r="G465" s="266" t="str">
        <f>_xlfn.XLOOKUP(ITEquipmentTable[[#This Row],[Name]], IntuneData[Device name], IntuneData[Serial number], "")</f>
        <v/>
      </c>
      <c r="H465" s="1" t="s">
        <v>315</v>
      </c>
      <c r="K465" s="154" t="s">
        <v>226</v>
      </c>
      <c r="L465" s="266" t="str">
        <f>_xlfn.LET(
_xlpm.look, _xlfn.XLOOKUP(ITEquipmentTable[[#This Row],[Name]], VNCTable[ClientName], VNCTable[IP], ""),
_xlpm.chkk, IF(ITEquipmentTable[[#This Row],[IPv4 Address]] = "N/A", "N/A", _xlpm.look),
IF(ITEquipmentTable[[#This Row],[Name]] = "", "", _xlpm.chkk))</f>
        <v>N/A</v>
      </c>
      <c r="M465" s="1" t="s">
        <v>226</v>
      </c>
      <c r="N465" s="159" t="str">
        <f>_xlfn.LET(_xlpm.emp, IF(_xlfn.XLOOKUP(ITEquipmentTable[[#This Row],[Assigned Employee]], EmployeeTable[name], EmployeeTable[Active], TRUE), "Employee", "Recover"),
IF(ITEquipmentTable[[#This Row],[Storage Location]] = "Assigned to Employee", _xlpm.emp, "N/A"))</f>
        <v>N/A</v>
      </c>
      <c r="O465" s="159" t="str" cm="1">
        <f t="array" ref="O46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6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row>
    <row r="466" spans="1:19" s="1" customFormat="1" hidden="1" x14ac:dyDescent="0.2">
      <c r="A466" s="155">
        <v>354</v>
      </c>
      <c r="B466" s="1" t="s">
        <v>342</v>
      </c>
      <c r="C466" s="1" t="s">
        <v>342</v>
      </c>
      <c r="D466" s="1" t="s">
        <v>1911</v>
      </c>
      <c r="E466" s="1" t="s">
        <v>306</v>
      </c>
      <c r="F466" s="195" t="s">
        <v>1914</v>
      </c>
      <c r="G466" s="266" t="str">
        <f>_xlfn.XLOOKUP(ITEquipmentTable[[#This Row],[Name]], IntuneData[Device name], IntuneData[Serial number], "")</f>
        <v/>
      </c>
      <c r="H466" s="1" t="s">
        <v>321</v>
      </c>
      <c r="K466" s="154" t="s">
        <v>226</v>
      </c>
      <c r="L466" s="266" t="str">
        <f>_xlfn.LET(
_xlpm.look, _xlfn.XLOOKUP(ITEquipmentTable[[#This Row],[Name]], VNCTable[ClientName], VNCTable[IP], ""),
_xlpm.chkk, IF(ITEquipmentTable[[#This Row],[IPv4 Address]] = "N/A", "N/A", _xlpm.look),
IF(ITEquipmentTable[[#This Row],[Name]] = "", "", _xlpm.chkk))</f>
        <v>N/A</v>
      </c>
      <c r="M466" s="1" t="s">
        <v>226</v>
      </c>
      <c r="N466" s="159" t="str">
        <f>_xlfn.LET(_xlpm.emp, IF(_xlfn.XLOOKUP(ITEquipmentTable[[#This Row],[Assigned Employee]], EmployeeTable[name], EmployeeTable[Active], TRUE), "Employee", "Recover"),
IF(ITEquipmentTable[[#This Row],[Storage Location]] = "Assigned to Employee", _xlpm.emp, "N/A"))</f>
        <v>N/A</v>
      </c>
      <c r="O466" s="159" t="str" cm="1">
        <f t="array" ref="O46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6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row>
    <row r="467" spans="1:19" s="1" customFormat="1" hidden="1" x14ac:dyDescent="0.2">
      <c r="A467" s="155">
        <v>355</v>
      </c>
      <c r="B467" s="1" t="s">
        <v>342</v>
      </c>
      <c r="C467" s="1" t="s">
        <v>342</v>
      </c>
      <c r="D467" s="1" t="s">
        <v>1911</v>
      </c>
      <c r="E467" s="1" t="s">
        <v>306</v>
      </c>
      <c r="F467" s="195" t="s">
        <v>1915</v>
      </c>
      <c r="G467" s="266" t="str">
        <f>_xlfn.XLOOKUP(ITEquipmentTable[[#This Row],[Name]], IntuneData[Device name], IntuneData[Serial number], "")</f>
        <v/>
      </c>
      <c r="H467" s="1" t="s">
        <v>321</v>
      </c>
      <c r="K467" s="154" t="s">
        <v>226</v>
      </c>
      <c r="L467" s="266" t="str">
        <f>_xlfn.LET(
_xlpm.look, _xlfn.XLOOKUP(ITEquipmentTable[[#This Row],[Name]], VNCTable[ClientName], VNCTable[IP], ""),
_xlpm.chkk, IF(ITEquipmentTable[[#This Row],[IPv4 Address]] = "N/A", "N/A", _xlpm.look),
IF(ITEquipmentTable[[#This Row],[Name]] = "", "", _xlpm.chkk))</f>
        <v>N/A</v>
      </c>
      <c r="M467" s="1" t="s">
        <v>226</v>
      </c>
      <c r="N467" s="159" t="str">
        <f>_xlfn.LET(_xlpm.emp, IF(_xlfn.XLOOKUP(ITEquipmentTable[[#This Row],[Assigned Employee]], EmployeeTable[name], EmployeeTable[Active], TRUE), "Employee", "Recover"),
IF(ITEquipmentTable[[#This Row],[Storage Location]] = "Assigned to Employee", _xlpm.emp, "N/A"))</f>
        <v>N/A</v>
      </c>
      <c r="O467" s="159" t="str" cm="1">
        <f t="array" ref="O46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6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row>
    <row r="468" spans="1:19" s="1" customFormat="1" hidden="1" x14ac:dyDescent="0.2">
      <c r="A468" s="155">
        <v>356</v>
      </c>
      <c r="B468" s="1" t="s">
        <v>342</v>
      </c>
      <c r="C468" s="1" t="s">
        <v>342</v>
      </c>
      <c r="D468" s="1" t="s">
        <v>1911</v>
      </c>
      <c r="E468" s="1" t="s">
        <v>306</v>
      </c>
      <c r="F468" s="195" t="s">
        <v>1916</v>
      </c>
      <c r="G468" s="159" t="str">
        <f>_xlfn.XLOOKUP(ITEquipmentTable[[#This Row],[Name]], IntuneData[Device name], IntuneData[Serial number], "")</f>
        <v/>
      </c>
      <c r="H468" s="1" t="s">
        <v>315</v>
      </c>
      <c r="K468" s="154" t="s">
        <v>226</v>
      </c>
      <c r="L468" s="159" t="str">
        <f>_xlfn.LET(
_xlpm.look, _xlfn.XLOOKUP(ITEquipmentTable[[#This Row],[Name]], VNCTable[ClientName], VNCTable[IP], ""),
_xlpm.chkk, IF(ITEquipmentTable[[#This Row],[IPv4 Address]] = "N/A", "N/A", _xlpm.look),
IF(ITEquipmentTable[[#This Row],[Name]] = "", "", _xlpm.chkk))</f>
        <v>N/A</v>
      </c>
      <c r="M468" s="1" t="s">
        <v>226</v>
      </c>
      <c r="N468" s="159" t="str">
        <f>_xlfn.LET(_xlpm.emp, IF(_xlfn.XLOOKUP(ITEquipmentTable[[#This Row],[Assigned Employee]], EmployeeTable[name], EmployeeTable[Active], TRUE), "Employee", "Recover"),
IF(ITEquipmentTable[[#This Row],[Storage Location]] = "Assigned to Employee", _xlpm.emp, "N/A"))</f>
        <v>N/A</v>
      </c>
      <c r="O468" s="159" t="str" cm="1">
        <f t="array" ref="O46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6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row>
    <row r="469" spans="1:19" s="1" customFormat="1" hidden="1" x14ac:dyDescent="0.2">
      <c r="A469" s="155">
        <v>357</v>
      </c>
      <c r="B469" s="1" t="s">
        <v>342</v>
      </c>
      <c r="C469" s="1" t="s">
        <v>342</v>
      </c>
      <c r="D469" s="1" t="s">
        <v>1911</v>
      </c>
      <c r="E469" s="1" t="s">
        <v>306</v>
      </c>
      <c r="F469" s="195" t="s">
        <v>1917</v>
      </c>
      <c r="G469" s="266" t="str">
        <f>_xlfn.XLOOKUP(ITEquipmentTable[[#This Row],[Name]], IntuneData[Device name], IntuneData[Serial number], "")</f>
        <v/>
      </c>
      <c r="H469" s="1" t="s">
        <v>321</v>
      </c>
      <c r="K469" s="154" t="s">
        <v>226</v>
      </c>
      <c r="L469" s="266" t="str">
        <f>_xlfn.LET(
_xlpm.look, _xlfn.XLOOKUP(ITEquipmentTable[[#This Row],[Name]], VNCTable[ClientName], VNCTable[IP], ""),
_xlpm.chkk, IF(ITEquipmentTable[[#This Row],[IPv4 Address]] = "N/A", "N/A", _xlpm.look),
IF(ITEquipmentTable[[#This Row],[Name]] = "", "", _xlpm.chkk))</f>
        <v>N/A</v>
      </c>
      <c r="M469" s="1" t="s">
        <v>226</v>
      </c>
      <c r="N469" s="159" t="str">
        <f>_xlfn.LET(_xlpm.emp, IF(_xlfn.XLOOKUP(ITEquipmentTable[[#This Row],[Assigned Employee]], EmployeeTable[name], EmployeeTable[Active], TRUE), "Employee", "Recover"),
IF(ITEquipmentTable[[#This Row],[Storage Location]] = "Assigned to Employee", _xlpm.emp, "N/A"))</f>
        <v>N/A</v>
      </c>
      <c r="O469" s="159" t="str" cm="1">
        <f t="array" ref="O46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6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row>
    <row r="470" spans="1:19" s="1" customFormat="1" hidden="1" x14ac:dyDescent="0.2">
      <c r="A470" s="155">
        <v>359</v>
      </c>
      <c r="B470" s="1" t="s">
        <v>342</v>
      </c>
      <c r="C470" s="1" t="s">
        <v>342</v>
      </c>
      <c r="D470" s="1" t="s">
        <v>1911</v>
      </c>
      <c r="E470" s="1" t="s">
        <v>306</v>
      </c>
      <c r="F470" s="195" t="s">
        <v>1918</v>
      </c>
      <c r="G470" s="266" t="str">
        <f>_xlfn.XLOOKUP(ITEquipmentTable[[#This Row],[Name]], IntuneData[Device name], IntuneData[Serial number], "")</f>
        <v/>
      </c>
      <c r="H470" s="1" t="s">
        <v>321</v>
      </c>
      <c r="K470" s="154" t="s">
        <v>226</v>
      </c>
      <c r="L470" s="266" t="str">
        <f>_xlfn.LET(
_xlpm.look, _xlfn.XLOOKUP(ITEquipmentTable[[#This Row],[Name]], VNCTable[ClientName], VNCTable[IP], ""),
_xlpm.chkk, IF(ITEquipmentTable[[#This Row],[IPv4 Address]] = "N/A", "N/A", _xlpm.look),
IF(ITEquipmentTable[[#This Row],[Name]] = "", "", _xlpm.chkk))</f>
        <v>N/A</v>
      </c>
      <c r="M470" s="1" t="s">
        <v>226</v>
      </c>
      <c r="N470" s="159" t="str">
        <f>_xlfn.LET(_xlpm.emp, IF(_xlfn.XLOOKUP(ITEquipmentTable[[#This Row],[Assigned Employee]], EmployeeTable[name], EmployeeTable[Active], TRUE), "Employee", "Recover"),
IF(ITEquipmentTable[[#This Row],[Storage Location]] = "Assigned to Employee", _xlpm.emp, "N/A"))</f>
        <v>N/A</v>
      </c>
      <c r="O470" s="159" t="str" cm="1">
        <f t="array" ref="O47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7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row>
    <row r="471" spans="1:19" s="1" customFormat="1" hidden="1" x14ac:dyDescent="0.2">
      <c r="A471" s="155">
        <v>360</v>
      </c>
      <c r="B471" s="1" t="s">
        <v>342</v>
      </c>
      <c r="C471" s="1" t="s">
        <v>342</v>
      </c>
      <c r="D471" s="1" t="s">
        <v>1911</v>
      </c>
      <c r="E471" s="1" t="s">
        <v>306</v>
      </c>
      <c r="F471" s="195" t="s">
        <v>1919</v>
      </c>
      <c r="G471" s="266" t="str">
        <f>_xlfn.XLOOKUP(ITEquipmentTable[[#This Row],[Name]], IntuneData[Device name], IntuneData[Serial number], "")</f>
        <v/>
      </c>
      <c r="H471" s="1" t="s">
        <v>321</v>
      </c>
      <c r="K471" s="154" t="s">
        <v>226</v>
      </c>
      <c r="L471" s="266" t="str">
        <f>_xlfn.LET(
_xlpm.look, _xlfn.XLOOKUP(ITEquipmentTable[[#This Row],[Name]], VNCTable[ClientName], VNCTable[IP], ""),
_xlpm.chkk, IF(ITEquipmentTable[[#This Row],[IPv4 Address]] = "N/A", "N/A", _xlpm.look),
IF(ITEquipmentTable[[#This Row],[Name]] = "", "", _xlpm.chkk))</f>
        <v>N/A</v>
      </c>
      <c r="M471" s="1" t="s">
        <v>226</v>
      </c>
      <c r="N471" s="159" t="str">
        <f>_xlfn.LET(_xlpm.emp, IF(_xlfn.XLOOKUP(ITEquipmentTable[[#This Row],[Assigned Employee]], EmployeeTable[name], EmployeeTable[Active], TRUE), "Employee", "Recover"),
IF(ITEquipmentTable[[#This Row],[Storage Location]] = "Assigned to Employee", _xlpm.emp, "N/A"))</f>
        <v>N/A</v>
      </c>
      <c r="O471" s="159" t="str" cm="1">
        <f t="array" ref="O47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7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row>
    <row r="472" spans="1:19" s="1" customFormat="1" hidden="1" x14ac:dyDescent="0.2">
      <c r="A472" s="155">
        <v>361</v>
      </c>
      <c r="B472" s="1" t="s">
        <v>342</v>
      </c>
      <c r="C472" s="1" t="s">
        <v>342</v>
      </c>
      <c r="D472" s="1" t="s">
        <v>1911</v>
      </c>
      <c r="E472" s="1" t="s">
        <v>306</v>
      </c>
      <c r="F472" s="195" t="s">
        <v>1920</v>
      </c>
      <c r="G472" s="266" t="str">
        <f>_xlfn.XLOOKUP(ITEquipmentTable[[#This Row],[Name]], IntuneData[Device name], IntuneData[Serial number], "")</f>
        <v/>
      </c>
      <c r="H472" s="1" t="s">
        <v>321</v>
      </c>
      <c r="K472" s="154" t="s">
        <v>226</v>
      </c>
      <c r="L472" s="266" t="str">
        <f>_xlfn.LET(
_xlpm.look, _xlfn.XLOOKUP(ITEquipmentTable[[#This Row],[Name]], VNCTable[ClientName], VNCTable[IP], ""),
_xlpm.chkk, IF(ITEquipmentTable[[#This Row],[IPv4 Address]] = "N/A", "N/A", _xlpm.look),
IF(ITEquipmentTable[[#This Row],[Name]] = "", "", _xlpm.chkk))</f>
        <v>N/A</v>
      </c>
      <c r="M472" s="1" t="s">
        <v>226</v>
      </c>
      <c r="N472" s="159" t="str">
        <f>_xlfn.LET(_xlpm.emp, IF(_xlfn.XLOOKUP(ITEquipmentTable[[#This Row],[Assigned Employee]], EmployeeTable[name], EmployeeTable[Active], TRUE), "Employee", "Recover"),
IF(ITEquipmentTable[[#This Row],[Storage Location]] = "Assigned to Employee", _xlpm.emp, "N/A"))</f>
        <v>N/A</v>
      </c>
      <c r="O472" s="159" t="str" cm="1">
        <f t="array" ref="O47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7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row>
    <row r="473" spans="1:19" s="1" customFormat="1" hidden="1" x14ac:dyDescent="0.2">
      <c r="A473" s="155">
        <v>362</v>
      </c>
      <c r="B473" s="1" t="s">
        <v>342</v>
      </c>
      <c r="C473" s="1" t="s">
        <v>342</v>
      </c>
      <c r="D473" s="1" t="s">
        <v>1911</v>
      </c>
      <c r="E473" s="1" t="s">
        <v>306</v>
      </c>
      <c r="F473" s="195"/>
      <c r="G473" s="266" t="str">
        <f>_xlfn.XLOOKUP(ITEquipmentTable[[#This Row],[Name]], IntuneData[Device name], IntuneData[Serial number], "")</f>
        <v/>
      </c>
      <c r="H473" s="1" t="s">
        <v>315</v>
      </c>
      <c r="K473" s="154" t="s">
        <v>226</v>
      </c>
      <c r="L473" s="266" t="str">
        <f>_xlfn.LET(
_xlpm.look, _xlfn.XLOOKUP(ITEquipmentTable[[#This Row],[Name]], VNCTable[ClientName], VNCTable[IP], ""),
_xlpm.chkk, IF(ITEquipmentTable[[#This Row],[IPv4 Address]] = "N/A", "N/A", _xlpm.look),
IF(ITEquipmentTable[[#This Row],[Name]] = "", "", _xlpm.chkk))</f>
        <v>N/A</v>
      </c>
      <c r="M473" s="1" t="s">
        <v>226</v>
      </c>
      <c r="N473" s="159" t="str">
        <f>_xlfn.LET(_xlpm.emp, IF(_xlfn.XLOOKUP(ITEquipmentTable[[#This Row],[Assigned Employee]], EmployeeTable[name], EmployeeTable[Active], TRUE), "Employee", "Recover"),
IF(ITEquipmentTable[[#This Row],[Storage Location]] = "Assigned to Employee", _xlpm.emp, "N/A"))</f>
        <v>N/A</v>
      </c>
      <c r="O473" s="159" t="str" cm="1">
        <f t="array" ref="O47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7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S473" s="1" t="s">
        <v>319</v>
      </c>
    </row>
    <row r="474" spans="1:19" s="1" customFormat="1" hidden="1" x14ac:dyDescent="0.2">
      <c r="A474" s="155">
        <v>363</v>
      </c>
      <c r="B474" s="1" t="s">
        <v>386</v>
      </c>
      <c r="C474" s="1" t="s">
        <v>514</v>
      </c>
      <c r="D474" s="1" t="s">
        <v>515</v>
      </c>
      <c r="E474" s="1" t="s">
        <v>306</v>
      </c>
      <c r="F474" s="195" t="s">
        <v>1921</v>
      </c>
      <c r="G474" s="266" t="str">
        <f>_xlfn.XLOOKUP(ITEquipmentTable[[#This Row],[Name]], IntuneData[Device name], IntuneData[Serial number], "")</f>
        <v/>
      </c>
      <c r="H474" s="1" t="s">
        <v>302</v>
      </c>
      <c r="K474" s="223" t="s">
        <v>226</v>
      </c>
      <c r="L474" s="266" t="str">
        <f>_xlfn.LET(
_xlpm.look, _xlfn.XLOOKUP(ITEquipmentTable[[#This Row],[Name]], VNCTable[ClientName], VNCTable[IP], ""),
_xlpm.chkk, IF(ITEquipmentTable[[#This Row],[IPv4 Address]] = "N/A", "N/A", _xlpm.look),
IF(ITEquipmentTable[[#This Row],[Name]] = "", "", _xlpm.chkk))</f>
        <v>N/A</v>
      </c>
      <c r="M474" s="168" t="s">
        <v>226</v>
      </c>
      <c r="N474" s="159" t="str">
        <f>_xlfn.LET(_xlpm.emp, IF(_xlfn.XLOOKUP(ITEquipmentTable[[#This Row],[Assigned Employee]], EmployeeTable[name], EmployeeTable[Active], TRUE), "Employee", "Recover"),
IF(ITEquipmentTable[[#This Row],[Storage Location]] = "Assigned to Employee", _xlpm.emp, "N/A"))</f>
        <v>N/A</v>
      </c>
      <c r="O474" s="159" t="str" cm="1">
        <f t="array" ref="O47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7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74" s="189" t="s">
        <v>312</v>
      </c>
    </row>
    <row r="475" spans="1:19" s="1" customFormat="1" hidden="1" x14ac:dyDescent="0.2">
      <c r="A475" s="155">
        <v>364</v>
      </c>
      <c r="B475" s="1" t="s">
        <v>386</v>
      </c>
      <c r="C475" s="1" t="s">
        <v>514</v>
      </c>
      <c r="D475" s="1" t="s">
        <v>515</v>
      </c>
      <c r="E475" s="1" t="s">
        <v>306</v>
      </c>
      <c r="F475" s="195" t="s">
        <v>1922</v>
      </c>
      <c r="G475" s="266" t="str">
        <f>_xlfn.XLOOKUP(ITEquipmentTable[[#This Row],[Name]], IntuneData[Device name], IntuneData[Serial number], "")</f>
        <v/>
      </c>
      <c r="H475" s="168" t="s">
        <v>302</v>
      </c>
      <c r="I475" s="168"/>
      <c r="J475" s="168"/>
      <c r="K475" s="223" t="s">
        <v>226</v>
      </c>
      <c r="L475" s="266" t="str">
        <f>_xlfn.LET(
_xlpm.look, _xlfn.XLOOKUP(ITEquipmentTable[[#This Row],[Name]], VNCTable[ClientName], VNCTable[IP], ""),
_xlpm.chkk, IF(ITEquipmentTable[[#This Row],[IPv4 Address]] = "N/A", "N/A", _xlpm.look),
IF(ITEquipmentTable[[#This Row],[Name]] = "", "", _xlpm.chkk))</f>
        <v>N/A</v>
      </c>
      <c r="M475" s="168" t="s">
        <v>226</v>
      </c>
      <c r="N475" s="161" t="str">
        <f>_xlfn.LET(_xlpm.emp, IF(_xlfn.XLOOKUP(ITEquipmentTable[[#This Row],[Assigned Employee]], EmployeeTable[name], EmployeeTable[Active], TRUE), "Employee", "Recover"),
IF(ITEquipmentTable[[#This Row],[Storage Location]] = "Assigned to Employee", _xlpm.emp, "N/A"))</f>
        <v>N/A</v>
      </c>
      <c r="O475" s="161" t="str" cm="1">
        <f t="array" ref="O47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7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75" s="189" t="s">
        <v>312</v>
      </c>
    </row>
    <row r="476" spans="1:19" s="1" customFormat="1" hidden="1" x14ac:dyDescent="0.2">
      <c r="A476" s="155">
        <v>365</v>
      </c>
      <c r="B476" s="1" t="s">
        <v>386</v>
      </c>
      <c r="C476" s="1" t="s">
        <v>514</v>
      </c>
      <c r="D476" s="1" t="s">
        <v>515</v>
      </c>
      <c r="E476" s="1" t="s">
        <v>306</v>
      </c>
      <c r="F476" s="195" t="s">
        <v>1923</v>
      </c>
      <c r="G476" s="266" t="str">
        <f>_xlfn.XLOOKUP(ITEquipmentTable[[#This Row],[Name]], IntuneData[Device name], IntuneData[Serial number], "")</f>
        <v/>
      </c>
      <c r="H476" s="1" t="s">
        <v>302</v>
      </c>
      <c r="K476" s="223" t="s">
        <v>226</v>
      </c>
      <c r="L476" s="266" t="str">
        <f>_xlfn.LET(
_xlpm.look, _xlfn.XLOOKUP(ITEquipmentTable[[#This Row],[Name]], VNCTable[ClientName], VNCTable[IP], ""),
_xlpm.chkk, IF(ITEquipmentTable[[#This Row],[IPv4 Address]] = "N/A", "N/A", _xlpm.look),
IF(ITEquipmentTable[[#This Row],[Name]] = "", "", _xlpm.chkk))</f>
        <v>N/A</v>
      </c>
      <c r="M476" s="168" t="s">
        <v>226</v>
      </c>
      <c r="N476" s="159" t="str">
        <f>_xlfn.LET(_xlpm.emp, IF(_xlfn.XLOOKUP(ITEquipmentTable[[#This Row],[Assigned Employee]], EmployeeTable[name], EmployeeTable[Active], TRUE), "Employee", "Recover"),
IF(ITEquipmentTable[[#This Row],[Storage Location]] = "Assigned to Employee", _xlpm.emp, "N/A"))</f>
        <v>N/A</v>
      </c>
      <c r="O476" s="159" t="str" cm="1">
        <f t="array" ref="O47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7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76" s="189" t="s">
        <v>312</v>
      </c>
    </row>
    <row r="477" spans="1:19" s="1" customFormat="1" hidden="1" x14ac:dyDescent="0.2">
      <c r="A477" s="155">
        <v>366</v>
      </c>
      <c r="B477" s="1" t="s">
        <v>386</v>
      </c>
      <c r="C477" s="1" t="s">
        <v>514</v>
      </c>
      <c r="D477" s="1" t="s">
        <v>515</v>
      </c>
      <c r="E477" s="1" t="s">
        <v>306</v>
      </c>
      <c r="F477" s="195" t="s">
        <v>1924</v>
      </c>
      <c r="G477" s="266" t="str">
        <f>_xlfn.XLOOKUP(ITEquipmentTable[[#This Row],[Name]], IntuneData[Device name], IntuneData[Serial number], "")</f>
        <v/>
      </c>
      <c r="H477" s="1" t="s">
        <v>302</v>
      </c>
      <c r="K477" s="223" t="s">
        <v>226</v>
      </c>
      <c r="L477" s="266" t="str">
        <f>_xlfn.LET(
_xlpm.look, _xlfn.XLOOKUP(ITEquipmentTable[[#This Row],[Name]], VNCTable[ClientName], VNCTable[IP], ""),
_xlpm.chkk, IF(ITEquipmentTable[[#This Row],[IPv4 Address]] = "N/A", "N/A", _xlpm.look),
IF(ITEquipmentTable[[#This Row],[Name]] = "", "", _xlpm.chkk))</f>
        <v>N/A</v>
      </c>
      <c r="M477" s="168" t="s">
        <v>226</v>
      </c>
      <c r="N477" s="159" t="str">
        <f>_xlfn.LET(_xlpm.emp, IF(_xlfn.XLOOKUP(ITEquipmentTable[[#This Row],[Assigned Employee]], EmployeeTable[name], EmployeeTable[Active], TRUE), "Employee", "Recover"),
IF(ITEquipmentTable[[#This Row],[Storage Location]] = "Assigned to Employee", _xlpm.emp, "N/A"))</f>
        <v>N/A</v>
      </c>
      <c r="O477" s="159" t="str" cm="1">
        <f t="array" ref="O47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7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77" s="189" t="s">
        <v>312</v>
      </c>
    </row>
    <row r="478" spans="1:19" s="1" customFormat="1" hidden="1" x14ac:dyDescent="0.2">
      <c r="A478" s="155">
        <v>367</v>
      </c>
      <c r="B478" s="1" t="s">
        <v>386</v>
      </c>
      <c r="C478" s="1" t="s">
        <v>514</v>
      </c>
      <c r="D478" s="1" t="s">
        <v>515</v>
      </c>
      <c r="E478" s="1" t="s">
        <v>306</v>
      </c>
      <c r="F478" s="195" t="s">
        <v>1925</v>
      </c>
      <c r="G478" s="266" t="str">
        <f>_xlfn.XLOOKUP(ITEquipmentTable[[#This Row],[Name]], IntuneData[Device name], IntuneData[Serial number], "")</f>
        <v/>
      </c>
      <c r="H478" s="168" t="s">
        <v>302</v>
      </c>
      <c r="I478" s="168"/>
      <c r="J478" s="168"/>
      <c r="K478" s="223" t="s">
        <v>226</v>
      </c>
      <c r="L478" s="266" t="str">
        <f>_xlfn.LET(
_xlpm.look, _xlfn.XLOOKUP(ITEquipmentTable[[#This Row],[Name]], VNCTable[ClientName], VNCTable[IP], ""),
_xlpm.chkk, IF(ITEquipmentTable[[#This Row],[IPv4 Address]] = "N/A", "N/A", _xlpm.look),
IF(ITEquipmentTable[[#This Row],[Name]] = "", "", _xlpm.chkk))</f>
        <v>N/A</v>
      </c>
      <c r="M478" s="168" t="s">
        <v>226</v>
      </c>
      <c r="N478" s="161" t="str">
        <f>_xlfn.LET(_xlpm.emp, IF(_xlfn.XLOOKUP(ITEquipmentTable[[#This Row],[Assigned Employee]], EmployeeTable[name], EmployeeTable[Active], TRUE), "Employee", "Recover"),
IF(ITEquipmentTable[[#This Row],[Storage Location]] = "Assigned to Employee", _xlpm.emp, "N/A"))</f>
        <v>N/A</v>
      </c>
      <c r="O478" s="161" t="str" cm="1">
        <f t="array" ref="O47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7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78" s="189" t="s">
        <v>312</v>
      </c>
    </row>
    <row r="479" spans="1:19" s="1" customFormat="1" hidden="1" x14ac:dyDescent="0.2">
      <c r="A479" s="155">
        <v>368</v>
      </c>
      <c r="B479" s="1" t="s">
        <v>386</v>
      </c>
      <c r="C479" s="1" t="s">
        <v>514</v>
      </c>
      <c r="D479" s="1" t="s">
        <v>515</v>
      </c>
      <c r="E479" s="1" t="s">
        <v>306</v>
      </c>
      <c r="F479" s="195" t="s">
        <v>1926</v>
      </c>
      <c r="G479" s="266" t="str">
        <f>_xlfn.XLOOKUP(ITEquipmentTable[[#This Row],[Name]], IntuneData[Device name], IntuneData[Serial number], "")</f>
        <v/>
      </c>
      <c r="H479" s="1" t="s">
        <v>302</v>
      </c>
      <c r="K479" s="223" t="s">
        <v>226</v>
      </c>
      <c r="L479" s="266" t="str">
        <f>_xlfn.LET(
_xlpm.look, _xlfn.XLOOKUP(ITEquipmentTable[[#This Row],[Name]], VNCTable[ClientName], VNCTable[IP], ""),
_xlpm.chkk, IF(ITEquipmentTable[[#This Row],[IPv4 Address]] = "N/A", "N/A", _xlpm.look),
IF(ITEquipmentTable[[#This Row],[Name]] = "", "", _xlpm.chkk))</f>
        <v>N/A</v>
      </c>
      <c r="M479" s="168" t="s">
        <v>226</v>
      </c>
      <c r="N479" s="159" t="str">
        <f>_xlfn.LET(_xlpm.emp, IF(_xlfn.XLOOKUP(ITEquipmentTable[[#This Row],[Assigned Employee]], EmployeeTable[name], EmployeeTable[Active], TRUE), "Employee", "Recover"),
IF(ITEquipmentTable[[#This Row],[Storage Location]] = "Assigned to Employee", _xlpm.emp, "N/A"))</f>
        <v>N/A</v>
      </c>
      <c r="O479" s="159" t="str" cm="1">
        <f t="array" ref="O47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7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79" s="189" t="s">
        <v>312</v>
      </c>
    </row>
    <row r="480" spans="1:19" s="1" customFormat="1" hidden="1" x14ac:dyDescent="0.2">
      <c r="A480" s="155">
        <v>369</v>
      </c>
      <c r="B480" s="1" t="s">
        <v>386</v>
      </c>
      <c r="C480" s="1" t="s">
        <v>514</v>
      </c>
      <c r="D480" s="1" t="s">
        <v>515</v>
      </c>
      <c r="E480" s="1" t="s">
        <v>306</v>
      </c>
      <c r="F480" s="195" t="s">
        <v>1927</v>
      </c>
      <c r="G480" s="266" t="str">
        <f>_xlfn.XLOOKUP(ITEquipmentTable[[#This Row],[Name]], IntuneData[Device name], IntuneData[Serial number], "")</f>
        <v/>
      </c>
      <c r="H480" s="1" t="s">
        <v>302</v>
      </c>
      <c r="K480" s="223" t="s">
        <v>226</v>
      </c>
      <c r="L480" s="266" t="str">
        <f>_xlfn.LET(
_xlpm.look, _xlfn.XLOOKUP(ITEquipmentTable[[#This Row],[Name]], VNCTable[ClientName], VNCTable[IP], ""),
_xlpm.chkk, IF(ITEquipmentTable[[#This Row],[IPv4 Address]] = "N/A", "N/A", _xlpm.look),
IF(ITEquipmentTable[[#This Row],[Name]] = "", "", _xlpm.chkk))</f>
        <v>N/A</v>
      </c>
      <c r="M480" s="168" t="s">
        <v>226</v>
      </c>
      <c r="N480" s="159" t="str">
        <f>_xlfn.LET(_xlpm.emp, IF(_xlfn.XLOOKUP(ITEquipmentTable[[#This Row],[Assigned Employee]], EmployeeTable[name], EmployeeTable[Active], TRUE), "Employee", "Recover"),
IF(ITEquipmentTable[[#This Row],[Storage Location]] = "Assigned to Employee", _xlpm.emp, "N/A"))</f>
        <v>N/A</v>
      </c>
      <c r="O480" s="159" t="str" cm="1">
        <f t="array" ref="O48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8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80" s="189" t="s">
        <v>312</v>
      </c>
    </row>
    <row r="481" spans="1:21" s="1" customFormat="1" hidden="1" x14ac:dyDescent="0.2">
      <c r="A481" s="155">
        <v>370</v>
      </c>
      <c r="B481" s="1" t="s">
        <v>386</v>
      </c>
      <c r="C481" s="1" t="s">
        <v>514</v>
      </c>
      <c r="D481" s="1" t="s">
        <v>515</v>
      </c>
      <c r="E481" s="1" t="s">
        <v>306</v>
      </c>
      <c r="F481" s="195" t="s">
        <v>1928</v>
      </c>
      <c r="G481" s="266" t="str">
        <f>_xlfn.XLOOKUP(ITEquipmentTable[[#This Row],[Name]], IntuneData[Device name], IntuneData[Serial number], "")</f>
        <v/>
      </c>
      <c r="H481" s="1" t="s">
        <v>302</v>
      </c>
      <c r="K481" s="223" t="s">
        <v>226</v>
      </c>
      <c r="L481" s="266" t="str">
        <f>_xlfn.LET(
_xlpm.look, _xlfn.XLOOKUP(ITEquipmentTable[[#This Row],[Name]], VNCTable[ClientName], VNCTable[IP], ""),
_xlpm.chkk, IF(ITEquipmentTable[[#This Row],[IPv4 Address]] = "N/A", "N/A", _xlpm.look),
IF(ITEquipmentTable[[#This Row],[Name]] = "", "", _xlpm.chkk))</f>
        <v>N/A</v>
      </c>
      <c r="M481" s="168" t="s">
        <v>226</v>
      </c>
      <c r="N481" s="159" t="str">
        <f>_xlfn.LET(_xlpm.emp, IF(_xlfn.XLOOKUP(ITEquipmentTable[[#This Row],[Assigned Employee]], EmployeeTable[name], EmployeeTable[Active], TRUE), "Employee", "Recover"),
IF(ITEquipmentTable[[#This Row],[Storage Location]] = "Assigned to Employee", _xlpm.emp, "N/A"))</f>
        <v>N/A</v>
      </c>
      <c r="O481" s="159" t="str" cm="1">
        <f t="array" ref="O48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8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81" s="189" t="s">
        <v>312</v>
      </c>
    </row>
    <row r="482" spans="1:21" s="1" customFormat="1" hidden="1" x14ac:dyDescent="0.2">
      <c r="A482" s="155">
        <v>371</v>
      </c>
      <c r="B482" s="1" t="s">
        <v>386</v>
      </c>
      <c r="C482" s="1" t="s">
        <v>514</v>
      </c>
      <c r="D482" s="1" t="s">
        <v>515</v>
      </c>
      <c r="E482" s="1" t="s">
        <v>306</v>
      </c>
      <c r="F482" s="195" t="s">
        <v>1929</v>
      </c>
      <c r="G482" s="266" t="str">
        <f>_xlfn.XLOOKUP(ITEquipmentTable[[#This Row],[Name]], IntuneData[Device name], IntuneData[Serial number], "")</f>
        <v/>
      </c>
      <c r="H482" s="1" t="s">
        <v>302</v>
      </c>
      <c r="K482" s="223" t="s">
        <v>226</v>
      </c>
      <c r="L482" s="266" t="str">
        <f>_xlfn.LET(
_xlpm.look, _xlfn.XLOOKUP(ITEquipmentTable[[#This Row],[Name]], VNCTable[ClientName], VNCTable[IP], ""),
_xlpm.chkk, IF(ITEquipmentTable[[#This Row],[IPv4 Address]] = "N/A", "N/A", _xlpm.look),
IF(ITEquipmentTable[[#This Row],[Name]] = "", "", _xlpm.chkk))</f>
        <v>N/A</v>
      </c>
      <c r="M482" s="168" t="s">
        <v>226</v>
      </c>
      <c r="N482" s="159" t="str">
        <f>_xlfn.LET(_xlpm.emp, IF(_xlfn.XLOOKUP(ITEquipmentTable[[#This Row],[Assigned Employee]], EmployeeTable[name], EmployeeTable[Active], TRUE), "Employee", "Recover"),
IF(ITEquipmentTable[[#This Row],[Storage Location]] = "Assigned to Employee", _xlpm.emp, "N/A"))</f>
        <v>N/A</v>
      </c>
      <c r="O482" s="159" t="str" cm="1">
        <f t="array" ref="O48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8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82" s="189" t="s">
        <v>312</v>
      </c>
    </row>
    <row r="483" spans="1:21" s="1" customFormat="1" hidden="1" x14ac:dyDescent="0.2">
      <c r="A483" s="155">
        <v>372</v>
      </c>
      <c r="B483" s="1" t="s">
        <v>386</v>
      </c>
      <c r="C483" s="1" t="s">
        <v>514</v>
      </c>
      <c r="D483" s="1" t="s">
        <v>515</v>
      </c>
      <c r="E483" s="1" t="s">
        <v>306</v>
      </c>
      <c r="F483" s="195" t="s">
        <v>1930</v>
      </c>
      <c r="G483" s="266" t="str">
        <f>_xlfn.XLOOKUP(ITEquipmentTable[[#This Row],[Name]], IntuneData[Device name], IntuneData[Serial number], "")</f>
        <v/>
      </c>
      <c r="H483" s="1" t="s">
        <v>302</v>
      </c>
      <c r="K483" s="223" t="s">
        <v>226</v>
      </c>
      <c r="L483" s="266" t="str">
        <f>_xlfn.LET(
_xlpm.look, _xlfn.XLOOKUP(ITEquipmentTable[[#This Row],[Name]], VNCTable[ClientName], VNCTable[IP], ""),
_xlpm.chkk, IF(ITEquipmentTable[[#This Row],[IPv4 Address]] = "N/A", "N/A", _xlpm.look),
IF(ITEquipmentTable[[#This Row],[Name]] = "", "", _xlpm.chkk))</f>
        <v>N/A</v>
      </c>
      <c r="M483" s="168" t="s">
        <v>226</v>
      </c>
      <c r="N483" s="159" t="str">
        <f>_xlfn.LET(_xlpm.emp, IF(_xlfn.XLOOKUP(ITEquipmentTable[[#This Row],[Assigned Employee]], EmployeeTable[name], EmployeeTable[Active], TRUE), "Employee", "Recover"),
IF(ITEquipmentTable[[#This Row],[Storage Location]] = "Assigned to Employee", _xlpm.emp, "N/A"))</f>
        <v>N/A</v>
      </c>
      <c r="O483" s="159" t="str" cm="1">
        <f t="array" ref="O48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8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83" s="189" t="s">
        <v>312</v>
      </c>
    </row>
    <row r="484" spans="1:21" s="1" customFormat="1" hidden="1" x14ac:dyDescent="0.2">
      <c r="A484" s="155">
        <v>373</v>
      </c>
      <c r="B484" s="189" t="s">
        <v>386</v>
      </c>
      <c r="C484" s="189" t="s">
        <v>514</v>
      </c>
      <c r="D484" s="1" t="s">
        <v>515</v>
      </c>
      <c r="E484" s="189" t="s">
        <v>306</v>
      </c>
      <c r="F484" s="195" t="s">
        <v>1931</v>
      </c>
      <c r="G484" s="266" t="str">
        <f>_xlfn.XLOOKUP(ITEquipmentTable[[#This Row],[Name]], IntuneData[Device name], IntuneData[Serial number], "")</f>
        <v/>
      </c>
      <c r="H484" s="189" t="s">
        <v>302</v>
      </c>
      <c r="I484" s="189"/>
      <c r="J484" s="189"/>
      <c r="K484" s="223" t="s">
        <v>226</v>
      </c>
      <c r="L484" s="266" t="str">
        <f>_xlfn.LET(
_xlpm.look, _xlfn.XLOOKUP(ITEquipmentTable[[#This Row],[Name]], VNCTable[ClientName], VNCTable[IP], ""),
_xlpm.chkk, IF(ITEquipmentTable[[#This Row],[IPv4 Address]] = "N/A", "N/A", _xlpm.look),
IF(ITEquipmentTable[[#This Row],[Name]] = "", "", _xlpm.chkk))</f>
        <v>N/A</v>
      </c>
      <c r="M484" s="168" t="s">
        <v>226</v>
      </c>
      <c r="N484" s="159" t="str">
        <f>_xlfn.LET(_xlpm.emp, IF(_xlfn.XLOOKUP(ITEquipmentTable[[#This Row],[Assigned Employee]], EmployeeTable[name], EmployeeTable[Active], TRUE), "Employee", "Recover"),
IF(ITEquipmentTable[[#This Row],[Storage Location]] = "Assigned to Employee", _xlpm.emp, "N/A"))</f>
        <v>N/A</v>
      </c>
      <c r="O484" s="159" t="str" cm="1">
        <f t="array" ref="O48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8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84" s="189"/>
      <c r="R484" s="189" t="s">
        <v>312</v>
      </c>
      <c r="S484" s="189"/>
    </row>
    <row r="485" spans="1:21" s="1" customFormat="1" hidden="1" x14ac:dyDescent="0.2">
      <c r="A485" s="155">
        <v>374</v>
      </c>
      <c r="B485" s="189" t="s">
        <v>386</v>
      </c>
      <c r="C485" s="189" t="s">
        <v>514</v>
      </c>
      <c r="D485" s="1" t="s">
        <v>515</v>
      </c>
      <c r="E485" s="189" t="s">
        <v>306</v>
      </c>
      <c r="F485" s="195" t="s">
        <v>1932</v>
      </c>
      <c r="G485" s="266" t="str">
        <f>_xlfn.XLOOKUP(ITEquipmentTable[[#This Row],[Name]], IntuneData[Device name], IntuneData[Serial number], "")</f>
        <v/>
      </c>
      <c r="H485" s="189" t="s">
        <v>302</v>
      </c>
      <c r="I485" s="189"/>
      <c r="J485" s="189"/>
      <c r="K485" s="223" t="s">
        <v>226</v>
      </c>
      <c r="L485" s="266" t="str">
        <f>_xlfn.LET(
_xlpm.look, _xlfn.XLOOKUP(ITEquipmentTable[[#This Row],[Name]], VNCTable[ClientName], VNCTable[IP], ""),
_xlpm.chkk, IF(ITEquipmentTable[[#This Row],[IPv4 Address]] = "N/A", "N/A", _xlpm.look),
IF(ITEquipmentTable[[#This Row],[Name]] = "", "", _xlpm.chkk))</f>
        <v>N/A</v>
      </c>
      <c r="M485" s="168" t="s">
        <v>226</v>
      </c>
      <c r="N485" s="159" t="str">
        <f>_xlfn.LET(_xlpm.emp, IF(_xlfn.XLOOKUP(ITEquipmentTable[[#This Row],[Assigned Employee]], EmployeeTable[name], EmployeeTable[Active], TRUE), "Employee", "Recover"),
IF(ITEquipmentTable[[#This Row],[Storage Location]] = "Assigned to Employee", _xlpm.emp, "N/A"))</f>
        <v>N/A</v>
      </c>
      <c r="O485" s="159" t="str" cm="1">
        <f t="array" ref="O48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8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85" s="189"/>
      <c r="R485" s="189" t="s">
        <v>312</v>
      </c>
      <c r="S485" s="189"/>
    </row>
    <row r="486" spans="1:21" s="1" customFormat="1" hidden="1" x14ac:dyDescent="0.2">
      <c r="A486" s="155">
        <v>375</v>
      </c>
      <c r="B486" s="1" t="s">
        <v>386</v>
      </c>
      <c r="C486" s="1" t="s">
        <v>514</v>
      </c>
      <c r="D486" s="1" t="s">
        <v>515</v>
      </c>
      <c r="E486" s="1" t="s">
        <v>306</v>
      </c>
      <c r="F486" s="195" t="s">
        <v>1933</v>
      </c>
      <c r="G486" s="159" t="str">
        <f>_xlfn.XLOOKUP(ITEquipmentTable[[#This Row],[Name]], IntuneData[Device name], IntuneData[Serial number], "")</f>
        <v/>
      </c>
      <c r="H486" s="1" t="s">
        <v>302</v>
      </c>
      <c r="K486" s="223" t="s">
        <v>226</v>
      </c>
      <c r="L486" s="159" t="str">
        <f>_xlfn.LET(
_xlpm.look, _xlfn.XLOOKUP(ITEquipmentTable[[#This Row],[Name]], VNCTable[ClientName], VNCTable[IP], ""),
_xlpm.chkk, IF(ITEquipmentTable[[#This Row],[IPv4 Address]] = "N/A", "N/A", _xlpm.look),
IF(ITEquipmentTable[[#This Row],[Name]] = "", "", _xlpm.chkk))</f>
        <v>N/A</v>
      </c>
      <c r="M486" s="168" t="s">
        <v>226</v>
      </c>
      <c r="N486" s="159" t="str">
        <f>_xlfn.LET(_xlpm.emp, IF(_xlfn.XLOOKUP(ITEquipmentTable[[#This Row],[Assigned Employee]], EmployeeTable[name], EmployeeTable[Active], TRUE), "Employee", "Recover"),
IF(ITEquipmentTable[[#This Row],[Storage Location]] = "Assigned to Employee", _xlpm.emp, "N/A"))</f>
        <v>N/A</v>
      </c>
      <c r="O486" s="159" t="str" cm="1">
        <f t="array" ref="O48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8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86" s="189" t="s">
        <v>312</v>
      </c>
      <c r="U486" s="203"/>
    </row>
    <row r="487" spans="1:21" s="1" customFormat="1" hidden="1" x14ac:dyDescent="0.2">
      <c r="A487" s="155">
        <v>376</v>
      </c>
      <c r="B487" s="1" t="s">
        <v>386</v>
      </c>
      <c r="C487" s="1" t="s">
        <v>514</v>
      </c>
      <c r="D487" s="1" t="s">
        <v>515</v>
      </c>
      <c r="E487" s="1" t="s">
        <v>306</v>
      </c>
      <c r="F487" s="195" t="s">
        <v>1934</v>
      </c>
      <c r="G487" s="266" t="str">
        <f>_xlfn.XLOOKUP(ITEquipmentTable[[#This Row],[Name]], IntuneData[Device name], IntuneData[Serial number], "")</f>
        <v/>
      </c>
      <c r="H487" s="1" t="s">
        <v>302</v>
      </c>
      <c r="K487" s="223" t="s">
        <v>226</v>
      </c>
      <c r="L487" s="266" t="str">
        <f>_xlfn.LET(
_xlpm.look, _xlfn.XLOOKUP(ITEquipmentTable[[#This Row],[Name]], VNCTable[ClientName], VNCTable[IP], ""),
_xlpm.chkk, IF(ITEquipmentTable[[#This Row],[IPv4 Address]] = "N/A", "N/A", _xlpm.look),
IF(ITEquipmentTable[[#This Row],[Name]] = "", "", _xlpm.chkk))</f>
        <v>N/A</v>
      </c>
      <c r="M487" s="168" t="s">
        <v>226</v>
      </c>
      <c r="N487" s="159" t="str">
        <f>_xlfn.LET(_xlpm.emp, IF(_xlfn.XLOOKUP(ITEquipmentTable[[#This Row],[Assigned Employee]], EmployeeTable[name], EmployeeTable[Active], TRUE), "Employee", "Recover"),
IF(ITEquipmentTable[[#This Row],[Storage Location]] = "Assigned to Employee", _xlpm.emp, "N/A"))</f>
        <v>N/A</v>
      </c>
      <c r="O487" s="159" t="str" cm="1">
        <f t="array" ref="O48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8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87" s="189" t="s">
        <v>312</v>
      </c>
    </row>
    <row r="488" spans="1:21" s="1" customFormat="1" hidden="1" x14ac:dyDescent="0.2">
      <c r="A488" s="155">
        <v>377</v>
      </c>
      <c r="B488" s="1" t="s">
        <v>386</v>
      </c>
      <c r="C488" s="1" t="s">
        <v>514</v>
      </c>
      <c r="D488" s="1" t="s">
        <v>515</v>
      </c>
      <c r="E488" s="1" t="s">
        <v>306</v>
      </c>
      <c r="F488" s="195" t="s">
        <v>1935</v>
      </c>
      <c r="G488" s="266" t="str">
        <f>_xlfn.XLOOKUP(ITEquipmentTable[[#This Row],[Name]], IntuneData[Device name], IntuneData[Serial number], "")</f>
        <v/>
      </c>
      <c r="H488" s="1" t="s">
        <v>302</v>
      </c>
      <c r="K488" s="223" t="s">
        <v>226</v>
      </c>
      <c r="L488" s="266" t="str">
        <f>_xlfn.LET(
_xlpm.look, _xlfn.XLOOKUP(ITEquipmentTable[[#This Row],[Name]], VNCTable[ClientName], VNCTable[IP], ""),
_xlpm.chkk, IF(ITEquipmentTable[[#This Row],[IPv4 Address]] = "N/A", "N/A", _xlpm.look),
IF(ITEquipmentTable[[#This Row],[Name]] = "", "", _xlpm.chkk))</f>
        <v>N/A</v>
      </c>
      <c r="M488" s="168" t="s">
        <v>226</v>
      </c>
      <c r="N488" s="159" t="str">
        <f>_xlfn.LET(_xlpm.emp, IF(_xlfn.XLOOKUP(ITEquipmentTable[[#This Row],[Assigned Employee]], EmployeeTable[name], EmployeeTable[Active], TRUE), "Employee", "Recover"),
IF(ITEquipmentTable[[#This Row],[Storage Location]] = "Assigned to Employee", _xlpm.emp, "N/A"))</f>
        <v>N/A</v>
      </c>
      <c r="O488" s="159" t="str" cm="1">
        <f t="array" ref="O48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8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88" s="189" t="s">
        <v>312</v>
      </c>
    </row>
    <row r="489" spans="1:21" s="1" customFormat="1" hidden="1" x14ac:dyDescent="0.2">
      <c r="A489" s="155">
        <v>378</v>
      </c>
      <c r="B489" s="1" t="s">
        <v>386</v>
      </c>
      <c r="C489" s="1" t="s">
        <v>514</v>
      </c>
      <c r="D489" s="1" t="s">
        <v>515</v>
      </c>
      <c r="E489" s="1" t="s">
        <v>306</v>
      </c>
      <c r="F489" s="195" t="s">
        <v>1936</v>
      </c>
      <c r="G489" s="266" t="str">
        <f>_xlfn.XLOOKUP(ITEquipmentTable[[#This Row],[Name]], IntuneData[Device name], IntuneData[Serial number], "")</f>
        <v/>
      </c>
      <c r="H489" s="1" t="s">
        <v>302</v>
      </c>
      <c r="K489" s="223" t="s">
        <v>226</v>
      </c>
      <c r="L489" s="266" t="str">
        <f>_xlfn.LET(
_xlpm.look, _xlfn.XLOOKUP(ITEquipmentTable[[#This Row],[Name]], VNCTable[ClientName], VNCTable[IP], ""),
_xlpm.chkk, IF(ITEquipmentTable[[#This Row],[IPv4 Address]] = "N/A", "N/A", _xlpm.look),
IF(ITEquipmentTable[[#This Row],[Name]] = "", "", _xlpm.chkk))</f>
        <v>N/A</v>
      </c>
      <c r="M489" s="168" t="s">
        <v>226</v>
      </c>
      <c r="N489" s="159" t="str">
        <f>_xlfn.LET(_xlpm.emp, IF(_xlfn.XLOOKUP(ITEquipmentTable[[#This Row],[Assigned Employee]], EmployeeTable[name], EmployeeTable[Active], TRUE), "Employee", "Recover"),
IF(ITEquipmentTable[[#This Row],[Storage Location]] = "Assigned to Employee", _xlpm.emp, "N/A"))</f>
        <v>N/A</v>
      </c>
      <c r="O489" s="159" t="str" cm="1">
        <f t="array" ref="O48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8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89" s="189" t="s">
        <v>312</v>
      </c>
    </row>
    <row r="490" spans="1:21" s="1" customFormat="1" hidden="1" x14ac:dyDescent="0.2">
      <c r="A490" s="155">
        <v>379</v>
      </c>
      <c r="B490" s="189" t="s">
        <v>340</v>
      </c>
      <c r="C490" s="189" t="s">
        <v>478</v>
      </c>
      <c r="D490" s="189" t="s">
        <v>479</v>
      </c>
      <c r="E490" s="189" t="s">
        <v>306</v>
      </c>
      <c r="F490" s="195" t="s">
        <v>1937</v>
      </c>
      <c r="G490" s="266" t="str">
        <f>_xlfn.XLOOKUP(ITEquipmentTable[[#This Row],[Name]], IntuneData[Device name], IntuneData[Serial number], "")</f>
        <v/>
      </c>
      <c r="H490" s="1" t="s">
        <v>315</v>
      </c>
      <c r="I490" s="189"/>
      <c r="J490" s="189"/>
      <c r="K490" s="219" t="s">
        <v>226</v>
      </c>
      <c r="L490" s="266" t="str">
        <f>_xlfn.LET(
_xlpm.look, _xlfn.XLOOKUP(ITEquipmentTable[[#This Row],[Name]], VNCTable[ClientName], VNCTable[IP], ""),
_xlpm.chkk, IF(ITEquipmentTable[[#This Row],[IPv4 Address]] = "N/A", "N/A", _xlpm.look),
IF(ITEquipmentTable[[#This Row],[Name]] = "", "", _xlpm.chkk))</f>
        <v>N/A</v>
      </c>
      <c r="M490" s="189" t="s">
        <v>226</v>
      </c>
      <c r="N490" s="159" t="str">
        <f>_xlfn.LET(_xlpm.emp, IF(_xlfn.XLOOKUP(ITEquipmentTable[[#This Row],[Assigned Employee]], EmployeeTable[name], EmployeeTable[Active], TRUE), "Employee", "Recover"),
IF(ITEquipmentTable[[#This Row],[Storage Location]] = "Assigned to Employee", _xlpm.emp, "N/A"))</f>
        <v>N/A</v>
      </c>
      <c r="O490" s="159" t="str" cm="1">
        <f t="array" ref="O49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9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90" s="189"/>
      <c r="R490" s="189" t="s">
        <v>312</v>
      </c>
      <c r="S490" s="189"/>
    </row>
    <row r="491" spans="1:21" s="1" customFormat="1" hidden="1" x14ac:dyDescent="0.2">
      <c r="A491" s="155">
        <v>380</v>
      </c>
      <c r="B491" s="189" t="s">
        <v>340</v>
      </c>
      <c r="C491" s="189" t="s">
        <v>478</v>
      </c>
      <c r="D491" s="189" t="s">
        <v>479</v>
      </c>
      <c r="E491" s="189" t="s">
        <v>306</v>
      </c>
      <c r="F491" s="201" t="s">
        <v>1938</v>
      </c>
      <c r="G491" s="266" t="str">
        <f>_xlfn.XLOOKUP(ITEquipmentTable[[#This Row],[Name]], IntuneData[Device name], IntuneData[Serial number], "")</f>
        <v/>
      </c>
      <c r="H491" s="1" t="s">
        <v>315</v>
      </c>
      <c r="I491" s="189"/>
      <c r="J491" s="189"/>
      <c r="K491" s="219" t="s">
        <v>226</v>
      </c>
      <c r="L491" s="266" t="str">
        <f>_xlfn.LET(
_xlpm.look, _xlfn.XLOOKUP(ITEquipmentTable[[#This Row],[Name]], VNCTable[ClientName], VNCTable[IP], ""),
_xlpm.chkk, IF(ITEquipmentTable[[#This Row],[IPv4 Address]] = "N/A", "N/A", _xlpm.look),
IF(ITEquipmentTable[[#This Row],[Name]] = "", "", _xlpm.chkk))</f>
        <v>N/A</v>
      </c>
      <c r="M491" s="189" t="s">
        <v>226</v>
      </c>
      <c r="N491" s="159" t="str">
        <f>_xlfn.LET(_xlpm.emp, IF(_xlfn.XLOOKUP(ITEquipmentTable[[#This Row],[Assigned Employee]], EmployeeTable[name], EmployeeTable[Active], TRUE), "Employee", "Recover"),
IF(ITEquipmentTable[[#This Row],[Storage Location]] = "Assigned to Employee", _xlpm.emp, "N/A"))</f>
        <v>N/A</v>
      </c>
      <c r="O491" s="159" t="str" cm="1">
        <f t="array" ref="O49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9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91" s="189"/>
      <c r="R491" s="189" t="s">
        <v>312</v>
      </c>
      <c r="S491" s="189"/>
    </row>
    <row r="492" spans="1:21" s="1" customFormat="1" hidden="1" x14ac:dyDescent="0.2">
      <c r="A492" s="155">
        <v>382</v>
      </c>
      <c r="B492" s="189" t="s">
        <v>340</v>
      </c>
      <c r="C492" s="189" t="s">
        <v>478</v>
      </c>
      <c r="D492" s="189" t="s">
        <v>479</v>
      </c>
      <c r="E492" s="189" t="s">
        <v>306</v>
      </c>
      <c r="F492" s="201" t="s">
        <v>1939</v>
      </c>
      <c r="G492" s="266" t="str">
        <f>_xlfn.XLOOKUP(ITEquipmentTable[[#This Row],[Name]], IntuneData[Device name], IntuneData[Serial number], "")</f>
        <v/>
      </c>
      <c r="H492" s="185" t="s">
        <v>328</v>
      </c>
      <c r="I492" s="189"/>
      <c r="J492" s="189"/>
      <c r="K492" s="154" t="s">
        <v>226</v>
      </c>
      <c r="L492" s="266" t="str">
        <f>_xlfn.LET(
_xlpm.look, _xlfn.XLOOKUP(ITEquipmentTable[[#This Row],[Name]], VNCTable[ClientName], VNCTable[IP], ""),
_xlpm.chkk, IF(ITEquipmentTable[[#This Row],[IPv4 Address]] = "N/A", "N/A", _xlpm.look),
IF(ITEquipmentTable[[#This Row],[Name]] = "", "", _xlpm.chkk))</f>
        <v>N/A</v>
      </c>
      <c r="M492" s="1" t="s">
        <v>226</v>
      </c>
      <c r="N492" s="159" t="str">
        <f>_xlfn.LET(_xlpm.emp, IF(_xlfn.XLOOKUP(ITEquipmentTable[[#This Row],[Assigned Employee]], EmployeeTable[name], EmployeeTable[Active], TRUE), "Employee", "Recover"),
IF(ITEquipmentTable[[#This Row],[Storage Location]] = "Assigned to Employee", _xlpm.emp, "N/A"))</f>
        <v>N/A</v>
      </c>
      <c r="O492" s="159" t="str" cm="1">
        <f t="array" ref="O49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9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92" s="189"/>
      <c r="R492" s="189" t="s">
        <v>312</v>
      </c>
      <c r="S492" s="189"/>
    </row>
    <row r="493" spans="1:21" s="1" customFormat="1" hidden="1" x14ac:dyDescent="0.2">
      <c r="A493" s="155">
        <v>383</v>
      </c>
      <c r="B493" s="189" t="s">
        <v>340</v>
      </c>
      <c r="C493" s="189" t="s">
        <v>478</v>
      </c>
      <c r="D493" s="189" t="s">
        <v>479</v>
      </c>
      <c r="E493" s="189" t="s">
        <v>306</v>
      </c>
      <c r="F493" s="201" t="s">
        <v>1940</v>
      </c>
      <c r="G493" s="266" t="str">
        <f>_xlfn.XLOOKUP(ITEquipmentTable[[#This Row],[Name]], IntuneData[Device name], IntuneData[Serial number], "")</f>
        <v/>
      </c>
      <c r="H493" s="1" t="s">
        <v>315</v>
      </c>
      <c r="I493" s="189"/>
      <c r="J493" s="189"/>
      <c r="K493" s="219" t="s">
        <v>226</v>
      </c>
      <c r="L493" s="266" t="str">
        <f>_xlfn.LET(
_xlpm.look, _xlfn.XLOOKUP(ITEquipmentTable[[#This Row],[Name]], VNCTable[ClientName], VNCTable[IP], ""),
_xlpm.chkk, IF(ITEquipmentTable[[#This Row],[IPv4 Address]] = "N/A", "N/A", _xlpm.look),
IF(ITEquipmentTable[[#This Row],[Name]] = "", "", _xlpm.chkk))</f>
        <v>N/A</v>
      </c>
      <c r="M493" s="189" t="s">
        <v>226</v>
      </c>
      <c r="N493" s="159" t="str">
        <f>_xlfn.LET(_xlpm.emp, IF(_xlfn.XLOOKUP(ITEquipmentTable[[#This Row],[Assigned Employee]], EmployeeTable[name], EmployeeTable[Active], TRUE), "Employee", "Recover"),
IF(ITEquipmentTable[[#This Row],[Storage Location]] = "Assigned to Employee", _xlpm.emp, "N/A"))</f>
        <v>N/A</v>
      </c>
      <c r="O493" s="159" t="str" cm="1">
        <f t="array" ref="O49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9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493" s="189"/>
      <c r="R493" s="189" t="s">
        <v>312</v>
      </c>
      <c r="S493" s="189"/>
    </row>
    <row r="494" spans="1:21" s="1" customFormat="1" hidden="1" x14ac:dyDescent="0.2">
      <c r="A494" s="155">
        <v>384</v>
      </c>
      <c r="B494" s="1" t="s">
        <v>350</v>
      </c>
      <c r="C494" s="1" t="s">
        <v>519</v>
      </c>
      <c r="D494" s="1" t="s">
        <v>746</v>
      </c>
      <c r="E494" s="1" t="s">
        <v>306</v>
      </c>
      <c r="F494" s="195" t="s">
        <v>1941</v>
      </c>
      <c r="G494" s="266" t="str">
        <f>_xlfn.XLOOKUP(ITEquipmentTable[[#This Row],[Name]], IntuneData[Device name], IntuneData[Serial number], "")</f>
        <v/>
      </c>
      <c r="H494" s="1" t="s">
        <v>302</v>
      </c>
      <c r="K494" s="219" t="s">
        <v>226</v>
      </c>
      <c r="L494" s="266" t="str">
        <f>_xlfn.LET(
_xlpm.look, _xlfn.XLOOKUP(ITEquipmentTable[[#This Row],[Name]], VNCTable[ClientName], VNCTable[IP], ""),
_xlpm.chkk, IF(ITEquipmentTable[[#This Row],[IPv4 Address]] = "N/A", "N/A", _xlpm.look),
IF(ITEquipmentTable[[#This Row],[Name]] = "", "", _xlpm.chkk))</f>
        <v>N/A</v>
      </c>
      <c r="M494" s="189" t="s">
        <v>226</v>
      </c>
      <c r="N494" s="159" t="str">
        <f>_xlfn.LET(_xlpm.emp, IF(_xlfn.XLOOKUP(ITEquipmentTable[[#This Row],[Assigned Employee]], EmployeeTable[name], EmployeeTable[Active], TRUE), "Employee", "Recover"),
IF(ITEquipmentTable[[#This Row],[Storage Location]] = "Assigned to Employee", _xlpm.emp, "N/A"))</f>
        <v>N/A</v>
      </c>
      <c r="O494" s="159" t="str" cm="1">
        <f t="array" ref="O49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9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94" s="1" t="s">
        <v>312</v>
      </c>
    </row>
    <row r="495" spans="1:21" s="1" customFormat="1" hidden="1" x14ac:dyDescent="0.2">
      <c r="A495" s="155">
        <v>385</v>
      </c>
      <c r="B495" s="1" t="s">
        <v>350</v>
      </c>
      <c r="C495" s="1" t="s">
        <v>519</v>
      </c>
      <c r="D495" s="1" t="s">
        <v>746</v>
      </c>
      <c r="E495" s="1" t="s">
        <v>306</v>
      </c>
      <c r="F495" s="195" t="s">
        <v>1942</v>
      </c>
      <c r="G495" s="266" t="str">
        <f>_xlfn.XLOOKUP(ITEquipmentTable[[#This Row],[Name]], IntuneData[Device name], IntuneData[Serial number], "")</f>
        <v/>
      </c>
      <c r="H495" s="1" t="s">
        <v>302</v>
      </c>
      <c r="K495" s="219" t="s">
        <v>226</v>
      </c>
      <c r="L495" s="266" t="str">
        <f>_xlfn.LET(
_xlpm.look, _xlfn.XLOOKUP(ITEquipmentTable[[#This Row],[Name]], VNCTable[ClientName], VNCTable[IP], ""),
_xlpm.chkk, IF(ITEquipmentTable[[#This Row],[IPv4 Address]] = "N/A", "N/A", _xlpm.look),
IF(ITEquipmentTable[[#This Row],[Name]] = "", "", _xlpm.chkk))</f>
        <v>N/A</v>
      </c>
      <c r="M495" s="189" t="s">
        <v>226</v>
      </c>
      <c r="N495" s="159" t="str">
        <f>_xlfn.LET(_xlpm.emp, IF(_xlfn.XLOOKUP(ITEquipmentTable[[#This Row],[Assigned Employee]], EmployeeTable[name], EmployeeTable[Active], TRUE), "Employee", "Recover"),
IF(ITEquipmentTable[[#This Row],[Storage Location]] = "Assigned to Employee", _xlpm.emp, "N/A"))</f>
        <v>N/A</v>
      </c>
      <c r="O495" s="159" t="str" cm="1">
        <f t="array" ref="O49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9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95" s="1" t="s">
        <v>312</v>
      </c>
    </row>
    <row r="496" spans="1:21" s="1" customFormat="1" hidden="1" x14ac:dyDescent="0.2">
      <c r="A496" s="155">
        <v>386</v>
      </c>
      <c r="B496" s="1" t="s">
        <v>350</v>
      </c>
      <c r="C496" s="1" t="s">
        <v>519</v>
      </c>
      <c r="D496" s="1" t="s">
        <v>746</v>
      </c>
      <c r="E496" s="1" t="s">
        <v>306</v>
      </c>
      <c r="F496" s="195" t="s">
        <v>747</v>
      </c>
      <c r="G496" s="266" t="str">
        <f>_xlfn.XLOOKUP(ITEquipmentTable[[#This Row],[Name]], IntuneData[Device name], IntuneData[Serial number], "")</f>
        <v/>
      </c>
      <c r="H496" s="1" t="s">
        <v>295</v>
      </c>
      <c r="I496" s="1" t="s">
        <v>748</v>
      </c>
      <c r="K496" s="219" t="s">
        <v>226</v>
      </c>
      <c r="L496" s="266" t="str">
        <f>_xlfn.LET(
_xlpm.look, _xlfn.XLOOKUP(ITEquipmentTable[[#This Row],[Name]], VNCTable[ClientName], VNCTable[IP], ""),
_xlpm.chkk, IF(ITEquipmentTable[[#This Row],[IPv4 Address]] = "N/A", "N/A", _xlpm.look),
IF(ITEquipmentTable[[#This Row],[Name]] = "", "", _xlpm.chkk))</f>
        <v>N/A</v>
      </c>
      <c r="M496" s="189" t="s">
        <v>226</v>
      </c>
      <c r="N496" s="159" t="str">
        <f>_xlfn.LET(_xlpm.emp, IF(_xlfn.XLOOKUP(ITEquipmentTable[[#This Row],[Assigned Employee]], EmployeeTable[name], EmployeeTable[Active], TRUE), "Employee", "Recover"),
IF(ITEquipmentTable[[#This Row],[Storage Location]] = "Assigned to Employee", _xlpm.emp, "N/A"))</f>
        <v>N/A</v>
      </c>
      <c r="O496" s="159" t="str" cm="1">
        <f t="array" ref="O49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9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96" s="1" t="s">
        <v>312</v>
      </c>
    </row>
    <row r="497" spans="1:18" s="1" customFormat="1" hidden="1" x14ac:dyDescent="0.2">
      <c r="A497" s="155">
        <v>387</v>
      </c>
      <c r="B497" s="1" t="s">
        <v>350</v>
      </c>
      <c r="C497" s="1" t="s">
        <v>519</v>
      </c>
      <c r="D497" s="1" t="s">
        <v>746</v>
      </c>
      <c r="E497" s="1" t="s">
        <v>306</v>
      </c>
      <c r="F497" s="195" t="s">
        <v>750</v>
      </c>
      <c r="G497" s="266" t="str">
        <f>_xlfn.XLOOKUP(ITEquipmentTable[[#This Row],[Name]], IntuneData[Device name], IntuneData[Serial number], "")</f>
        <v/>
      </c>
      <c r="H497" s="1" t="s">
        <v>295</v>
      </c>
      <c r="I497" s="1" t="s">
        <v>748</v>
      </c>
      <c r="K497" s="219" t="s">
        <v>226</v>
      </c>
      <c r="L497" s="266" t="str">
        <f>_xlfn.LET(
_xlpm.look, _xlfn.XLOOKUP(ITEquipmentTable[[#This Row],[Name]], VNCTable[ClientName], VNCTable[IP], ""),
_xlpm.chkk, IF(ITEquipmentTable[[#This Row],[IPv4 Address]] = "N/A", "N/A", _xlpm.look),
IF(ITEquipmentTable[[#This Row],[Name]] = "", "", _xlpm.chkk))</f>
        <v>N/A</v>
      </c>
      <c r="M497" s="189" t="s">
        <v>226</v>
      </c>
      <c r="N497" s="159" t="str">
        <f>_xlfn.LET(_xlpm.emp, IF(_xlfn.XLOOKUP(ITEquipmentTable[[#This Row],[Assigned Employee]], EmployeeTable[name], EmployeeTable[Active], TRUE), "Employee", "Recover"),
IF(ITEquipmentTable[[#This Row],[Storage Location]] = "Assigned to Employee", _xlpm.emp, "N/A"))</f>
        <v>N/A</v>
      </c>
      <c r="O497" s="159" t="str" cm="1">
        <f t="array" ref="O49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9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97" s="1" t="s">
        <v>312</v>
      </c>
    </row>
    <row r="498" spans="1:18" s="1" customFormat="1" hidden="1" x14ac:dyDescent="0.2">
      <c r="A498" s="155">
        <v>388</v>
      </c>
      <c r="B498" s="1" t="s">
        <v>350</v>
      </c>
      <c r="C498" s="1" t="s">
        <v>519</v>
      </c>
      <c r="D498" s="1" t="s">
        <v>746</v>
      </c>
      <c r="E498" s="1" t="s">
        <v>306</v>
      </c>
      <c r="F498" s="195" t="s">
        <v>1943</v>
      </c>
      <c r="G498" s="266" t="str">
        <f>_xlfn.XLOOKUP(ITEquipmentTable[[#This Row],[Name]], IntuneData[Device name], IntuneData[Serial number], "")</f>
        <v/>
      </c>
      <c r="H498" s="1" t="s">
        <v>302</v>
      </c>
      <c r="K498" s="219" t="s">
        <v>226</v>
      </c>
      <c r="L498" s="266" t="str">
        <f>_xlfn.LET(
_xlpm.look, _xlfn.XLOOKUP(ITEquipmentTable[[#This Row],[Name]], VNCTable[ClientName], VNCTable[IP], ""),
_xlpm.chkk, IF(ITEquipmentTable[[#This Row],[IPv4 Address]] = "N/A", "N/A", _xlpm.look),
IF(ITEquipmentTable[[#This Row],[Name]] = "", "", _xlpm.chkk))</f>
        <v>N/A</v>
      </c>
      <c r="M498" s="189" t="s">
        <v>226</v>
      </c>
      <c r="N498" s="159" t="str">
        <f>_xlfn.LET(_xlpm.emp, IF(_xlfn.XLOOKUP(ITEquipmentTable[[#This Row],[Assigned Employee]], EmployeeTable[name], EmployeeTable[Active], TRUE), "Employee", "Recover"),
IF(ITEquipmentTable[[#This Row],[Storage Location]] = "Assigned to Employee", _xlpm.emp, "N/A"))</f>
        <v>N/A</v>
      </c>
      <c r="O498" s="159" t="str" cm="1">
        <f t="array" ref="O49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9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98" s="1" t="s">
        <v>312</v>
      </c>
    </row>
    <row r="499" spans="1:18" s="1" customFormat="1" hidden="1" x14ac:dyDescent="0.2">
      <c r="A499" s="155">
        <v>389</v>
      </c>
      <c r="B499" s="1" t="s">
        <v>350</v>
      </c>
      <c r="C499" s="1" t="s">
        <v>519</v>
      </c>
      <c r="D499" s="1" t="s">
        <v>746</v>
      </c>
      <c r="E499" s="1" t="s">
        <v>306</v>
      </c>
      <c r="F499" s="195" t="s">
        <v>1944</v>
      </c>
      <c r="G499" s="266" t="str">
        <f>_xlfn.XLOOKUP(ITEquipmentTable[[#This Row],[Name]], IntuneData[Device name], IntuneData[Serial number], "")</f>
        <v/>
      </c>
      <c r="H499" s="1" t="s">
        <v>302</v>
      </c>
      <c r="K499" s="219" t="s">
        <v>226</v>
      </c>
      <c r="L499" s="266" t="str">
        <f>_xlfn.LET(
_xlpm.look, _xlfn.XLOOKUP(ITEquipmentTable[[#This Row],[Name]], VNCTable[ClientName], VNCTable[IP], ""),
_xlpm.chkk, IF(ITEquipmentTable[[#This Row],[IPv4 Address]] = "N/A", "N/A", _xlpm.look),
IF(ITEquipmentTable[[#This Row],[Name]] = "", "", _xlpm.chkk))</f>
        <v>N/A</v>
      </c>
      <c r="M499" s="189" t="s">
        <v>226</v>
      </c>
      <c r="N499" s="159" t="str">
        <f>_xlfn.LET(_xlpm.emp, IF(_xlfn.XLOOKUP(ITEquipmentTable[[#This Row],[Assigned Employee]], EmployeeTable[name], EmployeeTable[Active], TRUE), "Employee", "Recover"),
IF(ITEquipmentTable[[#This Row],[Storage Location]] = "Assigned to Employee", _xlpm.emp, "N/A"))</f>
        <v>N/A</v>
      </c>
      <c r="O499" s="159" t="str" cm="1">
        <f t="array" ref="O49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49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499" s="1" t="s">
        <v>312</v>
      </c>
    </row>
    <row r="500" spans="1:18" s="1" customFormat="1" hidden="1" x14ac:dyDescent="0.2">
      <c r="A500" s="155">
        <v>390</v>
      </c>
      <c r="B500" s="1" t="s">
        <v>350</v>
      </c>
      <c r="C500" s="1" t="s">
        <v>519</v>
      </c>
      <c r="D500" s="1" t="s">
        <v>746</v>
      </c>
      <c r="E500" s="1" t="s">
        <v>306</v>
      </c>
      <c r="F500" s="195" t="s">
        <v>1945</v>
      </c>
      <c r="G500" s="266" t="str">
        <f>_xlfn.XLOOKUP(ITEquipmentTable[[#This Row],[Name]], IntuneData[Device name], IntuneData[Serial number], "")</f>
        <v/>
      </c>
      <c r="H500" s="1" t="s">
        <v>302</v>
      </c>
      <c r="K500" s="219" t="s">
        <v>226</v>
      </c>
      <c r="L500" s="266" t="str">
        <f>_xlfn.LET(
_xlpm.look, _xlfn.XLOOKUP(ITEquipmentTable[[#This Row],[Name]], VNCTable[ClientName], VNCTable[IP], ""),
_xlpm.chkk, IF(ITEquipmentTable[[#This Row],[IPv4 Address]] = "N/A", "N/A", _xlpm.look),
IF(ITEquipmentTable[[#This Row],[Name]] = "", "", _xlpm.chkk))</f>
        <v>N/A</v>
      </c>
      <c r="M500" s="189" t="s">
        <v>226</v>
      </c>
      <c r="N500" s="159" t="str">
        <f>_xlfn.LET(_xlpm.emp, IF(_xlfn.XLOOKUP(ITEquipmentTable[[#This Row],[Assigned Employee]], EmployeeTable[name], EmployeeTable[Active], TRUE), "Employee", "Recover"),
IF(ITEquipmentTable[[#This Row],[Storage Location]] = "Assigned to Employee", _xlpm.emp, "N/A"))</f>
        <v>N/A</v>
      </c>
      <c r="O500" s="159" t="str" cm="1">
        <f t="array" ref="O50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0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00" s="1" t="s">
        <v>312</v>
      </c>
    </row>
    <row r="501" spans="1:18" s="1" customFormat="1" hidden="1" x14ac:dyDescent="0.2">
      <c r="A501" s="155">
        <v>391</v>
      </c>
      <c r="B501" s="1" t="s">
        <v>350</v>
      </c>
      <c r="C501" s="1" t="s">
        <v>519</v>
      </c>
      <c r="D501" s="1" t="s">
        <v>746</v>
      </c>
      <c r="E501" s="1" t="s">
        <v>306</v>
      </c>
      <c r="F501" s="195" t="s">
        <v>1946</v>
      </c>
      <c r="G501" s="266" t="str">
        <f>_xlfn.XLOOKUP(ITEquipmentTable[[#This Row],[Name]], IntuneData[Device name], IntuneData[Serial number], "")</f>
        <v/>
      </c>
      <c r="H501" s="1" t="s">
        <v>302</v>
      </c>
      <c r="K501" s="219" t="s">
        <v>226</v>
      </c>
      <c r="L501" s="266" t="str">
        <f>_xlfn.LET(
_xlpm.look, _xlfn.XLOOKUP(ITEquipmentTable[[#This Row],[Name]], VNCTable[ClientName], VNCTable[IP], ""),
_xlpm.chkk, IF(ITEquipmentTable[[#This Row],[IPv4 Address]] = "N/A", "N/A", _xlpm.look),
IF(ITEquipmentTable[[#This Row],[Name]] = "", "", _xlpm.chkk))</f>
        <v>N/A</v>
      </c>
      <c r="M501" s="189" t="s">
        <v>226</v>
      </c>
      <c r="N501" s="159" t="str">
        <f>_xlfn.LET(_xlpm.emp, IF(_xlfn.XLOOKUP(ITEquipmentTable[[#This Row],[Assigned Employee]], EmployeeTable[name], EmployeeTable[Active], TRUE), "Employee", "Recover"),
IF(ITEquipmentTable[[#This Row],[Storage Location]] = "Assigned to Employee", _xlpm.emp, "N/A"))</f>
        <v>N/A</v>
      </c>
      <c r="O501" s="159" t="str" cm="1">
        <f t="array" ref="O50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0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01" s="1" t="s">
        <v>312</v>
      </c>
    </row>
    <row r="502" spans="1:18" s="1" customFormat="1" hidden="1" x14ac:dyDescent="0.2">
      <c r="A502" s="155">
        <v>392</v>
      </c>
      <c r="B502" s="1" t="s">
        <v>350</v>
      </c>
      <c r="C502" s="1" t="s">
        <v>519</v>
      </c>
      <c r="D502" s="1" t="s">
        <v>746</v>
      </c>
      <c r="E502" s="1" t="s">
        <v>306</v>
      </c>
      <c r="F502" s="195" t="s">
        <v>1947</v>
      </c>
      <c r="G502" s="266" t="str">
        <f>_xlfn.XLOOKUP(ITEquipmentTable[[#This Row],[Name]], IntuneData[Device name], IntuneData[Serial number], "")</f>
        <v/>
      </c>
      <c r="H502" s="1" t="s">
        <v>302</v>
      </c>
      <c r="K502" s="219" t="s">
        <v>226</v>
      </c>
      <c r="L502" s="266" t="str">
        <f>_xlfn.LET(
_xlpm.look, _xlfn.XLOOKUP(ITEquipmentTable[[#This Row],[Name]], VNCTable[ClientName], VNCTable[IP], ""),
_xlpm.chkk, IF(ITEquipmentTable[[#This Row],[IPv4 Address]] = "N/A", "N/A", _xlpm.look),
IF(ITEquipmentTable[[#This Row],[Name]] = "", "", _xlpm.chkk))</f>
        <v>N/A</v>
      </c>
      <c r="M502" s="189" t="s">
        <v>226</v>
      </c>
      <c r="N502" s="159" t="str">
        <f>_xlfn.LET(_xlpm.emp, IF(_xlfn.XLOOKUP(ITEquipmentTable[[#This Row],[Assigned Employee]], EmployeeTable[name], EmployeeTable[Active], TRUE), "Employee", "Recover"),
IF(ITEquipmentTable[[#This Row],[Storage Location]] = "Assigned to Employee", _xlpm.emp, "N/A"))</f>
        <v>N/A</v>
      </c>
      <c r="O502" s="159" t="str" cm="1">
        <f t="array" ref="O50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0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02" s="1" t="s">
        <v>312</v>
      </c>
    </row>
    <row r="503" spans="1:18" s="1" customFormat="1" hidden="1" x14ac:dyDescent="0.2">
      <c r="A503" s="155">
        <v>393</v>
      </c>
      <c r="B503" s="1" t="s">
        <v>350</v>
      </c>
      <c r="C503" s="1" t="s">
        <v>519</v>
      </c>
      <c r="D503" s="1" t="s">
        <v>746</v>
      </c>
      <c r="E503" s="1" t="s">
        <v>306</v>
      </c>
      <c r="F503" s="195" t="s">
        <v>1948</v>
      </c>
      <c r="G503" s="266" t="str">
        <f>_xlfn.XLOOKUP(ITEquipmentTable[[#This Row],[Name]], IntuneData[Device name], IntuneData[Serial number], "")</f>
        <v/>
      </c>
      <c r="H503" s="1" t="s">
        <v>302</v>
      </c>
      <c r="K503" s="219" t="s">
        <v>226</v>
      </c>
      <c r="L503" s="266" t="str">
        <f>_xlfn.LET(
_xlpm.look, _xlfn.XLOOKUP(ITEquipmentTable[[#This Row],[Name]], VNCTable[ClientName], VNCTable[IP], ""),
_xlpm.chkk, IF(ITEquipmentTable[[#This Row],[IPv4 Address]] = "N/A", "N/A", _xlpm.look),
IF(ITEquipmentTable[[#This Row],[Name]] = "", "", _xlpm.chkk))</f>
        <v>N/A</v>
      </c>
      <c r="M503" s="189" t="s">
        <v>226</v>
      </c>
      <c r="N503" s="159" t="str">
        <f>_xlfn.LET(_xlpm.emp, IF(_xlfn.XLOOKUP(ITEquipmentTable[[#This Row],[Assigned Employee]], EmployeeTable[name], EmployeeTable[Active], TRUE), "Employee", "Recover"),
IF(ITEquipmentTable[[#This Row],[Storage Location]] = "Assigned to Employee", _xlpm.emp, "N/A"))</f>
        <v>N/A</v>
      </c>
      <c r="O503" s="159" t="str" cm="1">
        <f t="array" ref="O50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0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03" s="1" t="s">
        <v>312</v>
      </c>
    </row>
    <row r="504" spans="1:18" s="1" customFormat="1" hidden="1" x14ac:dyDescent="0.2">
      <c r="A504" s="155">
        <v>394</v>
      </c>
      <c r="B504" s="1" t="s">
        <v>350</v>
      </c>
      <c r="C504" s="1" t="s">
        <v>519</v>
      </c>
      <c r="D504" s="1" t="s">
        <v>746</v>
      </c>
      <c r="E504" s="1" t="s">
        <v>306</v>
      </c>
      <c r="F504" s="195" t="s">
        <v>1949</v>
      </c>
      <c r="G504" s="266" t="str">
        <f>_xlfn.XLOOKUP(ITEquipmentTable[[#This Row],[Name]], IntuneData[Device name], IntuneData[Serial number], "")</f>
        <v/>
      </c>
      <c r="H504" s="1" t="s">
        <v>302</v>
      </c>
      <c r="K504" s="219" t="s">
        <v>226</v>
      </c>
      <c r="L504" s="266" t="str">
        <f>_xlfn.LET(
_xlpm.look, _xlfn.XLOOKUP(ITEquipmentTable[[#This Row],[Name]], VNCTable[ClientName], VNCTable[IP], ""),
_xlpm.chkk, IF(ITEquipmentTable[[#This Row],[IPv4 Address]] = "N/A", "N/A", _xlpm.look),
IF(ITEquipmentTable[[#This Row],[Name]] = "", "", _xlpm.chkk))</f>
        <v>N/A</v>
      </c>
      <c r="M504" s="189" t="s">
        <v>226</v>
      </c>
      <c r="N504" s="159" t="str">
        <f>_xlfn.LET(_xlpm.emp, IF(_xlfn.XLOOKUP(ITEquipmentTable[[#This Row],[Assigned Employee]], EmployeeTable[name], EmployeeTable[Active], TRUE), "Employee", "Recover"),
IF(ITEquipmentTable[[#This Row],[Storage Location]] = "Assigned to Employee", _xlpm.emp, "N/A"))</f>
        <v>N/A</v>
      </c>
      <c r="O504" s="159" t="str" cm="1">
        <f t="array" ref="O50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0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04" s="1" t="s">
        <v>312</v>
      </c>
    </row>
    <row r="505" spans="1:18" s="1" customFormat="1" hidden="1" x14ac:dyDescent="0.2">
      <c r="A505" s="155">
        <v>395</v>
      </c>
      <c r="B505" s="1" t="s">
        <v>350</v>
      </c>
      <c r="C505" s="1" t="s">
        <v>519</v>
      </c>
      <c r="D505" s="1" t="s">
        <v>746</v>
      </c>
      <c r="E505" s="1" t="s">
        <v>306</v>
      </c>
      <c r="F505" s="195" t="s">
        <v>1950</v>
      </c>
      <c r="G505" s="266" t="str">
        <f>_xlfn.XLOOKUP(ITEquipmentTable[[#This Row],[Name]], IntuneData[Device name], IntuneData[Serial number], "")</f>
        <v/>
      </c>
      <c r="H505" s="1" t="s">
        <v>302</v>
      </c>
      <c r="K505" s="219" t="s">
        <v>226</v>
      </c>
      <c r="L505" s="266" t="str">
        <f>_xlfn.LET(
_xlpm.look, _xlfn.XLOOKUP(ITEquipmentTable[[#This Row],[Name]], VNCTable[ClientName], VNCTable[IP], ""),
_xlpm.chkk, IF(ITEquipmentTable[[#This Row],[IPv4 Address]] = "N/A", "N/A", _xlpm.look),
IF(ITEquipmentTable[[#This Row],[Name]] = "", "", _xlpm.chkk))</f>
        <v>N/A</v>
      </c>
      <c r="M505" s="189" t="s">
        <v>226</v>
      </c>
      <c r="N505" s="159" t="str">
        <f>_xlfn.LET(_xlpm.emp, IF(_xlfn.XLOOKUP(ITEquipmentTable[[#This Row],[Assigned Employee]], EmployeeTable[name], EmployeeTable[Active], TRUE), "Employee", "Recover"),
IF(ITEquipmentTable[[#This Row],[Storage Location]] = "Assigned to Employee", _xlpm.emp, "N/A"))</f>
        <v>N/A</v>
      </c>
      <c r="O505" s="159" t="str" cm="1">
        <f t="array" ref="O50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0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05" s="1" t="s">
        <v>312</v>
      </c>
    </row>
    <row r="506" spans="1:18" s="1" customFormat="1" hidden="1" x14ac:dyDescent="0.2">
      <c r="A506" s="155">
        <v>396</v>
      </c>
      <c r="B506" s="1" t="s">
        <v>350</v>
      </c>
      <c r="C506" s="1" t="s">
        <v>519</v>
      </c>
      <c r="D506" s="1" t="s">
        <v>746</v>
      </c>
      <c r="E506" s="1" t="s">
        <v>306</v>
      </c>
      <c r="F506" s="195" t="s">
        <v>752</v>
      </c>
      <c r="G506" s="266" t="str">
        <f>_xlfn.XLOOKUP(ITEquipmentTable[[#This Row],[Name]], IntuneData[Device name], IntuneData[Serial number], "")</f>
        <v/>
      </c>
      <c r="H506" s="1" t="s">
        <v>295</v>
      </c>
      <c r="I506" s="1" t="s">
        <v>748</v>
      </c>
      <c r="K506" s="219" t="s">
        <v>226</v>
      </c>
      <c r="L506" s="266" t="str">
        <f>_xlfn.LET(
_xlpm.look, _xlfn.XLOOKUP(ITEquipmentTable[[#This Row],[Name]], VNCTable[ClientName], VNCTable[IP], ""),
_xlpm.chkk, IF(ITEquipmentTable[[#This Row],[IPv4 Address]] = "N/A", "N/A", _xlpm.look),
IF(ITEquipmentTable[[#This Row],[Name]] = "", "", _xlpm.chkk))</f>
        <v>N/A</v>
      </c>
      <c r="M506" s="189" t="s">
        <v>226</v>
      </c>
      <c r="N506" s="159" t="str">
        <f>_xlfn.LET(_xlpm.emp, IF(_xlfn.XLOOKUP(ITEquipmentTable[[#This Row],[Assigned Employee]], EmployeeTable[name], EmployeeTable[Active], TRUE), "Employee", "Recover"),
IF(ITEquipmentTable[[#This Row],[Storage Location]] = "Assigned to Employee", _xlpm.emp, "N/A"))</f>
        <v>N/A</v>
      </c>
      <c r="O506" s="159" t="str" cm="1">
        <f t="array" ref="O50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0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06" s="1" t="s">
        <v>312</v>
      </c>
    </row>
    <row r="507" spans="1:18" s="1" customFormat="1" hidden="1" x14ac:dyDescent="0.2">
      <c r="A507" s="155">
        <v>397</v>
      </c>
      <c r="B507" s="1" t="s">
        <v>350</v>
      </c>
      <c r="C507" s="1" t="s">
        <v>519</v>
      </c>
      <c r="D507" s="1" t="s">
        <v>746</v>
      </c>
      <c r="E507" s="1" t="s">
        <v>306</v>
      </c>
      <c r="F507" s="195" t="s">
        <v>1951</v>
      </c>
      <c r="G507" s="266" t="str">
        <f>_xlfn.XLOOKUP(ITEquipmentTable[[#This Row],[Name]], IntuneData[Device name], IntuneData[Serial number], "")</f>
        <v/>
      </c>
      <c r="H507" s="1" t="s">
        <v>302</v>
      </c>
      <c r="K507" s="219" t="s">
        <v>226</v>
      </c>
      <c r="L507" s="266" t="str">
        <f>_xlfn.LET(
_xlpm.look, _xlfn.XLOOKUP(ITEquipmentTable[[#This Row],[Name]], VNCTable[ClientName], VNCTable[IP], ""),
_xlpm.chkk, IF(ITEquipmentTable[[#This Row],[IPv4 Address]] = "N/A", "N/A", _xlpm.look),
IF(ITEquipmentTable[[#This Row],[Name]] = "", "", _xlpm.chkk))</f>
        <v>N/A</v>
      </c>
      <c r="M507" s="189" t="s">
        <v>226</v>
      </c>
      <c r="N507" s="159" t="str">
        <f>_xlfn.LET(_xlpm.emp, IF(_xlfn.XLOOKUP(ITEquipmentTable[[#This Row],[Assigned Employee]], EmployeeTable[name], EmployeeTable[Active], TRUE), "Employee", "Recover"),
IF(ITEquipmentTable[[#This Row],[Storage Location]] = "Assigned to Employee", _xlpm.emp, "N/A"))</f>
        <v>N/A</v>
      </c>
      <c r="O507" s="159" t="str" cm="1">
        <f t="array" ref="O50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0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07" s="1" t="s">
        <v>312</v>
      </c>
    </row>
    <row r="508" spans="1:18" s="1" customFormat="1" hidden="1" x14ac:dyDescent="0.2">
      <c r="A508" s="155">
        <v>398</v>
      </c>
      <c r="B508" s="1" t="s">
        <v>350</v>
      </c>
      <c r="C508" s="1" t="s">
        <v>519</v>
      </c>
      <c r="D508" s="1" t="s">
        <v>746</v>
      </c>
      <c r="E508" s="1" t="s">
        <v>306</v>
      </c>
      <c r="F508" s="195" t="s">
        <v>1952</v>
      </c>
      <c r="G508" s="266" t="str">
        <f>_xlfn.XLOOKUP(ITEquipmentTable[[#This Row],[Name]], IntuneData[Device name], IntuneData[Serial number], "")</f>
        <v/>
      </c>
      <c r="H508" s="1" t="s">
        <v>302</v>
      </c>
      <c r="K508" s="219" t="s">
        <v>226</v>
      </c>
      <c r="L508" s="266" t="str">
        <f>_xlfn.LET(
_xlpm.look, _xlfn.XLOOKUP(ITEquipmentTable[[#This Row],[Name]], VNCTable[ClientName], VNCTable[IP], ""),
_xlpm.chkk, IF(ITEquipmentTable[[#This Row],[IPv4 Address]] = "N/A", "N/A", _xlpm.look),
IF(ITEquipmentTable[[#This Row],[Name]] = "", "", _xlpm.chkk))</f>
        <v>N/A</v>
      </c>
      <c r="M508" s="189" t="s">
        <v>226</v>
      </c>
      <c r="N508" s="159" t="str">
        <f>_xlfn.LET(_xlpm.emp, IF(_xlfn.XLOOKUP(ITEquipmentTable[[#This Row],[Assigned Employee]], EmployeeTable[name], EmployeeTable[Active], TRUE), "Employee", "Recover"),
IF(ITEquipmentTable[[#This Row],[Storage Location]] = "Assigned to Employee", _xlpm.emp, "N/A"))</f>
        <v>N/A</v>
      </c>
      <c r="O508" s="159" t="str" cm="1">
        <f t="array" ref="O50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0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08" s="1" t="s">
        <v>312</v>
      </c>
    </row>
    <row r="509" spans="1:18" s="1" customFormat="1" hidden="1" x14ac:dyDescent="0.2">
      <c r="A509" s="155">
        <v>399</v>
      </c>
      <c r="B509" s="1" t="s">
        <v>350</v>
      </c>
      <c r="C509" s="1" t="s">
        <v>519</v>
      </c>
      <c r="D509" s="1" t="s">
        <v>746</v>
      </c>
      <c r="E509" s="1" t="s">
        <v>306</v>
      </c>
      <c r="F509" s="195" t="s">
        <v>1953</v>
      </c>
      <c r="G509" s="266" t="str">
        <f>_xlfn.XLOOKUP(ITEquipmentTable[[#This Row],[Name]], IntuneData[Device name], IntuneData[Serial number], "")</f>
        <v/>
      </c>
      <c r="H509" s="1" t="s">
        <v>302</v>
      </c>
      <c r="K509" s="219" t="s">
        <v>226</v>
      </c>
      <c r="L509" s="266" t="str">
        <f>_xlfn.LET(
_xlpm.look, _xlfn.XLOOKUP(ITEquipmentTable[[#This Row],[Name]], VNCTable[ClientName], VNCTable[IP], ""),
_xlpm.chkk, IF(ITEquipmentTable[[#This Row],[IPv4 Address]] = "N/A", "N/A", _xlpm.look),
IF(ITEquipmentTable[[#This Row],[Name]] = "", "", _xlpm.chkk))</f>
        <v>N/A</v>
      </c>
      <c r="M509" s="189" t="s">
        <v>226</v>
      </c>
      <c r="N509" s="159" t="str">
        <f>_xlfn.LET(_xlpm.emp, IF(_xlfn.XLOOKUP(ITEquipmentTable[[#This Row],[Assigned Employee]], EmployeeTable[name], EmployeeTable[Active], TRUE), "Employee", "Recover"),
IF(ITEquipmentTable[[#This Row],[Storage Location]] = "Assigned to Employee", _xlpm.emp, "N/A"))</f>
        <v>N/A</v>
      </c>
      <c r="O509" s="159" t="str" cm="1">
        <f t="array" ref="O50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0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09" s="1" t="s">
        <v>312</v>
      </c>
    </row>
    <row r="510" spans="1:18" s="1" customFormat="1" hidden="1" x14ac:dyDescent="0.2">
      <c r="A510" s="155">
        <v>48</v>
      </c>
      <c r="B510" s="189" t="s">
        <v>304</v>
      </c>
      <c r="C510" s="189" t="s">
        <v>308</v>
      </c>
      <c r="D510" s="189" t="s">
        <v>427</v>
      </c>
      <c r="E510" s="189" t="s">
        <v>310</v>
      </c>
      <c r="F510" s="201" t="s">
        <v>439</v>
      </c>
      <c r="G510" s="159" t="str">
        <f>_xlfn.XLOOKUP(ITEquipmentTable[[#This Row],[Name]], IntuneData[Device name], IntuneData[Serial number], "")</f>
        <v/>
      </c>
      <c r="H510" s="189" t="s">
        <v>318</v>
      </c>
      <c r="I510" s="189"/>
      <c r="J510" s="189"/>
      <c r="K510" s="219" t="s">
        <v>226</v>
      </c>
      <c r="L510" s="266" t="str">
        <f>_xlfn.LET(
_xlpm.look, _xlfn.XLOOKUP(ITEquipmentTable[[#This Row],[Name]], VNCTable[ClientName], VNCTable[IP], ""),
_xlpm.chkk, IF(ITEquipmentTable[[#This Row],[IPv4 Address]] = "N/A", "N/A", _xlpm.look),
IF(ITEquipmentTable[[#This Row],[Name]] = "", "", _xlpm.chkk))</f>
        <v>N/A</v>
      </c>
      <c r="M510" s="1" t="s">
        <v>440</v>
      </c>
      <c r="N510" s="159" t="str">
        <f>_xlfn.LET(_xlpm.emp, IF(_xlfn.XLOOKUP(ITEquipmentTable[[#This Row],[Assigned Employee]], EmployeeTable[name], EmployeeTable[Active], TRUE), "Employee", "Recover"),
IF(ITEquipmentTable[[#This Row],[Storage Location]] = "Assigned to Employee", _xlpm.emp, "N/A"))</f>
        <v>N/A</v>
      </c>
      <c r="O510" s="159" t="str" cm="1">
        <f t="array" ref="O51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51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10" s="1" t="s">
        <v>441</v>
      </c>
      <c r="R510" s="1" t="s">
        <v>312</v>
      </c>
    </row>
    <row r="511" spans="1:18" s="1" customFormat="1" hidden="1" x14ac:dyDescent="0.2">
      <c r="A511" s="155">
        <v>121</v>
      </c>
      <c r="B511" s="1" t="s">
        <v>304</v>
      </c>
      <c r="C511" s="1" t="s">
        <v>308</v>
      </c>
      <c r="D511" s="1" t="s">
        <v>427</v>
      </c>
      <c r="E511" s="1" t="s">
        <v>310</v>
      </c>
      <c r="F511" s="195" t="s">
        <v>890</v>
      </c>
      <c r="G511" s="159" t="str">
        <f>_xlfn.XLOOKUP(ITEquipmentTable[[#This Row],[Name]], IntuneData[Device name], IntuneData[Serial number], "")</f>
        <v/>
      </c>
      <c r="H511" s="1" t="s">
        <v>295</v>
      </c>
      <c r="I511" s="1" t="s">
        <v>418</v>
      </c>
      <c r="K511" s="154" t="s">
        <v>891</v>
      </c>
      <c r="L511" s="266" t="str">
        <f>_xlfn.LET(
_xlpm.look, _xlfn.XLOOKUP(ITEquipmentTable[[#This Row],[Name]], VNCTable[ClientName], VNCTable[IP], ""),
_xlpm.chkk, IF(ITEquipmentTable[[#This Row],[IPv4 Address]] = "N/A", "N/A", _xlpm.look),
IF(ITEquipmentTable[[#This Row],[Name]] = "", "", _xlpm.chkk))</f>
        <v>10.68.134.169</v>
      </c>
      <c r="M511" s="1" t="s">
        <v>892</v>
      </c>
      <c r="N511" s="159" t="str">
        <f>_xlfn.LET(_xlpm.emp, IF(_xlfn.XLOOKUP(ITEquipmentTable[[#This Row],[Assigned Employee]], EmployeeTable[name], EmployeeTable[Active], TRUE), "Employee", "Recover"),
IF(ITEquipmentTable[[#This Row],[Storage Location]] = "Assigned to Employee", _xlpm.emp, "N/A"))</f>
        <v>N/A</v>
      </c>
      <c r="O511" s="159" t="str" cm="1">
        <f t="array" ref="O51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51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11" s="189" t="s">
        <v>312</v>
      </c>
    </row>
    <row r="512" spans="1:18" s="1" customFormat="1" hidden="1" x14ac:dyDescent="0.2">
      <c r="A512" s="155">
        <v>402</v>
      </c>
      <c r="B512" s="1" t="s">
        <v>362</v>
      </c>
      <c r="C512" s="1" t="s">
        <v>403</v>
      </c>
      <c r="D512" s="1" t="s">
        <v>1956</v>
      </c>
      <c r="E512" s="1" t="s">
        <v>306</v>
      </c>
      <c r="F512" s="195" t="s">
        <v>1957</v>
      </c>
      <c r="G512" s="266" t="str">
        <f>_xlfn.XLOOKUP(ITEquipmentTable[[#This Row],[Name]], IntuneData[Device name], IntuneData[Serial number], "")</f>
        <v/>
      </c>
      <c r="K512" s="154" t="s">
        <v>226</v>
      </c>
      <c r="L512" s="266" t="str">
        <f>_xlfn.LET(
_xlpm.look, _xlfn.XLOOKUP(ITEquipmentTable[[#This Row],[Name]], VNCTable[ClientName], VNCTable[IP], ""),
_xlpm.chkk, IF(ITEquipmentTable[[#This Row],[IPv4 Address]] = "N/A", "N/A", _xlpm.look),
IF(ITEquipmentTable[[#This Row],[Name]] = "", "", _xlpm.chkk))</f>
        <v>N/A</v>
      </c>
      <c r="M512" s="1" t="s">
        <v>226</v>
      </c>
      <c r="N512" s="159" t="str">
        <f>_xlfn.LET(_xlpm.emp, IF(_xlfn.XLOOKUP(ITEquipmentTable[[#This Row],[Assigned Employee]], EmployeeTable[name], EmployeeTable[Active], TRUE), "Employee", "Recover"),
IF(ITEquipmentTable[[#This Row],[Storage Location]] = "Assigned to Employee", _xlpm.emp, "N/A"))</f>
        <v>N/A</v>
      </c>
      <c r="O512" s="159" t="str" cm="1">
        <f t="array" ref="O51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1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row>
    <row r="513" spans="1:19" s="1" customFormat="1" hidden="1" x14ac:dyDescent="0.2">
      <c r="A513" s="155">
        <v>406</v>
      </c>
      <c r="B513" s="1" t="s">
        <v>340</v>
      </c>
      <c r="C513" s="1" t="s">
        <v>403</v>
      </c>
      <c r="D513" s="1" t="s">
        <v>1958</v>
      </c>
      <c r="E513" s="1" t="s">
        <v>306</v>
      </c>
      <c r="F513" s="195" t="s">
        <v>1959</v>
      </c>
      <c r="G513" s="266" t="str">
        <f>_xlfn.XLOOKUP(ITEquipmentTable[[#This Row],[Name]], IntuneData[Device name], IntuneData[Serial number], "")</f>
        <v/>
      </c>
      <c r="H513" s="1" t="s">
        <v>302</v>
      </c>
      <c r="K513" s="154" t="s">
        <v>226</v>
      </c>
      <c r="L513" s="266" t="str">
        <f>_xlfn.LET(
_xlpm.look, _xlfn.XLOOKUP(ITEquipmentTable[[#This Row],[Name]], VNCTable[ClientName], VNCTable[IP], ""),
_xlpm.chkk, IF(ITEquipmentTable[[#This Row],[IPv4 Address]] = "N/A", "N/A", _xlpm.look),
IF(ITEquipmentTable[[#This Row],[Name]] = "", "", _xlpm.chkk))</f>
        <v>N/A</v>
      </c>
      <c r="M513" s="1" t="s">
        <v>226</v>
      </c>
      <c r="N513" s="159" t="str">
        <f>_xlfn.LET(_xlpm.emp, IF(_xlfn.XLOOKUP(ITEquipmentTable[[#This Row],[Assigned Employee]], EmployeeTable[name], EmployeeTable[Active], TRUE), "Employee", "Recover"),
IF(ITEquipmentTable[[#This Row],[Storage Location]] = "Assigned to Employee", _xlpm.emp, "N/A"))</f>
        <v>N/A</v>
      </c>
      <c r="O513" s="159" t="str" cm="1">
        <f t="array" ref="O51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1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row>
    <row r="514" spans="1:19" s="1" customFormat="1" hidden="1" x14ac:dyDescent="0.2">
      <c r="A514" s="155">
        <v>409</v>
      </c>
      <c r="B514" s="189" t="s">
        <v>340</v>
      </c>
      <c r="C514" s="189" t="s">
        <v>679</v>
      </c>
      <c r="D514" s="189" t="s">
        <v>680</v>
      </c>
      <c r="E514" s="189" t="s">
        <v>325</v>
      </c>
      <c r="F514" s="201" t="s">
        <v>1960</v>
      </c>
      <c r="G514" s="266" t="str">
        <f>_xlfn.XLOOKUP(ITEquipmentTable[[#This Row],[Name]], IntuneData[Device name], IntuneData[Serial number], "")</f>
        <v/>
      </c>
      <c r="H514" s="1" t="s">
        <v>328</v>
      </c>
      <c r="I514" s="189"/>
      <c r="J514" s="189"/>
      <c r="K514" s="154" t="s">
        <v>226</v>
      </c>
      <c r="L514" s="266" t="str">
        <f>_xlfn.LET(
_xlpm.look, _xlfn.XLOOKUP(ITEquipmentTable[[#This Row],[Name]], VNCTable[ClientName], VNCTable[IP], ""),
_xlpm.chkk, IF(ITEquipmentTable[[#This Row],[IPv4 Address]] = "N/A", "N/A", _xlpm.look),
IF(ITEquipmentTable[[#This Row],[Name]] = "", "", _xlpm.chkk))</f>
        <v>N/A</v>
      </c>
      <c r="M514" s="1" t="s">
        <v>226</v>
      </c>
      <c r="N514" s="159" t="str">
        <f>_xlfn.LET(_xlpm.emp, IF(_xlfn.XLOOKUP(ITEquipmentTable[[#This Row],[Assigned Employee]], EmployeeTable[name], EmployeeTable[Active], TRUE), "Employee", "Recover"),
IF(ITEquipmentTable[[#This Row],[Storage Location]] = "Assigned to Employee", _xlpm.emp, "N/A"))</f>
        <v>N/A</v>
      </c>
      <c r="O514" s="159" t="str" cm="1">
        <f t="array" ref="O51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1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14" s="189"/>
      <c r="R514" s="189" t="s">
        <v>312</v>
      </c>
      <c r="S514" s="189"/>
    </row>
    <row r="515" spans="1:19" s="1" customFormat="1" hidden="1" x14ac:dyDescent="0.2">
      <c r="A515" s="155">
        <v>420</v>
      </c>
      <c r="B515" s="1" t="s">
        <v>356</v>
      </c>
      <c r="C515" s="1" t="s">
        <v>403</v>
      </c>
      <c r="D515" s="1" t="s">
        <v>645</v>
      </c>
      <c r="E515" s="1" t="s">
        <v>306</v>
      </c>
      <c r="F515" s="195" t="s">
        <v>1961</v>
      </c>
      <c r="G515" s="266" t="str">
        <f>_xlfn.XLOOKUP(ITEquipmentTable[[#This Row],[Name]], IntuneData[Device name], IntuneData[Serial number], "")</f>
        <v/>
      </c>
      <c r="H515" s="1" t="s">
        <v>302</v>
      </c>
      <c r="K515" s="154" t="s">
        <v>226</v>
      </c>
      <c r="L515" s="266" t="str">
        <f>_xlfn.LET(
_xlpm.look, _xlfn.XLOOKUP(ITEquipmentTable[[#This Row],[Name]], VNCTable[ClientName], VNCTable[IP], ""),
_xlpm.chkk, IF(ITEquipmentTable[[#This Row],[IPv4 Address]] = "N/A", "N/A", _xlpm.look),
IF(ITEquipmentTable[[#This Row],[Name]] = "", "", _xlpm.chkk))</f>
        <v>N/A</v>
      </c>
      <c r="M515" s="1" t="s">
        <v>226</v>
      </c>
      <c r="N515" s="159" t="str">
        <f>_xlfn.LET(_xlpm.emp, IF(_xlfn.XLOOKUP(ITEquipmentTable[[#This Row],[Assigned Employee]], EmployeeTable[name], EmployeeTable[Active], TRUE), "Employee", "Recover"),
IF(ITEquipmentTable[[#This Row],[Storage Location]] = "Assigned to Employee", _xlpm.emp, "N/A"))</f>
        <v>N/A</v>
      </c>
      <c r="O515" s="159" t="str" cm="1">
        <f t="array" ref="O51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1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row>
    <row r="516" spans="1:19" s="1" customFormat="1" hidden="1" x14ac:dyDescent="0.2">
      <c r="A516" s="155">
        <v>421</v>
      </c>
      <c r="B516" s="1" t="s">
        <v>356</v>
      </c>
      <c r="C516" s="1" t="s">
        <v>403</v>
      </c>
      <c r="D516" s="1" t="s">
        <v>645</v>
      </c>
      <c r="E516" s="1" t="s">
        <v>306</v>
      </c>
      <c r="F516" s="195" t="s">
        <v>646</v>
      </c>
      <c r="G516" s="266" t="str">
        <f>_xlfn.XLOOKUP(ITEquipmentTable[[#This Row],[Name]], IntuneData[Device name], IntuneData[Serial number], "")</f>
        <v/>
      </c>
      <c r="H516" s="1" t="s">
        <v>295</v>
      </c>
      <c r="I516" s="1" t="s">
        <v>647</v>
      </c>
      <c r="K516" s="154" t="s">
        <v>226</v>
      </c>
      <c r="L516" s="266" t="str">
        <f>_xlfn.LET(
_xlpm.look, _xlfn.XLOOKUP(ITEquipmentTable[[#This Row],[Name]], VNCTable[ClientName], VNCTable[IP], ""),
_xlpm.chkk, IF(ITEquipmentTable[[#This Row],[IPv4 Address]] = "N/A", "N/A", _xlpm.look),
IF(ITEquipmentTable[[#This Row],[Name]] = "", "", _xlpm.chkk))</f>
        <v>N/A</v>
      </c>
      <c r="M516" s="1" t="s">
        <v>226</v>
      </c>
      <c r="N516" s="159" t="str">
        <f>_xlfn.LET(_xlpm.emp, IF(_xlfn.XLOOKUP(ITEquipmentTable[[#This Row],[Assigned Employee]], EmployeeTable[name], EmployeeTable[Active], TRUE), "Employee", "Recover"),
IF(ITEquipmentTable[[#This Row],[Storage Location]] = "Assigned to Employee", _xlpm.emp, "N/A"))</f>
        <v>N/A</v>
      </c>
      <c r="O516" s="159" t="str" cm="1">
        <f t="array" ref="O51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1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16" s="1" t="s">
        <v>312</v>
      </c>
    </row>
    <row r="517" spans="1:19" s="1" customFormat="1" hidden="1" x14ac:dyDescent="0.2">
      <c r="A517" s="155">
        <v>422</v>
      </c>
      <c r="B517" s="189" t="s">
        <v>340</v>
      </c>
      <c r="C517" s="189" t="s">
        <v>514</v>
      </c>
      <c r="D517" s="189" t="s">
        <v>680</v>
      </c>
      <c r="E517" s="189" t="s">
        <v>325</v>
      </c>
      <c r="F517" s="201" t="s">
        <v>1962</v>
      </c>
      <c r="G517" s="266" t="str">
        <f>_xlfn.XLOOKUP(ITEquipmentTable[[#This Row],[Name]], IntuneData[Device name], IntuneData[Serial number], "")</f>
        <v/>
      </c>
      <c r="H517" s="1" t="s">
        <v>328</v>
      </c>
      <c r="I517" s="189"/>
      <c r="J517" s="189"/>
      <c r="K517" s="154" t="s">
        <v>226</v>
      </c>
      <c r="L517" s="266" t="str">
        <f>_xlfn.LET(
_xlpm.look, _xlfn.XLOOKUP(ITEquipmentTable[[#This Row],[Name]], VNCTable[ClientName], VNCTable[IP], ""),
_xlpm.chkk, IF(ITEquipmentTable[[#This Row],[IPv4 Address]] = "N/A", "N/A", _xlpm.look),
IF(ITEquipmentTable[[#This Row],[Name]] = "", "", _xlpm.chkk))</f>
        <v>N/A</v>
      </c>
      <c r="M517" s="1" t="s">
        <v>226</v>
      </c>
      <c r="N517" s="159" t="str">
        <f>_xlfn.LET(_xlpm.emp, IF(_xlfn.XLOOKUP(ITEquipmentTable[[#This Row],[Assigned Employee]], EmployeeTable[name], EmployeeTable[Active], TRUE), "Employee", "Recover"),
IF(ITEquipmentTable[[#This Row],[Storage Location]] = "Assigned to Employee", _xlpm.emp, "N/A"))</f>
        <v>N/A</v>
      </c>
      <c r="O517" s="159" t="str" cm="1">
        <f t="array" ref="O51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1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17" s="189"/>
      <c r="R517" s="189"/>
      <c r="S517" s="189"/>
    </row>
    <row r="518" spans="1:19" s="1" customFormat="1" hidden="1" x14ac:dyDescent="0.2">
      <c r="A518" s="155">
        <v>423</v>
      </c>
      <c r="B518" s="1" t="s">
        <v>396</v>
      </c>
      <c r="C518" s="1" t="s">
        <v>1963</v>
      </c>
      <c r="D518" s="1" t="s">
        <v>1964</v>
      </c>
      <c r="E518" s="1" t="s">
        <v>306</v>
      </c>
      <c r="F518" s="195" t="s">
        <v>1965</v>
      </c>
      <c r="G518" s="266" t="str">
        <f>_xlfn.XLOOKUP(ITEquipmentTable[[#This Row],[Name]], IntuneData[Device name], IntuneData[Serial number], "")</f>
        <v/>
      </c>
      <c r="H518" s="1" t="s">
        <v>348</v>
      </c>
      <c r="K518" s="154" t="s">
        <v>226</v>
      </c>
      <c r="L518" s="266" t="str">
        <f>_xlfn.LET(
_xlpm.look, _xlfn.XLOOKUP(ITEquipmentTable[[#This Row],[Name]], VNCTable[ClientName], VNCTable[IP], ""),
_xlpm.chkk, IF(ITEquipmentTable[[#This Row],[IPv4 Address]] = "N/A", "N/A", _xlpm.look),
IF(ITEquipmentTable[[#This Row],[Name]] = "", "", _xlpm.chkk))</f>
        <v>N/A</v>
      </c>
      <c r="M518" s="1" t="s">
        <v>226</v>
      </c>
      <c r="N518" s="159" t="str">
        <f>_xlfn.LET(_xlpm.emp, IF(_xlfn.XLOOKUP(ITEquipmentTable[[#This Row],[Assigned Employee]], EmployeeTable[name], EmployeeTable[Active], TRUE), "Employee", "Recover"),
IF(ITEquipmentTable[[#This Row],[Storage Location]] = "Assigned to Employee", _xlpm.emp, "N/A"))</f>
        <v>N/A</v>
      </c>
      <c r="O518" s="159" t="str" cm="1">
        <f t="array" ref="O51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1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row>
    <row r="519" spans="1:19" s="1" customFormat="1" hidden="1" x14ac:dyDescent="0.2">
      <c r="A519" s="155">
        <v>424</v>
      </c>
      <c r="B519" s="1" t="s">
        <v>396</v>
      </c>
      <c r="C519" s="1" t="s">
        <v>1963</v>
      </c>
      <c r="D519" s="1" t="s">
        <v>1966</v>
      </c>
      <c r="E519" s="1" t="s">
        <v>306</v>
      </c>
      <c r="F519" s="195" t="s">
        <v>1967</v>
      </c>
      <c r="G519" s="266" t="str">
        <f>_xlfn.XLOOKUP(ITEquipmentTable[[#This Row],[Name]], IntuneData[Device name], IntuneData[Serial number], "")</f>
        <v/>
      </c>
      <c r="H519" s="1" t="s">
        <v>348</v>
      </c>
      <c r="K519" s="154" t="s">
        <v>226</v>
      </c>
      <c r="L519" s="266" t="str">
        <f>_xlfn.LET(
_xlpm.look, _xlfn.XLOOKUP(ITEquipmentTable[[#This Row],[Name]], VNCTable[ClientName], VNCTable[IP], ""),
_xlpm.chkk, IF(ITEquipmentTable[[#This Row],[IPv4 Address]] = "N/A", "N/A", _xlpm.look),
IF(ITEquipmentTable[[#This Row],[Name]] = "", "", _xlpm.chkk))</f>
        <v>N/A</v>
      </c>
      <c r="M519" s="1" t="s">
        <v>226</v>
      </c>
      <c r="N519" s="159" t="str">
        <f>_xlfn.LET(_xlpm.emp, IF(_xlfn.XLOOKUP(ITEquipmentTable[[#This Row],[Assigned Employee]], EmployeeTable[name], EmployeeTable[Active], TRUE), "Employee", "Recover"),
IF(ITEquipmentTable[[#This Row],[Storage Location]] = "Assigned to Employee", _xlpm.emp, "N/A"))</f>
        <v>N/A</v>
      </c>
      <c r="O519" s="159" t="str" cm="1">
        <f t="array" ref="O51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1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row>
    <row r="520" spans="1:19" s="1" customFormat="1" hidden="1" x14ac:dyDescent="0.2">
      <c r="A520" s="155">
        <v>425</v>
      </c>
      <c r="B520" s="1" t="s">
        <v>342</v>
      </c>
      <c r="C520" s="1" t="s">
        <v>342</v>
      </c>
      <c r="D520" s="1" t="s">
        <v>1968</v>
      </c>
      <c r="E520" s="1" t="s">
        <v>306</v>
      </c>
      <c r="F520" s="195" t="s">
        <v>1969</v>
      </c>
      <c r="G520" s="159" t="str">
        <f>_xlfn.XLOOKUP(ITEquipmentTable[[#This Row],[Name]], IntuneData[Device name], IntuneData[Serial number], "")</f>
        <v/>
      </c>
      <c r="H520" s="1" t="s">
        <v>315</v>
      </c>
      <c r="K520" s="154" t="s">
        <v>226</v>
      </c>
      <c r="L520" s="159" t="str">
        <f>_xlfn.LET(
_xlpm.look, _xlfn.XLOOKUP(ITEquipmentTable[[#This Row],[Name]], VNCTable[ClientName], VNCTable[IP], ""),
_xlpm.chkk, IF(ITEquipmentTable[[#This Row],[IPv4 Address]] = "N/A", "N/A", _xlpm.look),
IF(ITEquipmentTable[[#This Row],[Name]] = "", "", _xlpm.chkk))</f>
        <v>N/A</v>
      </c>
      <c r="M520" s="1" t="s">
        <v>226</v>
      </c>
      <c r="N520" s="159" t="str">
        <f>_xlfn.LET(_xlpm.emp, IF(_xlfn.XLOOKUP(ITEquipmentTable[[#This Row],[Assigned Employee]], EmployeeTable[name], EmployeeTable[Active], TRUE), "Employee", "Recover"),
IF(ITEquipmentTable[[#This Row],[Storage Location]] = "Assigned to Employee", _xlpm.emp, "N/A"))</f>
        <v>N/A</v>
      </c>
      <c r="O520" s="159" t="str" cm="1">
        <f t="array" ref="O52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2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20" s="1" t="s">
        <v>312</v>
      </c>
    </row>
    <row r="521" spans="1:19" s="1" customFormat="1" hidden="1" x14ac:dyDescent="0.2">
      <c r="A521" s="155">
        <v>426</v>
      </c>
      <c r="B521" s="1" t="s">
        <v>350</v>
      </c>
      <c r="C521" s="1" t="s">
        <v>519</v>
      </c>
      <c r="D521" s="1" t="s">
        <v>520</v>
      </c>
      <c r="E521" s="1" t="s">
        <v>306</v>
      </c>
      <c r="F521" s="195" t="s">
        <v>1970</v>
      </c>
      <c r="G521" s="266" t="str">
        <f>_xlfn.XLOOKUP(ITEquipmentTable[[#This Row],[Name]], IntuneData[Device name], IntuneData[Serial number], "")</f>
        <v/>
      </c>
      <c r="K521" s="154" t="s">
        <v>226</v>
      </c>
      <c r="L521" s="266" t="str">
        <f>_xlfn.LET(
_xlpm.look, _xlfn.XLOOKUP(ITEquipmentTable[[#This Row],[Name]], VNCTable[ClientName], VNCTable[IP], ""),
_xlpm.chkk, IF(ITEquipmentTable[[#This Row],[IPv4 Address]] = "N/A", "N/A", _xlpm.look),
IF(ITEquipmentTable[[#This Row],[Name]] = "", "", _xlpm.chkk))</f>
        <v>N/A</v>
      </c>
      <c r="M521" s="1" t="s">
        <v>226</v>
      </c>
      <c r="N521" s="159" t="str">
        <f>_xlfn.LET(_xlpm.emp, IF(_xlfn.XLOOKUP(ITEquipmentTable[[#This Row],[Assigned Employee]], EmployeeTable[name], EmployeeTable[Active], TRUE), "Employee", "Recover"),
IF(ITEquipmentTable[[#This Row],[Storage Location]] = "Assigned to Employee", _xlpm.emp, "N/A"))</f>
        <v>N/A</v>
      </c>
      <c r="O521" s="159" t="str" cm="1">
        <f t="array" ref="O52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2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521" s="1" t="s">
        <v>352</v>
      </c>
      <c r="R521" s="1" t="s">
        <v>312</v>
      </c>
      <c r="S521" s="1" t="s">
        <v>352</v>
      </c>
    </row>
    <row r="522" spans="1:19" s="1" customFormat="1" hidden="1" x14ac:dyDescent="0.2">
      <c r="A522" s="155">
        <v>427</v>
      </c>
      <c r="B522" s="1" t="s">
        <v>350</v>
      </c>
      <c r="C522" s="1" t="s">
        <v>519</v>
      </c>
      <c r="D522" s="1" t="s">
        <v>520</v>
      </c>
      <c r="E522" s="1" t="s">
        <v>306</v>
      </c>
      <c r="F522" s="195" t="s">
        <v>1971</v>
      </c>
      <c r="G522" s="266" t="str">
        <f>_xlfn.XLOOKUP(ITEquipmentTable[[#This Row],[Name]], IntuneData[Device name], IntuneData[Serial number], "")</f>
        <v/>
      </c>
      <c r="K522" s="154" t="s">
        <v>226</v>
      </c>
      <c r="L522" s="266" t="str">
        <f>_xlfn.LET(
_xlpm.look, _xlfn.XLOOKUP(ITEquipmentTable[[#This Row],[Name]], VNCTable[ClientName], VNCTable[IP], ""),
_xlpm.chkk, IF(ITEquipmentTable[[#This Row],[IPv4 Address]] = "N/A", "N/A", _xlpm.look),
IF(ITEquipmentTable[[#This Row],[Name]] = "", "", _xlpm.chkk))</f>
        <v>N/A</v>
      </c>
      <c r="M522" s="1" t="s">
        <v>226</v>
      </c>
      <c r="N522" s="159" t="str">
        <f>_xlfn.LET(_xlpm.emp, IF(_xlfn.XLOOKUP(ITEquipmentTable[[#This Row],[Assigned Employee]], EmployeeTable[name], EmployeeTable[Active], TRUE), "Employee", "Recover"),
IF(ITEquipmentTable[[#This Row],[Storage Location]] = "Assigned to Employee", _xlpm.emp, "N/A"))</f>
        <v>N/A</v>
      </c>
      <c r="O522" s="159" t="str" cm="1">
        <f t="array" ref="O52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2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522" s="1" t="s">
        <v>352</v>
      </c>
      <c r="R522" s="1" t="s">
        <v>312</v>
      </c>
      <c r="S522" s="1" t="s">
        <v>352</v>
      </c>
    </row>
    <row r="523" spans="1:19" s="1" customFormat="1" hidden="1" x14ac:dyDescent="0.2">
      <c r="A523" s="155">
        <v>428</v>
      </c>
      <c r="B523" s="1" t="s">
        <v>350</v>
      </c>
      <c r="C523" s="1" t="s">
        <v>519</v>
      </c>
      <c r="D523" s="1" t="s">
        <v>1972</v>
      </c>
      <c r="E523" s="1" t="s">
        <v>306</v>
      </c>
      <c r="F523" s="195" t="s">
        <v>1973</v>
      </c>
      <c r="G523" s="266" t="str">
        <f>_xlfn.XLOOKUP(ITEquipmentTable[[#This Row],[Name]], IntuneData[Device name], IntuneData[Serial number], "")</f>
        <v/>
      </c>
      <c r="H523" s="1" t="s">
        <v>302</v>
      </c>
      <c r="K523" s="154" t="s">
        <v>226</v>
      </c>
      <c r="L523" s="266" t="str">
        <f>_xlfn.LET(
_xlpm.look, _xlfn.XLOOKUP(ITEquipmentTable[[#This Row],[Name]], VNCTable[ClientName], VNCTable[IP], ""),
_xlpm.chkk, IF(ITEquipmentTable[[#This Row],[IPv4 Address]] = "N/A", "N/A", _xlpm.look),
IF(ITEquipmentTable[[#This Row],[Name]] = "", "", _xlpm.chkk))</f>
        <v>N/A</v>
      </c>
      <c r="M523" s="1" t="s">
        <v>226</v>
      </c>
      <c r="N523" s="159" t="str">
        <f>_xlfn.LET(_xlpm.emp, IF(_xlfn.XLOOKUP(ITEquipmentTable[[#This Row],[Assigned Employee]], EmployeeTable[name], EmployeeTable[Active], TRUE), "Employee", "Recover"),
IF(ITEquipmentTable[[#This Row],[Storage Location]] = "Assigned to Employee", _xlpm.emp, "N/A"))</f>
        <v>N/A</v>
      </c>
      <c r="O523" s="159" t="str" cm="1">
        <f t="array" ref="O52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2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23" s="1" t="s">
        <v>1974</v>
      </c>
      <c r="R523" s="1" t="s">
        <v>372</v>
      </c>
      <c r="S523" s="1" t="s">
        <v>1975</v>
      </c>
    </row>
    <row r="524" spans="1:19" s="1" customFormat="1" hidden="1" x14ac:dyDescent="0.2">
      <c r="A524" s="155">
        <v>429</v>
      </c>
      <c r="B524" s="1" t="s">
        <v>350</v>
      </c>
      <c r="C524" s="1" t="s">
        <v>519</v>
      </c>
      <c r="D524" s="1" t="s">
        <v>1972</v>
      </c>
      <c r="E524" s="1" t="s">
        <v>306</v>
      </c>
      <c r="F524" s="195" t="s">
        <v>1976</v>
      </c>
      <c r="G524" s="266" t="str">
        <f>_xlfn.XLOOKUP(ITEquipmentTable[[#This Row],[Name]], IntuneData[Device name], IntuneData[Serial number], "")</f>
        <v/>
      </c>
      <c r="H524" s="1" t="s">
        <v>302</v>
      </c>
      <c r="K524" s="154" t="s">
        <v>226</v>
      </c>
      <c r="L524" s="266" t="str">
        <f>_xlfn.LET(
_xlpm.look, _xlfn.XLOOKUP(ITEquipmentTable[[#This Row],[Name]], VNCTable[ClientName], VNCTable[IP], ""),
_xlpm.chkk, IF(ITEquipmentTable[[#This Row],[IPv4 Address]] = "N/A", "N/A", _xlpm.look),
IF(ITEquipmentTable[[#This Row],[Name]] = "", "", _xlpm.chkk))</f>
        <v>N/A</v>
      </c>
      <c r="M524" s="1" t="s">
        <v>226</v>
      </c>
      <c r="N524" s="159" t="str">
        <f>_xlfn.LET(_xlpm.emp, IF(_xlfn.XLOOKUP(ITEquipmentTable[[#This Row],[Assigned Employee]], EmployeeTable[name], EmployeeTable[Active], TRUE), "Employee", "Recover"),
IF(ITEquipmentTable[[#This Row],[Storage Location]] = "Assigned to Employee", _xlpm.emp, "N/A"))</f>
        <v>N/A</v>
      </c>
      <c r="O524" s="159" t="str" cm="1">
        <f t="array" ref="O52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2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24" s="1" t="s">
        <v>1977</v>
      </c>
      <c r="R524" s="1" t="s">
        <v>372</v>
      </c>
      <c r="S524" s="1" t="s">
        <v>1975</v>
      </c>
    </row>
    <row r="525" spans="1:19" s="1" customFormat="1" hidden="1" x14ac:dyDescent="0.2">
      <c r="A525" s="155">
        <v>430</v>
      </c>
      <c r="B525" s="1" t="s">
        <v>350</v>
      </c>
      <c r="C525" s="1" t="s">
        <v>519</v>
      </c>
      <c r="D525" s="1" t="s">
        <v>1972</v>
      </c>
      <c r="E525" s="1" t="s">
        <v>306</v>
      </c>
      <c r="F525" s="195" t="s">
        <v>1978</v>
      </c>
      <c r="G525" s="266" t="str">
        <f>_xlfn.XLOOKUP(ITEquipmentTable[[#This Row],[Name]], IntuneData[Device name], IntuneData[Serial number], "")</f>
        <v/>
      </c>
      <c r="H525" s="1" t="s">
        <v>302</v>
      </c>
      <c r="K525" s="154" t="s">
        <v>226</v>
      </c>
      <c r="L525" s="266" t="str">
        <f>_xlfn.LET(
_xlpm.look, _xlfn.XLOOKUP(ITEquipmentTable[[#This Row],[Name]], VNCTable[ClientName], VNCTable[IP], ""),
_xlpm.chkk, IF(ITEquipmentTable[[#This Row],[IPv4 Address]] = "N/A", "N/A", _xlpm.look),
IF(ITEquipmentTable[[#This Row],[Name]] = "", "", _xlpm.chkk))</f>
        <v>N/A</v>
      </c>
      <c r="M525" s="1" t="s">
        <v>226</v>
      </c>
      <c r="N525" s="159" t="str">
        <f>_xlfn.LET(_xlpm.emp, IF(_xlfn.XLOOKUP(ITEquipmentTable[[#This Row],[Assigned Employee]], EmployeeTable[name], EmployeeTable[Active], TRUE), "Employee", "Recover"),
IF(ITEquipmentTable[[#This Row],[Storage Location]] = "Assigned to Employee", _xlpm.emp, "N/A"))</f>
        <v>N/A</v>
      </c>
      <c r="O525" s="159" t="str" cm="1">
        <f t="array" ref="O52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2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25" s="1" t="s">
        <v>1979</v>
      </c>
      <c r="R525" s="1" t="s">
        <v>372</v>
      </c>
      <c r="S525" s="1" t="s">
        <v>1975</v>
      </c>
    </row>
    <row r="526" spans="1:19" s="1" customFormat="1" hidden="1" x14ac:dyDescent="0.2">
      <c r="A526" s="155">
        <v>431</v>
      </c>
      <c r="B526" s="1" t="s">
        <v>350</v>
      </c>
      <c r="C526" s="1" t="s">
        <v>519</v>
      </c>
      <c r="D526" s="1" t="s">
        <v>1972</v>
      </c>
      <c r="E526" s="1" t="s">
        <v>306</v>
      </c>
      <c r="F526" s="195" t="s">
        <v>1980</v>
      </c>
      <c r="G526" s="266" t="str">
        <f>_xlfn.XLOOKUP(ITEquipmentTable[[#This Row],[Name]], IntuneData[Device name], IntuneData[Serial number], "")</f>
        <v/>
      </c>
      <c r="H526" s="1" t="s">
        <v>302</v>
      </c>
      <c r="K526" s="154" t="s">
        <v>226</v>
      </c>
      <c r="L526" s="266" t="str">
        <f>_xlfn.LET(
_xlpm.look, _xlfn.XLOOKUP(ITEquipmentTable[[#This Row],[Name]], VNCTable[ClientName], VNCTable[IP], ""),
_xlpm.chkk, IF(ITEquipmentTable[[#This Row],[IPv4 Address]] = "N/A", "N/A", _xlpm.look),
IF(ITEquipmentTable[[#This Row],[Name]] = "", "", _xlpm.chkk))</f>
        <v>N/A</v>
      </c>
      <c r="M526" s="1" t="s">
        <v>226</v>
      </c>
      <c r="N526" s="159" t="str">
        <f>_xlfn.LET(_xlpm.emp, IF(_xlfn.XLOOKUP(ITEquipmentTable[[#This Row],[Assigned Employee]], EmployeeTable[name], EmployeeTable[Active], TRUE), "Employee", "Recover"),
IF(ITEquipmentTable[[#This Row],[Storage Location]] = "Assigned to Employee", _xlpm.emp, "N/A"))</f>
        <v>N/A</v>
      </c>
      <c r="O526" s="159" t="str" cm="1">
        <f t="array" ref="O52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2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26" s="1" t="s">
        <v>1981</v>
      </c>
      <c r="R526" s="1" t="s">
        <v>372</v>
      </c>
      <c r="S526" s="1" t="s">
        <v>1975</v>
      </c>
    </row>
    <row r="527" spans="1:19" s="1" customFormat="1" hidden="1" x14ac:dyDescent="0.2">
      <c r="A527" s="155">
        <v>432</v>
      </c>
      <c r="B527" s="1" t="s">
        <v>350</v>
      </c>
      <c r="C527" s="1" t="s">
        <v>519</v>
      </c>
      <c r="D527" s="1" t="s">
        <v>1972</v>
      </c>
      <c r="E527" s="1" t="s">
        <v>306</v>
      </c>
      <c r="F527" s="195" t="s">
        <v>1982</v>
      </c>
      <c r="G527" s="266" t="str">
        <f>_xlfn.XLOOKUP(ITEquipmentTable[[#This Row],[Name]], IntuneData[Device name], IntuneData[Serial number], "")</f>
        <v/>
      </c>
      <c r="H527" s="1" t="s">
        <v>302</v>
      </c>
      <c r="K527" s="154" t="s">
        <v>226</v>
      </c>
      <c r="L527" s="266" t="str">
        <f>_xlfn.LET(
_xlpm.look, _xlfn.XLOOKUP(ITEquipmentTable[[#This Row],[Name]], VNCTable[ClientName], VNCTable[IP], ""),
_xlpm.chkk, IF(ITEquipmentTable[[#This Row],[IPv4 Address]] = "N/A", "N/A", _xlpm.look),
IF(ITEquipmentTable[[#This Row],[Name]] = "", "", _xlpm.chkk))</f>
        <v>N/A</v>
      </c>
      <c r="M527" s="1" t="s">
        <v>226</v>
      </c>
      <c r="N527" s="159" t="str">
        <f>_xlfn.LET(_xlpm.emp, IF(_xlfn.XLOOKUP(ITEquipmentTable[[#This Row],[Assigned Employee]], EmployeeTable[name], EmployeeTable[Active], TRUE), "Employee", "Recover"),
IF(ITEquipmentTable[[#This Row],[Storage Location]] = "Assigned to Employee", _xlpm.emp, "N/A"))</f>
        <v>N/A</v>
      </c>
      <c r="O527" s="159" t="str" cm="1">
        <f t="array" ref="O52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2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27" s="1" t="s">
        <v>1983</v>
      </c>
      <c r="R527" s="1" t="s">
        <v>372</v>
      </c>
      <c r="S527" s="1" t="s">
        <v>1975</v>
      </c>
    </row>
    <row r="528" spans="1:19" s="1" customFormat="1" hidden="1" x14ac:dyDescent="0.2">
      <c r="A528" s="155">
        <v>433</v>
      </c>
      <c r="B528" s="1" t="s">
        <v>350</v>
      </c>
      <c r="C528" s="1" t="s">
        <v>519</v>
      </c>
      <c r="D528" s="1" t="s">
        <v>1972</v>
      </c>
      <c r="E528" s="1" t="s">
        <v>306</v>
      </c>
      <c r="F528" s="195" t="s">
        <v>1984</v>
      </c>
      <c r="G528" s="266" t="str">
        <f>_xlfn.XLOOKUP(ITEquipmentTable[[#This Row],[Name]], IntuneData[Device name], IntuneData[Serial number], "")</f>
        <v/>
      </c>
      <c r="H528" s="1" t="s">
        <v>302</v>
      </c>
      <c r="K528" s="154" t="s">
        <v>226</v>
      </c>
      <c r="L528" s="266" t="str">
        <f>_xlfn.LET(
_xlpm.look, _xlfn.XLOOKUP(ITEquipmentTable[[#This Row],[Name]], VNCTable[ClientName], VNCTable[IP], ""),
_xlpm.chkk, IF(ITEquipmentTable[[#This Row],[IPv4 Address]] = "N/A", "N/A", _xlpm.look),
IF(ITEquipmentTable[[#This Row],[Name]] = "", "", _xlpm.chkk))</f>
        <v>N/A</v>
      </c>
      <c r="M528" s="1" t="s">
        <v>226</v>
      </c>
      <c r="N528" s="159" t="str">
        <f>_xlfn.LET(_xlpm.emp, IF(_xlfn.XLOOKUP(ITEquipmentTable[[#This Row],[Assigned Employee]], EmployeeTable[name], EmployeeTable[Active], TRUE), "Employee", "Recover"),
IF(ITEquipmentTable[[#This Row],[Storage Location]] = "Assigned to Employee", _xlpm.emp, "N/A"))</f>
        <v>N/A</v>
      </c>
      <c r="O528" s="159" t="str" cm="1">
        <f t="array" ref="O52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2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28" s="1" t="s">
        <v>1985</v>
      </c>
      <c r="R528" s="1" t="s">
        <v>372</v>
      </c>
      <c r="S528" s="1" t="s">
        <v>1975</v>
      </c>
    </row>
    <row r="529" spans="1:19" s="1" customFormat="1" hidden="1" x14ac:dyDescent="0.2">
      <c r="A529" s="155">
        <v>434</v>
      </c>
      <c r="B529" s="1" t="s">
        <v>350</v>
      </c>
      <c r="C529" s="1" t="s">
        <v>519</v>
      </c>
      <c r="D529" s="1" t="s">
        <v>1972</v>
      </c>
      <c r="E529" s="1" t="s">
        <v>306</v>
      </c>
      <c r="F529" s="195" t="s">
        <v>1986</v>
      </c>
      <c r="G529" s="266" t="str">
        <f>_xlfn.XLOOKUP(ITEquipmentTable[[#This Row],[Name]], IntuneData[Device name], IntuneData[Serial number], "")</f>
        <v/>
      </c>
      <c r="H529" s="1" t="s">
        <v>302</v>
      </c>
      <c r="K529" s="154" t="s">
        <v>226</v>
      </c>
      <c r="L529" s="266" t="str">
        <f>_xlfn.LET(
_xlpm.look, _xlfn.XLOOKUP(ITEquipmentTable[[#This Row],[Name]], VNCTable[ClientName], VNCTable[IP], ""),
_xlpm.chkk, IF(ITEquipmentTable[[#This Row],[IPv4 Address]] = "N/A", "N/A", _xlpm.look),
IF(ITEquipmentTable[[#This Row],[Name]] = "", "", _xlpm.chkk))</f>
        <v>N/A</v>
      </c>
      <c r="M529" s="1" t="s">
        <v>226</v>
      </c>
      <c r="N529" s="159" t="str">
        <f>_xlfn.LET(_xlpm.emp, IF(_xlfn.XLOOKUP(ITEquipmentTable[[#This Row],[Assigned Employee]], EmployeeTable[name], EmployeeTable[Active], TRUE), "Employee", "Recover"),
IF(ITEquipmentTable[[#This Row],[Storage Location]] = "Assigned to Employee", _xlpm.emp, "N/A"))</f>
        <v>N/A</v>
      </c>
      <c r="O529" s="159" t="str" cm="1">
        <f t="array" ref="O52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2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29" s="1" t="s">
        <v>1987</v>
      </c>
      <c r="R529" s="1" t="s">
        <v>372</v>
      </c>
      <c r="S529" s="1" t="s">
        <v>1975</v>
      </c>
    </row>
    <row r="530" spans="1:19" s="1" customFormat="1" hidden="1" x14ac:dyDescent="0.2">
      <c r="A530" s="155">
        <v>435</v>
      </c>
      <c r="B530" s="1" t="s">
        <v>350</v>
      </c>
      <c r="C530" s="1" t="s">
        <v>519</v>
      </c>
      <c r="D530" s="1" t="s">
        <v>1972</v>
      </c>
      <c r="E530" s="1" t="s">
        <v>306</v>
      </c>
      <c r="F530" s="195" t="s">
        <v>1988</v>
      </c>
      <c r="G530" s="266" t="str">
        <f>_xlfn.XLOOKUP(ITEquipmentTable[[#This Row],[Name]], IntuneData[Device name], IntuneData[Serial number], "")</f>
        <v/>
      </c>
      <c r="H530" s="1" t="s">
        <v>302</v>
      </c>
      <c r="K530" s="154" t="s">
        <v>226</v>
      </c>
      <c r="L530" s="266" t="str">
        <f>_xlfn.LET(
_xlpm.look, _xlfn.XLOOKUP(ITEquipmentTable[[#This Row],[Name]], VNCTable[ClientName], VNCTable[IP], ""),
_xlpm.chkk, IF(ITEquipmentTable[[#This Row],[IPv4 Address]] = "N/A", "N/A", _xlpm.look),
IF(ITEquipmentTable[[#This Row],[Name]] = "", "", _xlpm.chkk))</f>
        <v>N/A</v>
      </c>
      <c r="M530" s="1" t="s">
        <v>226</v>
      </c>
      <c r="N530" s="159" t="str">
        <f>_xlfn.LET(_xlpm.emp, IF(_xlfn.XLOOKUP(ITEquipmentTable[[#This Row],[Assigned Employee]], EmployeeTable[name], EmployeeTable[Active], TRUE), "Employee", "Recover"),
IF(ITEquipmentTable[[#This Row],[Storage Location]] = "Assigned to Employee", _xlpm.emp, "N/A"))</f>
        <v>N/A</v>
      </c>
      <c r="O530" s="159" t="str" cm="1">
        <f t="array" ref="O53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3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30" s="1" t="s">
        <v>1989</v>
      </c>
      <c r="R530" s="1" t="s">
        <v>372</v>
      </c>
      <c r="S530" s="1" t="s">
        <v>1975</v>
      </c>
    </row>
    <row r="531" spans="1:19" s="1" customFormat="1" hidden="1" x14ac:dyDescent="0.2">
      <c r="A531" s="155">
        <v>436</v>
      </c>
      <c r="B531" s="1" t="s">
        <v>350</v>
      </c>
      <c r="C531" s="1" t="s">
        <v>519</v>
      </c>
      <c r="D531" s="1" t="s">
        <v>1972</v>
      </c>
      <c r="E531" s="1" t="s">
        <v>306</v>
      </c>
      <c r="F531" s="195" t="s">
        <v>1990</v>
      </c>
      <c r="G531" s="266" t="str">
        <f>_xlfn.XLOOKUP(ITEquipmentTable[[#This Row],[Name]], IntuneData[Device name], IntuneData[Serial number], "")</f>
        <v/>
      </c>
      <c r="H531" s="1" t="s">
        <v>302</v>
      </c>
      <c r="K531" s="154" t="s">
        <v>226</v>
      </c>
      <c r="L531" s="266" t="str">
        <f>_xlfn.LET(
_xlpm.look, _xlfn.XLOOKUP(ITEquipmentTable[[#This Row],[Name]], VNCTable[ClientName], VNCTable[IP], ""),
_xlpm.chkk, IF(ITEquipmentTable[[#This Row],[IPv4 Address]] = "N/A", "N/A", _xlpm.look),
IF(ITEquipmentTable[[#This Row],[Name]] = "", "", _xlpm.chkk))</f>
        <v>N/A</v>
      </c>
      <c r="M531" s="1" t="s">
        <v>226</v>
      </c>
      <c r="N531" s="159" t="str">
        <f>_xlfn.LET(_xlpm.emp, IF(_xlfn.XLOOKUP(ITEquipmentTable[[#This Row],[Assigned Employee]], EmployeeTable[name], EmployeeTable[Active], TRUE), "Employee", "Recover"),
IF(ITEquipmentTable[[#This Row],[Storage Location]] = "Assigned to Employee", _xlpm.emp, "N/A"))</f>
        <v>N/A</v>
      </c>
      <c r="O531" s="159" t="str" cm="1">
        <f t="array" ref="O53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3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31" s="1" t="s">
        <v>1991</v>
      </c>
      <c r="R531" s="1" t="s">
        <v>372</v>
      </c>
      <c r="S531" s="1" t="s">
        <v>1975</v>
      </c>
    </row>
    <row r="532" spans="1:19" s="1" customFormat="1" hidden="1" x14ac:dyDescent="0.2">
      <c r="A532" s="155">
        <v>437</v>
      </c>
      <c r="B532" s="1" t="s">
        <v>350</v>
      </c>
      <c r="C532" s="1" t="s">
        <v>519</v>
      </c>
      <c r="D532" s="1" t="s">
        <v>1972</v>
      </c>
      <c r="E532" s="1" t="s">
        <v>306</v>
      </c>
      <c r="F532" s="195" t="s">
        <v>1992</v>
      </c>
      <c r="G532" s="266" t="str">
        <f>_xlfn.XLOOKUP(ITEquipmentTable[[#This Row],[Name]], IntuneData[Device name], IntuneData[Serial number], "")</f>
        <v/>
      </c>
      <c r="H532" s="1" t="s">
        <v>302</v>
      </c>
      <c r="K532" s="154" t="s">
        <v>226</v>
      </c>
      <c r="L532" s="266" t="str">
        <f>_xlfn.LET(
_xlpm.look, _xlfn.XLOOKUP(ITEquipmentTable[[#This Row],[Name]], VNCTable[ClientName], VNCTable[IP], ""),
_xlpm.chkk, IF(ITEquipmentTable[[#This Row],[IPv4 Address]] = "N/A", "N/A", _xlpm.look),
IF(ITEquipmentTable[[#This Row],[Name]] = "", "", _xlpm.chkk))</f>
        <v>N/A</v>
      </c>
      <c r="M532" s="1" t="s">
        <v>226</v>
      </c>
      <c r="N532" s="159" t="str">
        <f>_xlfn.LET(_xlpm.emp, IF(_xlfn.XLOOKUP(ITEquipmentTable[[#This Row],[Assigned Employee]], EmployeeTable[name], EmployeeTable[Active], TRUE), "Employee", "Recover"),
IF(ITEquipmentTable[[#This Row],[Storage Location]] = "Assigned to Employee", _xlpm.emp, "N/A"))</f>
        <v>N/A</v>
      </c>
      <c r="O532" s="159" t="str" cm="1">
        <f t="array" ref="O53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3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32" s="1" t="s">
        <v>1993</v>
      </c>
      <c r="R532" s="1" t="s">
        <v>372</v>
      </c>
      <c r="S532" s="1" t="s">
        <v>1975</v>
      </c>
    </row>
    <row r="533" spans="1:19" s="1" customFormat="1" hidden="1" x14ac:dyDescent="0.2">
      <c r="A533" s="155">
        <v>438</v>
      </c>
      <c r="B533" s="1" t="s">
        <v>350</v>
      </c>
      <c r="C533" s="1" t="s">
        <v>519</v>
      </c>
      <c r="D533" s="1" t="s">
        <v>520</v>
      </c>
      <c r="E533" s="1" t="s">
        <v>306</v>
      </c>
      <c r="F533" s="195" t="s">
        <v>1994</v>
      </c>
      <c r="G533" s="1" t="str">
        <f>_xlfn.XLOOKUP(ITEquipmentTable[[#This Row],[Name]], IntuneData[Device name], IntuneData[Serial number], "")</f>
        <v/>
      </c>
      <c r="H533" s="1" t="s">
        <v>302</v>
      </c>
      <c r="K533" s="154" t="s">
        <v>226</v>
      </c>
      <c r="L533" s="1" t="str">
        <f>_xlfn.LET(
_xlpm.look, _xlfn.XLOOKUP(ITEquipmentTable[[#This Row],[Name]], VNCTable[ClientName], VNCTable[IP], ""),
_xlpm.chkk, IF(ITEquipmentTable[[#This Row],[IPv4 Address]] = "N/A", "N/A", _xlpm.look),
IF(ITEquipmentTable[[#This Row],[Name]] = "", "", _xlpm.chkk))</f>
        <v>N/A</v>
      </c>
      <c r="M533" s="1" t="s">
        <v>226</v>
      </c>
      <c r="N533" s="159" t="str">
        <f>_xlfn.LET(_xlpm.emp, IF(_xlfn.XLOOKUP(ITEquipmentTable[[#This Row],[Assigned Employee]], EmployeeTable[name], EmployeeTable[Active], TRUE), "Employee", "Recover"),
IF(ITEquipmentTable[[#This Row],[Storage Location]] = "Assigned to Employee", _xlpm.emp, "N/A"))</f>
        <v>N/A</v>
      </c>
      <c r="O533" s="159" t="str" cm="1">
        <f t="array" ref="O53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3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33" s="1" t="s">
        <v>532</v>
      </c>
      <c r="R533" s="1" t="s">
        <v>312</v>
      </c>
    </row>
    <row r="534" spans="1:19" s="1" customFormat="1" hidden="1" x14ac:dyDescent="0.2">
      <c r="A534" s="155">
        <v>439</v>
      </c>
      <c r="B534" s="1" t="s">
        <v>350</v>
      </c>
      <c r="C534" s="1" t="s">
        <v>519</v>
      </c>
      <c r="D534" s="1" t="s">
        <v>520</v>
      </c>
      <c r="E534" s="1" t="s">
        <v>306</v>
      </c>
      <c r="F534" s="195" t="s">
        <v>1995</v>
      </c>
      <c r="G534" s="1" t="str">
        <f>_xlfn.XLOOKUP(ITEquipmentTable[[#This Row],[Name]], IntuneData[Device name], IntuneData[Serial number], "")</f>
        <v/>
      </c>
      <c r="K534" s="154" t="s">
        <v>226</v>
      </c>
      <c r="L534" s="1" t="str">
        <f>_xlfn.LET(
_xlpm.look, _xlfn.XLOOKUP(ITEquipmentTable[[#This Row],[Name]], VNCTable[ClientName], VNCTable[IP], ""),
_xlpm.chkk, IF(ITEquipmentTable[[#This Row],[IPv4 Address]] = "N/A", "N/A", _xlpm.look),
IF(ITEquipmentTable[[#This Row],[Name]] = "", "", _xlpm.chkk))</f>
        <v>N/A</v>
      </c>
      <c r="M534" s="1" t="s">
        <v>226</v>
      </c>
      <c r="N534" s="159" t="str">
        <f>_xlfn.LET(_xlpm.emp, IF(_xlfn.XLOOKUP(ITEquipmentTable[[#This Row],[Assigned Employee]], EmployeeTable[name], EmployeeTable[Active], TRUE), "Employee", "Recover"),
IF(ITEquipmentTable[[#This Row],[Storage Location]] = "Assigned to Employee", _xlpm.emp, "N/A"))</f>
        <v>N/A</v>
      </c>
      <c r="O534" s="159" t="str" cm="1">
        <f t="array" ref="O53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3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534" s="1" t="s">
        <v>352</v>
      </c>
      <c r="R534" s="1" t="s">
        <v>312</v>
      </c>
      <c r="S534" s="1" t="s">
        <v>352</v>
      </c>
    </row>
    <row r="535" spans="1:19" s="1" customFormat="1" hidden="1" x14ac:dyDescent="0.2">
      <c r="A535" s="155">
        <v>440</v>
      </c>
      <c r="B535" s="1" t="s">
        <v>350</v>
      </c>
      <c r="C535" s="1" t="s">
        <v>519</v>
      </c>
      <c r="D535" s="1" t="s">
        <v>520</v>
      </c>
      <c r="E535" s="1" t="s">
        <v>306</v>
      </c>
      <c r="F535" s="195" t="s">
        <v>1996</v>
      </c>
      <c r="G535" s="1" t="str">
        <f>_xlfn.XLOOKUP(ITEquipmentTable[[#This Row],[Name]], IntuneData[Device name], IntuneData[Serial number], "")</f>
        <v/>
      </c>
      <c r="K535" s="154" t="s">
        <v>226</v>
      </c>
      <c r="L535" s="1" t="str">
        <f>_xlfn.LET(
_xlpm.look, _xlfn.XLOOKUP(ITEquipmentTable[[#This Row],[Name]], VNCTable[ClientName], VNCTable[IP], ""),
_xlpm.chkk, IF(ITEquipmentTable[[#This Row],[IPv4 Address]] = "N/A", "N/A", _xlpm.look),
IF(ITEquipmentTable[[#This Row],[Name]] = "", "", _xlpm.chkk))</f>
        <v>N/A</v>
      </c>
      <c r="M535" s="1" t="s">
        <v>226</v>
      </c>
      <c r="N535" s="159" t="str">
        <f>_xlfn.LET(_xlpm.emp, IF(_xlfn.XLOOKUP(ITEquipmentTable[[#This Row],[Assigned Employee]], EmployeeTable[name], EmployeeTable[Active], TRUE), "Employee", "Recover"),
IF(ITEquipmentTable[[#This Row],[Storage Location]] = "Assigned to Employee", _xlpm.emp, "N/A"))</f>
        <v>N/A</v>
      </c>
      <c r="O535" s="159" t="str" cm="1">
        <f t="array" ref="O53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3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535" s="1" t="s">
        <v>352</v>
      </c>
      <c r="R535" s="1" t="s">
        <v>312</v>
      </c>
      <c r="S535" s="1" t="s">
        <v>352</v>
      </c>
    </row>
    <row r="536" spans="1:19" s="1" customFormat="1" hidden="1" x14ac:dyDescent="0.2">
      <c r="A536" s="155">
        <v>441</v>
      </c>
      <c r="B536" s="1" t="s">
        <v>350</v>
      </c>
      <c r="C536" s="1" t="s">
        <v>519</v>
      </c>
      <c r="D536" s="1" t="s">
        <v>520</v>
      </c>
      <c r="E536" s="1" t="s">
        <v>306</v>
      </c>
      <c r="F536" s="195" t="s">
        <v>1997</v>
      </c>
      <c r="G536" s="1" t="str">
        <f>_xlfn.XLOOKUP(ITEquipmentTable[[#This Row],[Name]], IntuneData[Device name], IntuneData[Serial number], "")</f>
        <v/>
      </c>
      <c r="K536" s="154" t="s">
        <v>226</v>
      </c>
      <c r="L536" s="1" t="str">
        <f>_xlfn.LET(
_xlpm.look, _xlfn.XLOOKUP(ITEquipmentTable[[#This Row],[Name]], VNCTable[ClientName], VNCTable[IP], ""),
_xlpm.chkk, IF(ITEquipmentTable[[#This Row],[IPv4 Address]] = "N/A", "N/A", _xlpm.look),
IF(ITEquipmentTable[[#This Row],[Name]] = "", "", _xlpm.chkk))</f>
        <v>N/A</v>
      </c>
      <c r="M536" s="1" t="s">
        <v>226</v>
      </c>
      <c r="N536" s="159" t="str">
        <f>_xlfn.LET(_xlpm.emp, IF(_xlfn.XLOOKUP(ITEquipmentTable[[#This Row],[Assigned Employee]], EmployeeTable[name], EmployeeTable[Active], TRUE), "Employee", "Recover"),
IF(ITEquipmentTable[[#This Row],[Storage Location]] = "Assigned to Employee", _xlpm.emp, "N/A"))</f>
        <v>N/A</v>
      </c>
      <c r="O536" s="159" t="str" cm="1">
        <f t="array" ref="O53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3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536" s="1" t="s">
        <v>352</v>
      </c>
      <c r="R536" s="1" t="s">
        <v>312</v>
      </c>
      <c r="S536" s="1" t="s">
        <v>352</v>
      </c>
    </row>
    <row r="537" spans="1:19" s="1" customFormat="1" hidden="1" x14ac:dyDescent="0.2">
      <c r="A537" s="155">
        <v>442</v>
      </c>
      <c r="B537" s="1" t="s">
        <v>350</v>
      </c>
      <c r="C537" s="1" t="s">
        <v>519</v>
      </c>
      <c r="D537" s="1" t="s">
        <v>520</v>
      </c>
      <c r="E537" s="1" t="s">
        <v>306</v>
      </c>
      <c r="F537" s="195" t="s">
        <v>531</v>
      </c>
      <c r="G537" s="164" t="str">
        <f>_xlfn.XLOOKUP(ITEquipmentTable[[#This Row],[Name]], IntuneData[Device name], IntuneData[Serial number], "")</f>
        <v/>
      </c>
      <c r="H537" s="1" t="s">
        <v>295</v>
      </c>
      <c r="I537" s="1" t="s">
        <v>522</v>
      </c>
      <c r="K537" s="154" t="s">
        <v>226</v>
      </c>
      <c r="L537" s="164" t="str">
        <f>_xlfn.LET(
_xlpm.look, _xlfn.XLOOKUP(ITEquipmentTable[[#This Row],[Name]], VNCTable[ClientName], VNCTable[IP], ""),
_xlpm.chkk, IF(ITEquipmentTable[[#This Row],[IPv4 Address]] = "N/A", "N/A", _xlpm.look),
IF(ITEquipmentTable[[#This Row],[Name]] = "", "", _xlpm.chkk))</f>
        <v>N/A</v>
      </c>
      <c r="M537" s="1" t="s">
        <v>226</v>
      </c>
      <c r="N537" s="159" t="str">
        <f>_xlfn.LET(_xlpm.emp, IF(_xlfn.XLOOKUP(ITEquipmentTable[[#This Row],[Assigned Employee]], EmployeeTable[name], EmployeeTable[Active], TRUE), "Employee", "Recover"),
IF(ITEquipmentTable[[#This Row],[Storage Location]] = "Assigned to Employee", _xlpm.emp, "N/A"))</f>
        <v>N/A</v>
      </c>
      <c r="O537" s="159" t="str" cm="1">
        <f t="array" ref="O53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3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37" s="1" t="s">
        <v>532</v>
      </c>
      <c r="R537" s="1" t="s">
        <v>312</v>
      </c>
    </row>
    <row r="538" spans="1:19" s="1" customFormat="1" hidden="1" x14ac:dyDescent="0.2">
      <c r="A538" s="155">
        <v>443</v>
      </c>
      <c r="B538" s="1" t="s">
        <v>350</v>
      </c>
      <c r="C538" s="1" t="s">
        <v>519</v>
      </c>
      <c r="D538" s="1" t="s">
        <v>520</v>
      </c>
      <c r="E538" s="1" t="s">
        <v>306</v>
      </c>
      <c r="F538" s="195" t="s">
        <v>534</v>
      </c>
      <c r="G538" s="1" t="str">
        <f>_xlfn.XLOOKUP(ITEquipmentTable[[#This Row],[Name]], IntuneData[Device name], IntuneData[Serial number], "")</f>
        <v/>
      </c>
      <c r="I538" s="1" t="s">
        <v>522</v>
      </c>
      <c r="K538" s="154" t="s">
        <v>226</v>
      </c>
      <c r="L538" s="1" t="str">
        <f>_xlfn.LET(
_xlpm.look, _xlfn.XLOOKUP(ITEquipmentTable[[#This Row],[Name]], VNCTable[ClientName], VNCTable[IP], ""),
_xlpm.chkk, IF(ITEquipmentTable[[#This Row],[IPv4 Address]] = "N/A", "N/A", _xlpm.look),
IF(ITEquipmentTable[[#This Row],[Name]] = "", "", _xlpm.chkk))</f>
        <v>N/A</v>
      </c>
      <c r="M538" s="1" t="s">
        <v>226</v>
      </c>
      <c r="N538" s="159" t="str">
        <f>_xlfn.LET(_xlpm.emp, IF(_xlfn.XLOOKUP(ITEquipmentTable[[#This Row],[Assigned Employee]], EmployeeTable[name], EmployeeTable[Active], TRUE), "Employee", "Recover"),
IF(ITEquipmentTable[[#This Row],[Storage Location]] = "Assigned to Employee", _xlpm.emp, "N/A"))</f>
        <v>N/A</v>
      </c>
      <c r="O538" s="159" t="str" cm="1">
        <f t="array" ref="O53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3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538" s="1" t="s">
        <v>352</v>
      </c>
      <c r="R538" s="1" t="s">
        <v>312</v>
      </c>
      <c r="S538" s="1" t="s">
        <v>352</v>
      </c>
    </row>
    <row r="539" spans="1:19" s="1" customFormat="1" hidden="1" x14ac:dyDescent="0.2">
      <c r="A539" s="155">
        <v>444</v>
      </c>
      <c r="B539" s="1" t="s">
        <v>371</v>
      </c>
      <c r="C539" s="1" t="s">
        <v>1998</v>
      </c>
      <c r="D539" s="1" t="s">
        <v>1999</v>
      </c>
      <c r="E539" s="1" t="s">
        <v>306</v>
      </c>
      <c r="F539" s="195" t="s">
        <v>2000</v>
      </c>
      <c r="G539" s="1" t="str">
        <f>_xlfn.XLOOKUP(ITEquipmentTable[[#This Row],[Name]], IntuneData[Device name], IntuneData[Serial number], "")</f>
        <v/>
      </c>
      <c r="H539" s="1" t="s">
        <v>302</v>
      </c>
      <c r="K539" s="154" t="s">
        <v>226</v>
      </c>
      <c r="L539" s="1" t="str">
        <f>_xlfn.LET(
_xlpm.look, _xlfn.XLOOKUP(ITEquipmentTable[[#This Row],[Name]], VNCTable[ClientName], VNCTable[IP], ""),
_xlpm.chkk, IF(ITEquipmentTable[[#This Row],[IPv4 Address]] = "N/A", "N/A", _xlpm.look),
IF(ITEquipmentTable[[#This Row],[Name]] = "", "", _xlpm.chkk))</f>
        <v>N/A</v>
      </c>
      <c r="M539" s="1" t="s">
        <v>226</v>
      </c>
      <c r="N539" s="159" t="str">
        <f>_xlfn.LET(_xlpm.emp, IF(_xlfn.XLOOKUP(ITEquipmentTable[[#This Row],[Assigned Employee]], EmployeeTable[name], EmployeeTable[Active], TRUE), "Employee", "Recover"),
IF(ITEquipmentTable[[#This Row],[Storage Location]] = "Assigned to Employee", _xlpm.emp, "N/A"))</f>
        <v>N/A</v>
      </c>
      <c r="O539" s="159" t="str" cm="1">
        <f t="array" ref="O53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3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39" s="1" t="s">
        <v>312</v>
      </c>
    </row>
    <row r="540" spans="1:19" s="1" customFormat="1" hidden="1" x14ac:dyDescent="0.2">
      <c r="A540" s="155">
        <v>445</v>
      </c>
      <c r="B540" s="1" t="s">
        <v>356</v>
      </c>
      <c r="C540" s="1" t="s">
        <v>443</v>
      </c>
      <c r="D540" s="1" t="s">
        <v>444</v>
      </c>
      <c r="E540" s="1" t="s">
        <v>306</v>
      </c>
      <c r="F540" s="195" t="s">
        <v>2001</v>
      </c>
      <c r="G540" s="164" t="str">
        <f>_xlfn.XLOOKUP(ITEquipmentTable[[#This Row],[Name]], IntuneData[Device name], IntuneData[Serial number], "")</f>
        <v/>
      </c>
      <c r="H540" s="1" t="s">
        <v>302</v>
      </c>
      <c r="K540" s="154" t="s">
        <v>226</v>
      </c>
      <c r="L540" s="164" t="str">
        <f>_xlfn.LET(
_xlpm.look, _xlfn.XLOOKUP(ITEquipmentTable[[#This Row],[Name]], VNCTable[ClientName], VNCTable[IP], ""),
_xlpm.chkk, IF(ITEquipmentTable[[#This Row],[IPv4 Address]] = "N/A", "N/A", _xlpm.look),
IF(ITEquipmentTable[[#This Row],[Name]] = "", "", _xlpm.chkk))</f>
        <v>N/A</v>
      </c>
      <c r="M540" s="1" t="s">
        <v>226</v>
      </c>
      <c r="N540" s="159" t="str">
        <f>_xlfn.LET(_xlpm.emp, IF(_xlfn.XLOOKUP(ITEquipmentTable[[#This Row],[Assigned Employee]], EmployeeTable[name], EmployeeTable[Active], TRUE), "Employee", "Recover"),
IF(ITEquipmentTable[[#This Row],[Storage Location]] = "Assigned to Employee", _xlpm.emp, "N/A"))</f>
        <v>N/A</v>
      </c>
      <c r="O540" s="159" t="str" cm="1">
        <f t="array" ref="O54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4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40" s="1" t="s">
        <v>312</v>
      </c>
    </row>
    <row r="541" spans="1:19" s="1" customFormat="1" hidden="1" x14ac:dyDescent="0.2">
      <c r="A541" s="155">
        <v>446</v>
      </c>
      <c r="B541" s="1" t="s">
        <v>356</v>
      </c>
      <c r="C541" s="1" t="s">
        <v>443</v>
      </c>
      <c r="D541" s="1" t="s">
        <v>444</v>
      </c>
      <c r="E541" s="1" t="s">
        <v>306</v>
      </c>
      <c r="F541" s="195" t="s">
        <v>2002</v>
      </c>
      <c r="G541" s="164" t="str">
        <f>_xlfn.XLOOKUP(ITEquipmentTable[[#This Row],[Name]], IntuneData[Device name], IntuneData[Serial number], "")</f>
        <v/>
      </c>
      <c r="H541" s="1" t="s">
        <v>302</v>
      </c>
      <c r="K541" s="154" t="s">
        <v>226</v>
      </c>
      <c r="L541" s="164" t="str">
        <f>_xlfn.LET(
_xlpm.look, _xlfn.XLOOKUP(ITEquipmentTable[[#This Row],[Name]], VNCTable[ClientName], VNCTable[IP], ""),
_xlpm.chkk, IF(ITEquipmentTable[[#This Row],[IPv4 Address]] = "N/A", "N/A", _xlpm.look),
IF(ITEquipmentTable[[#This Row],[Name]] = "", "", _xlpm.chkk))</f>
        <v>N/A</v>
      </c>
      <c r="M541" s="1" t="s">
        <v>226</v>
      </c>
      <c r="N541" s="159" t="str">
        <f>_xlfn.LET(_xlpm.emp, IF(_xlfn.XLOOKUP(ITEquipmentTable[[#This Row],[Assigned Employee]], EmployeeTable[name], EmployeeTable[Active], TRUE), "Employee", "Recover"),
IF(ITEquipmentTable[[#This Row],[Storage Location]] = "Assigned to Employee", _xlpm.emp, "N/A"))</f>
        <v>N/A</v>
      </c>
      <c r="O541" s="159" t="str" cm="1">
        <f t="array" ref="O54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4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41" s="1" t="s">
        <v>312</v>
      </c>
    </row>
    <row r="542" spans="1:19" s="1" customFormat="1" hidden="1" x14ac:dyDescent="0.2">
      <c r="A542" s="155">
        <v>447</v>
      </c>
      <c r="B542" s="1" t="s">
        <v>356</v>
      </c>
      <c r="C542" s="1" t="s">
        <v>443</v>
      </c>
      <c r="D542" s="1" t="s">
        <v>444</v>
      </c>
      <c r="E542" s="1" t="s">
        <v>306</v>
      </c>
      <c r="F542" s="195" t="s">
        <v>2003</v>
      </c>
      <c r="G542" s="164" t="str">
        <f>_xlfn.XLOOKUP(ITEquipmentTable[[#This Row],[Name]], IntuneData[Device name], IntuneData[Serial number], "")</f>
        <v/>
      </c>
      <c r="H542" s="1" t="s">
        <v>302</v>
      </c>
      <c r="K542" s="154" t="s">
        <v>226</v>
      </c>
      <c r="L542" s="164" t="str">
        <f>_xlfn.LET(
_xlpm.look, _xlfn.XLOOKUP(ITEquipmentTable[[#This Row],[Name]], VNCTable[ClientName], VNCTable[IP], ""),
_xlpm.chkk, IF(ITEquipmentTable[[#This Row],[IPv4 Address]] = "N/A", "N/A", _xlpm.look),
IF(ITEquipmentTable[[#This Row],[Name]] = "", "", _xlpm.chkk))</f>
        <v>N/A</v>
      </c>
      <c r="M542" s="1" t="s">
        <v>226</v>
      </c>
      <c r="N542" s="159" t="str">
        <f>_xlfn.LET(_xlpm.emp, IF(_xlfn.XLOOKUP(ITEquipmentTable[[#This Row],[Assigned Employee]], EmployeeTable[name], EmployeeTable[Active], TRUE), "Employee", "Recover"),
IF(ITEquipmentTable[[#This Row],[Storage Location]] = "Assigned to Employee", _xlpm.emp, "N/A"))</f>
        <v>N/A</v>
      </c>
      <c r="O542" s="159" t="str" cm="1">
        <f t="array" ref="O54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4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42" s="1" t="s">
        <v>312</v>
      </c>
    </row>
    <row r="543" spans="1:19" s="1" customFormat="1" hidden="1" x14ac:dyDescent="0.2">
      <c r="A543" s="155">
        <v>448</v>
      </c>
      <c r="B543" s="1" t="s">
        <v>356</v>
      </c>
      <c r="C543" s="1" t="s">
        <v>443</v>
      </c>
      <c r="D543" s="1" t="s">
        <v>444</v>
      </c>
      <c r="E543" s="1" t="s">
        <v>306</v>
      </c>
      <c r="F543" s="195" t="s">
        <v>2004</v>
      </c>
      <c r="G543" s="164" t="str">
        <f>_xlfn.XLOOKUP(ITEquipmentTable[[#This Row],[Name]], IntuneData[Device name], IntuneData[Serial number], "")</f>
        <v/>
      </c>
      <c r="H543" s="1" t="s">
        <v>302</v>
      </c>
      <c r="K543" s="154" t="s">
        <v>226</v>
      </c>
      <c r="L543" s="164" t="str">
        <f>_xlfn.LET(
_xlpm.look, _xlfn.XLOOKUP(ITEquipmentTable[[#This Row],[Name]], VNCTable[ClientName], VNCTable[IP], ""),
_xlpm.chkk, IF(ITEquipmentTable[[#This Row],[IPv4 Address]] = "N/A", "N/A", _xlpm.look),
IF(ITEquipmentTable[[#This Row],[Name]] = "", "", _xlpm.chkk))</f>
        <v>N/A</v>
      </c>
      <c r="M543" s="1" t="s">
        <v>226</v>
      </c>
      <c r="N543" s="159" t="str">
        <f>_xlfn.LET(_xlpm.emp, IF(_xlfn.XLOOKUP(ITEquipmentTable[[#This Row],[Assigned Employee]], EmployeeTable[name], EmployeeTable[Active], TRUE), "Employee", "Recover"),
IF(ITEquipmentTable[[#This Row],[Storage Location]] = "Assigned to Employee", _xlpm.emp, "N/A"))</f>
        <v>N/A</v>
      </c>
      <c r="O543" s="159" t="str" cm="1">
        <f t="array" ref="O54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4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43" s="1" t="s">
        <v>312</v>
      </c>
    </row>
    <row r="544" spans="1:19" s="1" customFormat="1" hidden="1" x14ac:dyDescent="0.2">
      <c r="A544" s="155">
        <v>449</v>
      </c>
      <c r="B544" s="1" t="s">
        <v>356</v>
      </c>
      <c r="C544" s="1" t="s">
        <v>443</v>
      </c>
      <c r="D544" s="1" t="s">
        <v>444</v>
      </c>
      <c r="E544" s="1" t="s">
        <v>306</v>
      </c>
      <c r="F544" s="195" t="s">
        <v>2005</v>
      </c>
      <c r="G544" s="164" t="str">
        <f>_xlfn.XLOOKUP(ITEquipmentTable[[#This Row],[Name]], IntuneData[Device name], IntuneData[Serial number], "")</f>
        <v/>
      </c>
      <c r="H544" s="1" t="s">
        <v>302</v>
      </c>
      <c r="K544" s="154" t="s">
        <v>226</v>
      </c>
      <c r="L544" s="164" t="str">
        <f>_xlfn.LET(
_xlpm.look, _xlfn.XLOOKUP(ITEquipmentTable[[#This Row],[Name]], VNCTable[ClientName], VNCTable[IP], ""),
_xlpm.chkk, IF(ITEquipmentTable[[#This Row],[IPv4 Address]] = "N/A", "N/A", _xlpm.look),
IF(ITEquipmentTable[[#This Row],[Name]] = "", "", _xlpm.chkk))</f>
        <v>N/A</v>
      </c>
      <c r="M544" s="1" t="s">
        <v>226</v>
      </c>
      <c r="N544" s="159" t="str">
        <f>_xlfn.LET(_xlpm.emp, IF(_xlfn.XLOOKUP(ITEquipmentTable[[#This Row],[Assigned Employee]], EmployeeTable[name], EmployeeTable[Active], TRUE), "Employee", "Recover"),
IF(ITEquipmentTable[[#This Row],[Storage Location]] = "Assigned to Employee", _xlpm.emp, "N/A"))</f>
        <v>N/A</v>
      </c>
      <c r="O544" s="159" t="str" cm="1">
        <f t="array" ref="O54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4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44" s="1" t="s">
        <v>312</v>
      </c>
    </row>
    <row r="545" spans="1:18" s="1" customFormat="1" hidden="1" x14ac:dyDescent="0.2">
      <c r="A545" s="155">
        <v>450</v>
      </c>
      <c r="B545" s="1" t="s">
        <v>356</v>
      </c>
      <c r="C545" s="1" t="s">
        <v>443</v>
      </c>
      <c r="D545" s="1" t="s">
        <v>444</v>
      </c>
      <c r="E545" s="1" t="s">
        <v>306</v>
      </c>
      <c r="F545" s="195" t="s">
        <v>2006</v>
      </c>
      <c r="G545" s="164" t="str">
        <f>_xlfn.XLOOKUP(ITEquipmentTable[[#This Row],[Name]], IntuneData[Device name], IntuneData[Serial number], "")</f>
        <v/>
      </c>
      <c r="H545" s="1" t="s">
        <v>302</v>
      </c>
      <c r="K545" s="154" t="s">
        <v>226</v>
      </c>
      <c r="L545" s="164" t="str">
        <f>_xlfn.LET(
_xlpm.look, _xlfn.XLOOKUP(ITEquipmentTable[[#This Row],[Name]], VNCTable[ClientName], VNCTable[IP], ""),
_xlpm.chkk, IF(ITEquipmentTable[[#This Row],[IPv4 Address]] = "N/A", "N/A", _xlpm.look),
IF(ITEquipmentTable[[#This Row],[Name]] = "", "", _xlpm.chkk))</f>
        <v>N/A</v>
      </c>
      <c r="M545" s="1" t="s">
        <v>226</v>
      </c>
      <c r="N545" s="159" t="str">
        <f>_xlfn.LET(_xlpm.emp, IF(_xlfn.XLOOKUP(ITEquipmentTable[[#This Row],[Assigned Employee]], EmployeeTable[name], EmployeeTable[Active], TRUE), "Employee", "Recover"),
IF(ITEquipmentTable[[#This Row],[Storage Location]] = "Assigned to Employee", _xlpm.emp, "N/A"))</f>
        <v>N/A</v>
      </c>
      <c r="O545" s="159" t="str" cm="1">
        <f t="array" ref="O54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4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45" s="1" t="s">
        <v>312</v>
      </c>
    </row>
    <row r="546" spans="1:18" s="1" customFormat="1" hidden="1" x14ac:dyDescent="0.2">
      <c r="A546" s="155">
        <v>451</v>
      </c>
      <c r="B546" s="1" t="s">
        <v>356</v>
      </c>
      <c r="C546" s="1" t="s">
        <v>443</v>
      </c>
      <c r="D546" s="1" t="s">
        <v>444</v>
      </c>
      <c r="E546" s="1" t="s">
        <v>306</v>
      </c>
      <c r="F546" s="195" t="s">
        <v>2007</v>
      </c>
      <c r="G546" s="164" t="str">
        <f>_xlfn.XLOOKUP(ITEquipmentTable[[#This Row],[Name]], IntuneData[Device name], IntuneData[Serial number], "")</f>
        <v/>
      </c>
      <c r="H546" s="1" t="s">
        <v>302</v>
      </c>
      <c r="K546" s="154" t="s">
        <v>226</v>
      </c>
      <c r="L546" s="164" t="str">
        <f>_xlfn.LET(
_xlpm.look, _xlfn.XLOOKUP(ITEquipmentTable[[#This Row],[Name]], VNCTable[ClientName], VNCTable[IP], ""),
_xlpm.chkk, IF(ITEquipmentTable[[#This Row],[IPv4 Address]] = "N/A", "N/A", _xlpm.look),
IF(ITEquipmentTable[[#This Row],[Name]] = "", "", _xlpm.chkk))</f>
        <v>N/A</v>
      </c>
      <c r="M546" s="1" t="s">
        <v>226</v>
      </c>
      <c r="N546" s="159" t="str">
        <f>_xlfn.LET(_xlpm.emp, IF(_xlfn.XLOOKUP(ITEquipmentTable[[#This Row],[Assigned Employee]], EmployeeTable[name], EmployeeTable[Active], TRUE), "Employee", "Recover"),
IF(ITEquipmentTable[[#This Row],[Storage Location]] = "Assigned to Employee", _xlpm.emp, "N/A"))</f>
        <v>N/A</v>
      </c>
      <c r="O546" s="159" t="str" cm="1">
        <f t="array" ref="O54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4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46" s="1" t="s">
        <v>312</v>
      </c>
    </row>
    <row r="547" spans="1:18" s="1" customFormat="1" hidden="1" x14ac:dyDescent="0.2">
      <c r="A547" s="155">
        <v>452</v>
      </c>
      <c r="B547" s="1" t="s">
        <v>356</v>
      </c>
      <c r="C547" s="1" t="s">
        <v>443</v>
      </c>
      <c r="D547" s="1" t="s">
        <v>444</v>
      </c>
      <c r="E547" s="1" t="s">
        <v>306</v>
      </c>
      <c r="F547" s="195" t="s">
        <v>2008</v>
      </c>
      <c r="G547" s="164" t="str">
        <f>_xlfn.XLOOKUP(ITEquipmentTable[[#This Row],[Name]], IntuneData[Device name], IntuneData[Serial number], "")</f>
        <v/>
      </c>
      <c r="H547" s="1" t="s">
        <v>302</v>
      </c>
      <c r="K547" s="154" t="s">
        <v>226</v>
      </c>
      <c r="L547" s="164" t="str">
        <f>_xlfn.LET(
_xlpm.look, _xlfn.XLOOKUP(ITEquipmentTable[[#This Row],[Name]], VNCTable[ClientName], VNCTable[IP], ""),
_xlpm.chkk, IF(ITEquipmentTable[[#This Row],[IPv4 Address]] = "N/A", "N/A", _xlpm.look),
IF(ITEquipmentTable[[#This Row],[Name]] = "", "", _xlpm.chkk))</f>
        <v>N/A</v>
      </c>
      <c r="M547" s="1" t="s">
        <v>226</v>
      </c>
      <c r="N547" s="159" t="str">
        <f>_xlfn.LET(_xlpm.emp, IF(_xlfn.XLOOKUP(ITEquipmentTable[[#This Row],[Assigned Employee]], EmployeeTable[name], EmployeeTable[Active], TRUE), "Employee", "Recover"),
IF(ITEquipmentTable[[#This Row],[Storage Location]] = "Assigned to Employee", _xlpm.emp, "N/A"))</f>
        <v>N/A</v>
      </c>
      <c r="O547" s="159" t="str" cm="1">
        <f t="array" ref="O54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4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47" s="1" t="s">
        <v>312</v>
      </c>
    </row>
    <row r="548" spans="1:18" s="1" customFormat="1" hidden="1" x14ac:dyDescent="0.2">
      <c r="A548" s="155">
        <v>453</v>
      </c>
      <c r="B548" s="1" t="s">
        <v>356</v>
      </c>
      <c r="C548" s="1" t="s">
        <v>443</v>
      </c>
      <c r="D548" s="1" t="s">
        <v>444</v>
      </c>
      <c r="E548" s="1" t="s">
        <v>306</v>
      </c>
      <c r="F548" s="195" t="s">
        <v>2009</v>
      </c>
      <c r="G548" s="1" t="str">
        <f>_xlfn.XLOOKUP(ITEquipmentTable[[#This Row],[Name]], IntuneData[Device name], IntuneData[Serial number], "")</f>
        <v/>
      </c>
      <c r="H548" s="1" t="s">
        <v>302</v>
      </c>
      <c r="K548" s="154" t="s">
        <v>226</v>
      </c>
      <c r="L548" s="1" t="str">
        <f>_xlfn.LET(
_xlpm.look, _xlfn.XLOOKUP(ITEquipmentTable[[#This Row],[Name]], VNCTable[ClientName], VNCTable[IP], ""),
_xlpm.chkk, IF(ITEquipmentTable[[#This Row],[IPv4 Address]] = "N/A", "N/A", _xlpm.look),
IF(ITEquipmentTable[[#This Row],[Name]] = "", "", _xlpm.chkk))</f>
        <v>N/A</v>
      </c>
      <c r="M548" s="1" t="s">
        <v>226</v>
      </c>
      <c r="N548" s="159" t="str">
        <f>_xlfn.LET(_xlpm.emp, IF(_xlfn.XLOOKUP(ITEquipmentTable[[#This Row],[Assigned Employee]], EmployeeTable[name], EmployeeTable[Active], TRUE), "Employee", "Recover"),
IF(ITEquipmentTable[[#This Row],[Storage Location]] = "Assigned to Employee", _xlpm.emp, "N/A"))</f>
        <v>N/A</v>
      </c>
      <c r="O548" s="159" t="str" cm="1">
        <f t="array" ref="O54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4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48" s="1" t="s">
        <v>312</v>
      </c>
    </row>
    <row r="549" spans="1:18" s="1" customFormat="1" hidden="1" x14ac:dyDescent="0.2">
      <c r="A549" s="155">
        <v>454</v>
      </c>
      <c r="B549" s="1" t="s">
        <v>356</v>
      </c>
      <c r="C549" s="1" t="s">
        <v>443</v>
      </c>
      <c r="D549" s="1" t="s">
        <v>444</v>
      </c>
      <c r="E549" s="1" t="s">
        <v>306</v>
      </c>
      <c r="F549" s="195" t="s">
        <v>2010</v>
      </c>
      <c r="G549" s="1" t="str">
        <f>_xlfn.XLOOKUP(ITEquipmentTable[[#This Row],[Name]], IntuneData[Device name], IntuneData[Serial number], "")</f>
        <v/>
      </c>
      <c r="H549" s="1" t="s">
        <v>302</v>
      </c>
      <c r="K549" s="154" t="s">
        <v>226</v>
      </c>
      <c r="L549" s="1" t="str">
        <f>_xlfn.LET(
_xlpm.look, _xlfn.XLOOKUP(ITEquipmentTable[[#This Row],[Name]], VNCTable[ClientName], VNCTable[IP], ""),
_xlpm.chkk, IF(ITEquipmentTable[[#This Row],[IPv4 Address]] = "N/A", "N/A", _xlpm.look),
IF(ITEquipmentTable[[#This Row],[Name]] = "", "", _xlpm.chkk))</f>
        <v>N/A</v>
      </c>
      <c r="M549" s="1" t="s">
        <v>226</v>
      </c>
      <c r="N549" s="159" t="str">
        <f>_xlfn.LET(_xlpm.emp, IF(_xlfn.XLOOKUP(ITEquipmentTable[[#This Row],[Assigned Employee]], EmployeeTable[name], EmployeeTable[Active], TRUE), "Employee", "Recover"),
IF(ITEquipmentTable[[#This Row],[Storage Location]] = "Assigned to Employee", _xlpm.emp, "N/A"))</f>
        <v>N/A</v>
      </c>
      <c r="O549" s="159" t="str" cm="1">
        <f t="array" ref="O54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4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49" s="1" t="s">
        <v>312</v>
      </c>
    </row>
    <row r="550" spans="1:18" s="1" customFormat="1" hidden="1" x14ac:dyDescent="0.2">
      <c r="A550" s="155">
        <v>455</v>
      </c>
      <c r="B550" s="1" t="s">
        <v>356</v>
      </c>
      <c r="C550" s="1" t="s">
        <v>443</v>
      </c>
      <c r="D550" s="1" t="s">
        <v>444</v>
      </c>
      <c r="E550" s="1" t="s">
        <v>306</v>
      </c>
      <c r="F550" s="195" t="s">
        <v>2011</v>
      </c>
      <c r="G550" s="1" t="str">
        <f>_xlfn.XLOOKUP(ITEquipmentTable[[#This Row],[Name]], IntuneData[Device name], IntuneData[Serial number], "")</f>
        <v/>
      </c>
      <c r="H550" s="1" t="s">
        <v>302</v>
      </c>
      <c r="K550" s="154" t="s">
        <v>226</v>
      </c>
      <c r="L550" s="1" t="str">
        <f>_xlfn.LET(
_xlpm.look, _xlfn.XLOOKUP(ITEquipmentTable[[#This Row],[Name]], VNCTable[ClientName], VNCTable[IP], ""),
_xlpm.chkk, IF(ITEquipmentTable[[#This Row],[IPv4 Address]] = "N/A", "N/A", _xlpm.look),
IF(ITEquipmentTable[[#This Row],[Name]] = "", "", _xlpm.chkk))</f>
        <v>N/A</v>
      </c>
      <c r="M550" s="1" t="s">
        <v>226</v>
      </c>
      <c r="N550" s="159" t="str">
        <f>_xlfn.LET(_xlpm.emp, IF(_xlfn.XLOOKUP(ITEquipmentTable[[#This Row],[Assigned Employee]], EmployeeTable[name], EmployeeTable[Active], TRUE), "Employee", "Recover"),
IF(ITEquipmentTable[[#This Row],[Storage Location]] = "Assigned to Employee", _xlpm.emp, "N/A"))</f>
        <v>N/A</v>
      </c>
      <c r="O550" s="159" t="str" cm="1">
        <f t="array" ref="O55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5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50" s="1" t="s">
        <v>312</v>
      </c>
    </row>
    <row r="551" spans="1:18" s="1" customFormat="1" hidden="1" x14ac:dyDescent="0.2">
      <c r="A551" s="155">
        <v>456</v>
      </c>
      <c r="B551" s="1" t="s">
        <v>356</v>
      </c>
      <c r="C551" s="1" t="s">
        <v>443</v>
      </c>
      <c r="D551" s="1" t="s">
        <v>444</v>
      </c>
      <c r="E551" s="1" t="s">
        <v>306</v>
      </c>
      <c r="F551" s="195" t="s">
        <v>2012</v>
      </c>
      <c r="G551" s="1" t="str">
        <f>_xlfn.XLOOKUP(ITEquipmentTable[[#This Row],[Name]], IntuneData[Device name], IntuneData[Serial number], "")</f>
        <v/>
      </c>
      <c r="H551" s="1" t="s">
        <v>302</v>
      </c>
      <c r="K551" s="154" t="s">
        <v>226</v>
      </c>
      <c r="L551" s="1" t="str">
        <f>_xlfn.LET(
_xlpm.look, _xlfn.XLOOKUP(ITEquipmentTable[[#This Row],[Name]], VNCTable[ClientName], VNCTable[IP], ""),
_xlpm.chkk, IF(ITEquipmentTable[[#This Row],[IPv4 Address]] = "N/A", "N/A", _xlpm.look),
IF(ITEquipmentTable[[#This Row],[Name]] = "", "", _xlpm.chkk))</f>
        <v>N/A</v>
      </c>
      <c r="M551" s="1" t="s">
        <v>226</v>
      </c>
      <c r="N551" s="159" t="str">
        <f>_xlfn.LET(_xlpm.emp, IF(_xlfn.XLOOKUP(ITEquipmentTable[[#This Row],[Assigned Employee]], EmployeeTable[name], EmployeeTable[Active], TRUE), "Employee", "Recover"),
IF(ITEquipmentTable[[#This Row],[Storage Location]] = "Assigned to Employee", _xlpm.emp, "N/A"))</f>
        <v>N/A</v>
      </c>
      <c r="O551" s="159" t="str" cm="1">
        <f t="array" ref="O55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5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51" s="1" t="s">
        <v>312</v>
      </c>
    </row>
    <row r="552" spans="1:18" s="1" customFormat="1" hidden="1" x14ac:dyDescent="0.2">
      <c r="A552" s="155">
        <v>457</v>
      </c>
      <c r="B552" s="1" t="s">
        <v>356</v>
      </c>
      <c r="C552" s="1" t="s">
        <v>443</v>
      </c>
      <c r="D552" s="1" t="s">
        <v>444</v>
      </c>
      <c r="E552" s="1" t="s">
        <v>306</v>
      </c>
      <c r="F552" s="195" t="s">
        <v>2013</v>
      </c>
      <c r="G552" s="1" t="str">
        <f>_xlfn.XLOOKUP(ITEquipmentTable[[#This Row],[Name]], IntuneData[Device name], IntuneData[Serial number], "")</f>
        <v/>
      </c>
      <c r="H552" s="1" t="s">
        <v>302</v>
      </c>
      <c r="K552" s="154" t="s">
        <v>226</v>
      </c>
      <c r="L552" s="1" t="str">
        <f>_xlfn.LET(
_xlpm.look, _xlfn.XLOOKUP(ITEquipmentTable[[#This Row],[Name]], VNCTable[ClientName], VNCTable[IP], ""),
_xlpm.chkk, IF(ITEquipmentTable[[#This Row],[IPv4 Address]] = "N/A", "N/A", _xlpm.look),
IF(ITEquipmentTable[[#This Row],[Name]] = "", "", _xlpm.chkk))</f>
        <v>N/A</v>
      </c>
      <c r="M552" s="1" t="s">
        <v>226</v>
      </c>
      <c r="N552" s="159" t="str">
        <f>_xlfn.LET(_xlpm.emp, IF(_xlfn.XLOOKUP(ITEquipmentTable[[#This Row],[Assigned Employee]], EmployeeTable[name], EmployeeTable[Active], TRUE), "Employee", "Recover"),
IF(ITEquipmentTable[[#This Row],[Storage Location]] = "Assigned to Employee", _xlpm.emp, "N/A"))</f>
        <v>N/A</v>
      </c>
      <c r="O552" s="159" t="str" cm="1">
        <f t="array" ref="O55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5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52" s="1" t="s">
        <v>312</v>
      </c>
    </row>
    <row r="553" spans="1:18" s="1" customFormat="1" hidden="1" x14ac:dyDescent="0.2">
      <c r="A553" s="155">
        <v>458</v>
      </c>
      <c r="B553" s="1" t="s">
        <v>356</v>
      </c>
      <c r="C553" s="1" t="s">
        <v>443</v>
      </c>
      <c r="D553" s="1" t="s">
        <v>444</v>
      </c>
      <c r="E553" s="1" t="s">
        <v>306</v>
      </c>
      <c r="F553" s="195" t="s">
        <v>2014</v>
      </c>
      <c r="G553" s="164" t="str">
        <f>_xlfn.XLOOKUP(ITEquipmentTable[[#This Row],[Name]], IntuneData[Device name], IntuneData[Serial number], "")</f>
        <v/>
      </c>
      <c r="H553" s="1" t="s">
        <v>302</v>
      </c>
      <c r="K553" s="154" t="s">
        <v>226</v>
      </c>
      <c r="L553" s="164" t="str">
        <f>_xlfn.LET(
_xlpm.look, _xlfn.XLOOKUP(ITEquipmentTable[[#This Row],[Name]], VNCTable[ClientName], VNCTable[IP], ""),
_xlpm.chkk, IF(ITEquipmentTable[[#This Row],[IPv4 Address]] = "N/A", "N/A", _xlpm.look),
IF(ITEquipmentTable[[#This Row],[Name]] = "", "", _xlpm.chkk))</f>
        <v>N/A</v>
      </c>
      <c r="M553" s="1" t="s">
        <v>226</v>
      </c>
      <c r="N553" s="159" t="str">
        <f>_xlfn.LET(_xlpm.emp, IF(_xlfn.XLOOKUP(ITEquipmentTable[[#This Row],[Assigned Employee]], EmployeeTable[name], EmployeeTable[Active], TRUE), "Employee", "Recover"),
IF(ITEquipmentTable[[#This Row],[Storage Location]] = "Assigned to Employee", _xlpm.emp, "N/A"))</f>
        <v>N/A</v>
      </c>
      <c r="O553" s="159" t="str" cm="1">
        <f t="array" ref="O55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5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53" s="1" t="s">
        <v>312</v>
      </c>
    </row>
    <row r="554" spans="1:18" s="1" customFormat="1" hidden="1" x14ac:dyDescent="0.2">
      <c r="A554" s="155">
        <v>459</v>
      </c>
      <c r="B554" s="1" t="s">
        <v>356</v>
      </c>
      <c r="C554" s="1" t="s">
        <v>443</v>
      </c>
      <c r="D554" s="1" t="s">
        <v>444</v>
      </c>
      <c r="E554" s="1" t="s">
        <v>306</v>
      </c>
      <c r="F554" s="195" t="s">
        <v>2015</v>
      </c>
      <c r="G554" s="164" t="str">
        <f>_xlfn.XLOOKUP(ITEquipmentTable[[#This Row],[Name]], IntuneData[Device name], IntuneData[Serial number], "")</f>
        <v/>
      </c>
      <c r="H554" s="1" t="s">
        <v>302</v>
      </c>
      <c r="K554" s="154" t="s">
        <v>226</v>
      </c>
      <c r="L554" s="164" t="str">
        <f>_xlfn.LET(
_xlpm.look, _xlfn.XLOOKUP(ITEquipmentTable[[#This Row],[Name]], VNCTable[ClientName], VNCTable[IP], ""),
_xlpm.chkk, IF(ITEquipmentTable[[#This Row],[IPv4 Address]] = "N/A", "N/A", _xlpm.look),
IF(ITEquipmentTable[[#This Row],[Name]] = "", "", _xlpm.chkk))</f>
        <v>N/A</v>
      </c>
      <c r="M554" s="1" t="s">
        <v>226</v>
      </c>
      <c r="N554" s="159" t="str">
        <f>_xlfn.LET(_xlpm.emp, IF(_xlfn.XLOOKUP(ITEquipmentTable[[#This Row],[Assigned Employee]], EmployeeTable[name], EmployeeTable[Active], TRUE), "Employee", "Recover"),
IF(ITEquipmentTable[[#This Row],[Storage Location]] = "Assigned to Employee", _xlpm.emp, "N/A"))</f>
        <v>N/A</v>
      </c>
      <c r="O554" s="159" t="str" cm="1">
        <f t="array" ref="O55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5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54" s="1" t="s">
        <v>312</v>
      </c>
    </row>
    <row r="555" spans="1:18" s="1" customFormat="1" hidden="1" x14ac:dyDescent="0.2">
      <c r="A555" s="155">
        <v>460</v>
      </c>
      <c r="B555" s="1" t="s">
        <v>356</v>
      </c>
      <c r="C555" s="1" t="s">
        <v>443</v>
      </c>
      <c r="D555" s="1" t="s">
        <v>444</v>
      </c>
      <c r="E555" s="1" t="s">
        <v>306</v>
      </c>
      <c r="F555" s="195" t="s">
        <v>2016</v>
      </c>
      <c r="G555" s="164" t="str">
        <f>_xlfn.XLOOKUP(ITEquipmentTable[[#This Row],[Name]], IntuneData[Device name], IntuneData[Serial number], "")</f>
        <v/>
      </c>
      <c r="H555" s="1" t="s">
        <v>302</v>
      </c>
      <c r="K555" s="154" t="s">
        <v>226</v>
      </c>
      <c r="L555" s="164" t="str">
        <f>_xlfn.LET(
_xlpm.look, _xlfn.XLOOKUP(ITEquipmentTable[[#This Row],[Name]], VNCTable[ClientName], VNCTable[IP], ""),
_xlpm.chkk, IF(ITEquipmentTable[[#This Row],[IPv4 Address]] = "N/A", "N/A", _xlpm.look),
IF(ITEquipmentTable[[#This Row],[Name]] = "", "", _xlpm.chkk))</f>
        <v>N/A</v>
      </c>
      <c r="M555" s="1" t="s">
        <v>226</v>
      </c>
      <c r="N555" s="159" t="str">
        <f>_xlfn.LET(_xlpm.emp, IF(_xlfn.XLOOKUP(ITEquipmentTable[[#This Row],[Assigned Employee]], EmployeeTable[name], EmployeeTable[Active], TRUE), "Employee", "Recover"),
IF(ITEquipmentTable[[#This Row],[Storage Location]] = "Assigned to Employee", _xlpm.emp, "N/A"))</f>
        <v>N/A</v>
      </c>
      <c r="O555" s="159" t="str" cm="1">
        <f t="array" ref="O55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5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55" s="1" t="s">
        <v>312</v>
      </c>
    </row>
    <row r="556" spans="1:18" s="1" customFormat="1" hidden="1" x14ac:dyDescent="0.2">
      <c r="A556" s="155">
        <v>461</v>
      </c>
      <c r="B556" s="1" t="s">
        <v>356</v>
      </c>
      <c r="C556" s="1" t="s">
        <v>443</v>
      </c>
      <c r="D556" s="1" t="s">
        <v>444</v>
      </c>
      <c r="E556" s="1" t="s">
        <v>306</v>
      </c>
      <c r="F556" s="195" t="s">
        <v>2017</v>
      </c>
      <c r="G556" s="164" t="str">
        <f>_xlfn.XLOOKUP(ITEquipmentTable[[#This Row],[Name]], IntuneData[Device name], IntuneData[Serial number], "")</f>
        <v/>
      </c>
      <c r="H556" s="1" t="s">
        <v>302</v>
      </c>
      <c r="K556" s="154" t="s">
        <v>226</v>
      </c>
      <c r="L556" s="164" t="str">
        <f>_xlfn.LET(
_xlpm.look, _xlfn.XLOOKUP(ITEquipmentTable[[#This Row],[Name]], VNCTable[ClientName], VNCTable[IP], ""),
_xlpm.chkk, IF(ITEquipmentTable[[#This Row],[IPv4 Address]] = "N/A", "N/A", _xlpm.look),
IF(ITEquipmentTable[[#This Row],[Name]] = "", "", _xlpm.chkk))</f>
        <v>N/A</v>
      </c>
      <c r="M556" s="1" t="s">
        <v>226</v>
      </c>
      <c r="N556" s="159" t="str">
        <f>_xlfn.LET(_xlpm.emp, IF(_xlfn.XLOOKUP(ITEquipmentTable[[#This Row],[Assigned Employee]], EmployeeTable[name], EmployeeTable[Active], TRUE), "Employee", "Recover"),
IF(ITEquipmentTable[[#This Row],[Storage Location]] = "Assigned to Employee", _xlpm.emp, "N/A"))</f>
        <v>N/A</v>
      </c>
      <c r="O556" s="159" t="str" cm="1">
        <f t="array" ref="O55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5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56" s="1" t="s">
        <v>312</v>
      </c>
    </row>
    <row r="557" spans="1:18" s="1" customFormat="1" hidden="1" x14ac:dyDescent="0.2">
      <c r="A557" s="155">
        <v>462</v>
      </c>
      <c r="B557" s="1" t="s">
        <v>356</v>
      </c>
      <c r="C557" s="1" t="s">
        <v>443</v>
      </c>
      <c r="D557" s="1" t="s">
        <v>444</v>
      </c>
      <c r="E557" s="1" t="s">
        <v>306</v>
      </c>
      <c r="F557" s="195" t="s">
        <v>2018</v>
      </c>
      <c r="G557" s="1" t="str">
        <f>_xlfn.XLOOKUP(ITEquipmentTable[[#This Row],[Name]], IntuneData[Device name], IntuneData[Serial number], "")</f>
        <v/>
      </c>
      <c r="H557" s="1" t="s">
        <v>302</v>
      </c>
      <c r="K557" s="154" t="s">
        <v>226</v>
      </c>
      <c r="L557" s="1" t="str">
        <f>_xlfn.LET(
_xlpm.look, _xlfn.XLOOKUP(ITEquipmentTable[[#This Row],[Name]], VNCTable[ClientName], VNCTable[IP], ""),
_xlpm.chkk, IF(ITEquipmentTable[[#This Row],[IPv4 Address]] = "N/A", "N/A", _xlpm.look),
IF(ITEquipmentTable[[#This Row],[Name]] = "", "", _xlpm.chkk))</f>
        <v>N/A</v>
      </c>
      <c r="M557" s="1" t="s">
        <v>226</v>
      </c>
      <c r="N557" s="159" t="str">
        <f>_xlfn.LET(_xlpm.emp, IF(_xlfn.XLOOKUP(ITEquipmentTable[[#This Row],[Assigned Employee]], EmployeeTable[name], EmployeeTable[Active], TRUE), "Employee", "Recover"),
IF(ITEquipmentTable[[#This Row],[Storage Location]] = "Assigned to Employee", _xlpm.emp, "N/A"))</f>
        <v>N/A</v>
      </c>
      <c r="O557" s="159" t="str" cm="1">
        <f t="array" ref="O55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5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57" s="1" t="s">
        <v>312</v>
      </c>
    </row>
    <row r="558" spans="1:18" s="1" customFormat="1" hidden="1" x14ac:dyDescent="0.2">
      <c r="A558" s="155">
        <v>463</v>
      </c>
      <c r="B558" s="1" t="s">
        <v>356</v>
      </c>
      <c r="C558" s="1" t="s">
        <v>443</v>
      </c>
      <c r="D558" s="1" t="s">
        <v>444</v>
      </c>
      <c r="E558" s="1" t="s">
        <v>306</v>
      </c>
      <c r="F558" s="195" t="s">
        <v>2019</v>
      </c>
      <c r="G558" s="164" t="str">
        <f>_xlfn.XLOOKUP(ITEquipmentTable[[#This Row],[Name]], IntuneData[Device name], IntuneData[Serial number], "")</f>
        <v/>
      </c>
      <c r="H558" s="1" t="s">
        <v>302</v>
      </c>
      <c r="K558" s="154" t="s">
        <v>226</v>
      </c>
      <c r="L558" s="164" t="str">
        <f>_xlfn.LET(
_xlpm.look, _xlfn.XLOOKUP(ITEquipmentTable[[#This Row],[Name]], VNCTable[ClientName], VNCTable[IP], ""),
_xlpm.chkk, IF(ITEquipmentTable[[#This Row],[IPv4 Address]] = "N/A", "N/A", _xlpm.look),
IF(ITEquipmentTable[[#This Row],[Name]] = "", "", _xlpm.chkk))</f>
        <v>N/A</v>
      </c>
      <c r="M558" s="1" t="s">
        <v>226</v>
      </c>
      <c r="N558" s="159" t="str">
        <f>_xlfn.LET(_xlpm.emp, IF(_xlfn.XLOOKUP(ITEquipmentTable[[#This Row],[Assigned Employee]], EmployeeTable[name], EmployeeTable[Active], TRUE), "Employee", "Recover"),
IF(ITEquipmentTable[[#This Row],[Storage Location]] = "Assigned to Employee", _xlpm.emp, "N/A"))</f>
        <v>N/A</v>
      </c>
      <c r="O558" s="159" t="str" cm="1">
        <f t="array" ref="O55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5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58" s="1" t="s">
        <v>312</v>
      </c>
    </row>
    <row r="559" spans="1:18" s="1" customFormat="1" hidden="1" x14ac:dyDescent="0.2">
      <c r="A559" s="155">
        <v>464</v>
      </c>
      <c r="B559" s="1" t="s">
        <v>356</v>
      </c>
      <c r="C559" s="1" t="s">
        <v>443</v>
      </c>
      <c r="D559" s="1" t="s">
        <v>444</v>
      </c>
      <c r="E559" s="1" t="s">
        <v>306</v>
      </c>
      <c r="F559" s="195" t="s">
        <v>2020</v>
      </c>
      <c r="G559" s="164" t="str">
        <f>_xlfn.XLOOKUP(ITEquipmentTable[[#This Row],[Name]], IntuneData[Device name], IntuneData[Serial number], "")</f>
        <v/>
      </c>
      <c r="H559" s="1" t="s">
        <v>302</v>
      </c>
      <c r="K559" s="154" t="s">
        <v>226</v>
      </c>
      <c r="L559" s="164" t="str">
        <f>_xlfn.LET(
_xlpm.look, _xlfn.XLOOKUP(ITEquipmentTable[[#This Row],[Name]], VNCTable[ClientName], VNCTable[IP], ""),
_xlpm.chkk, IF(ITEquipmentTable[[#This Row],[IPv4 Address]] = "N/A", "N/A", _xlpm.look),
IF(ITEquipmentTable[[#This Row],[Name]] = "", "", _xlpm.chkk))</f>
        <v>N/A</v>
      </c>
      <c r="M559" s="1" t="s">
        <v>226</v>
      </c>
      <c r="N559" s="159" t="str">
        <f>_xlfn.LET(_xlpm.emp, IF(_xlfn.XLOOKUP(ITEquipmentTable[[#This Row],[Assigned Employee]], EmployeeTable[name], EmployeeTable[Active], TRUE), "Employee", "Recover"),
IF(ITEquipmentTable[[#This Row],[Storage Location]] = "Assigned to Employee", _xlpm.emp, "N/A"))</f>
        <v>N/A</v>
      </c>
      <c r="O559" s="159" t="str" cm="1">
        <f t="array" ref="O55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5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59" s="1" t="s">
        <v>312</v>
      </c>
    </row>
    <row r="560" spans="1:18" s="1" customFormat="1" hidden="1" x14ac:dyDescent="0.2">
      <c r="A560" s="155">
        <v>465</v>
      </c>
      <c r="B560" s="1" t="s">
        <v>356</v>
      </c>
      <c r="C560" s="1" t="s">
        <v>443</v>
      </c>
      <c r="D560" s="1" t="s">
        <v>444</v>
      </c>
      <c r="E560" s="1" t="s">
        <v>306</v>
      </c>
      <c r="F560" s="195" t="s">
        <v>2021</v>
      </c>
      <c r="G560" s="164" t="str">
        <f>_xlfn.XLOOKUP(ITEquipmentTable[[#This Row],[Name]], IntuneData[Device name], IntuneData[Serial number], "")</f>
        <v/>
      </c>
      <c r="H560" s="1" t="s">
        <v>302</v>
      </c>
      <c r="K560" s="154" t="s">
        <v>226</v>
      </c>
      <c r="L560" s="164" t="str">
        <f>_xlfn.LET(
_xlpm.look, _xlfn.XLOOKUP(ITEquipmentTable[[#This Row],[Name]], VNCTable[ClientName], VNCTable[IP], ""),
_xlpm.chkk, IF(ITEquipmentTable[[#This Row],[IPv4 Address]] = "N/A", "N/A", _xlpm.look),
IF(ITEquipmentTable[[#This Row],[Name]] = "", "", _xlpm.chkk))</f>
        <v>N/A</v>
      </c>
      <c r="M560" s="1" t="s">
        <v>226</v>
      </c>
      <c r="N560" s="159" t="str">
        <f>_xlfn.LET(_xlpm.emp, IF(_xlfn.XLOOKUP(ITEquipmentTable[[#This Row],[Assigned Employee]], EmployeeTable[name], EmployeeTable[Active], TRUE), "Employee", "Recover"),
IF(ITEquipmentTable[[#This Row],[Storage Location]] = "Assigned to Employee", _xlpm.emp, "N/A"))</f>
        <v>N/A</v>
      </c>
      <c r="O560" s="159" t="str" cm="1">
        <f t="array" ref="O56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6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60" s="1" t="s">
        <v>312</v>
      </c>
    </row>
    <row r="561" spans="1:19" s="1" customFormat="1" hidden="1" x14ac:dyDescent="0.2">
      <c r="A561" s="155">
        <v>466</v>
      </c>
      <c r="B561" s="1" t="s">
        <v>356</v>
      </c>
      <c r="C561" s="1" t="s">
        <v>443</v>
      </c>
      <c r="D561" s="1" t="s">
        <v>444</v>
      </c>
      <c r="E561" s="1" t="s">
        <v>306</v>
      </c>
      <c r="F561" s="195" t="s">
        <v>2022</v>
      </c>
      <c r="G561" s="1" t="str">
        <f>_xlfn.XLOOKUP(ITEquipmentTable[[#This Row],[Name]], IntuneData[Device name], IntuneData[Serial number], "")</f>
        <v/>
      </c>
      <c r="H561" s="1" t="s">
        <v>302</v>
      </c>
      <c r="K561" s="154" t="s">
        <v>226</v>
      </c>
      <c r="L561" s="1" t="str">
        <f>_xlfn.LET(
_xlpm.look, _xlfn.XLOOKUP(ITEquipmentTable[[#This Row],[Name]], VNCTable[ClientName], VNCTable[IP], ""),
_xlpm.chkk, IF(ITEquipmentTable[[#This Row],[IPv4 Address]] = "N/A", "N/A", _xlpm.look),
IF(ITEquipmentTable[[#This Row],[Name]] = "", "", _xlpm.chkk))</f>
        <v>N/A</v>
      </c>
      <c r="M561" s="1" t="s">
        <v>226</v>
      </c>
      <c r="N561" s="159" t="str">
        <f>_xlfn.LET(_xlpm.emp, IF(_xlfn.XLOOKUP(ITEquipmentTable[[#This Row],[Assigned Employee]], EmployeeTable[name], EmployeeTable[Active], TRUE), "Employee", "Recover"),
IF(ITEquipmentTable[[#This Row],[Storage Location]] = "Assigned to Employee", _xlpm.emp, "N/A"))</f>
        <v>N/A</v>
      </c>
      <c r="O561" s="159" t="str" cm="1">
        <f t="array" ref="O56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6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61" s="1" t="s">
        <v>312</v>
      </c>
    </row>
    <row r="562" spans="1:19" s="1" customFormat="1" hidden="1" x14ac:dyDescent="0.2">
      <c r="A562" s="155">
        <v>467</v>
      </c>
      <c r="B562" s="1" t="s">
        <v>356</v>
      </c>
      <c r="C562" s="1" t="s">
        <v>443</v>
      </c>
      <c r="D562" s="1" t="s">
        <v>2023</v>
      </c>
      <c r="E562" s="1" t="s">
        <v>306</v>
      </c>
      <c r="F562" s="195" t="s">
        <v>2024</v>
      </c>
      <c r="G562" s="1" t="str">
        <f>_xlfn.XLOOKUP(ITEquipmentTable[[#This Row],[Name]], IntuneData[Device name], IntuneData[Serial number], "")</f>
        <v/>
      </c>
      <c r="H562" s="1" t="s">
        <v>302</v>
      </c>
      <c r="K562" s="154" t="s">
        <v>226</v>
      </c>
      <c r="L562" s="1" t="str">
        <f>_xlfn.LET(
_xlpm.look, _xlfn.XLOOKUP(ITEquipmentTable[[#This Row],[Name]], VNCTable[ClientName], VNCTable[IP], ""),
_xlpm.chkk, IF(ITEquipmentTable[[#This Row],[IPv4 Address]] = "N/A", "N/A", _xlpm.look),
IF(ITEquipmentTable[[#This Row],[Name]] = "", "", _xlpm.chkk))</f>
        <v>N/A</v>
      </c>
      <c r="M562" s="1" t="s">
        <v>226</v>
      </c>
      <c r="N562" s="159" t="str">
        <f>_xlfn.LET(_xlpm.emp, IF(_xlfn.XLOOKUP(ITEquipmentTable[[#This Row],[Assigned Employee]], EmployeeTable[name], EmployeeTable[Active], TRUE), "Employee", "Recover"),
IF(ITEquipmentTable[[#This Row],[Storage Location]] = "Assigned to Employee", _xlpm.emp, "N/A"))</f>
        <v>N/A</v>
      </c>
      <c r="O562" s="159" t="str" cm="1">
        <f t="array" ref="O56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6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62" s="1" t="s">
        <v>312</v>
      </c>
    </row>
    <row r="563" spans="1:19" s="1" customFormat="1" hidden="1" x14ac:dyDescent="0.2">
      <c r="A563" s="155">
        <v>468</v>
      </c>
      <c r="B563" s="1" t="s">
        <v>356</v>
      </c>
      <c r="C563" s="1" t="s">
        <v>443</v>
      </c>
      <c r="D563" s="1" t="s">
        <v>2023</v>
      </c>
      <c r="E563" s="1" t="s">
        <v>306</v>
      </c>
      <c r="F563" s="195" t="s">
        <v>2025</v>
      </c>
      <c r="G563" s="1" t="str">
        <f>_xlfn.XLOOKUP(ITEquipmentTable[[#This Row],[Name]], IntuneData[Device name], IntuneData[Serial number], "")</f>
        <v/>
      </c>
      <c r="H563" s="1" t="s">
        <v>302</v>
      </c>
      <c r="K563" s="154" t="s">
        <v>226</v>
      </c>
      <c r="L563" s="1" t="str">
        <f>_xlfn.LET(
_xlpm.look, _xlfn.XLOOKUP(ITEquipmentTable[[#This Row],[Name]], VNCTable[ClientName], VNCTable[IP], ""),
_xlpm.chkk, IF(ITEquipmentTable[[#This Row],[IPv4 Address]] = "N/A", "N/A", _xlpm.look),
IF(ITEquipmentTable[[#This Row],[Name]] = "", "", _xlpm.chkk))</f>
        <v>N/A</v>
      </c>
      <c r="M563" s="1" t="s">
        <v>226</v>
      </c>
      <c r="N563" s="159" t="str">
        <f>_xlfn.LET(_xlpm.emp, IF(_xlfn.XLOOKUP(ITEquipmentTable[[#This Row],[Assigned Employee]], EmployeeTable[name], EmployeeTable[Active], TRUE), "Employee", "Recover"),
IF(ITEquipmentTable[[#This Row],[Storage Location]] = "Assigned to Employee", _xlpm.emp, "N/A"))</f>
        <v>N/A</v>
      </c>
      <c r="O563" s="159" t="str" cm="1">
        <f t="array" ref="O56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6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63" s="1" t="s">
        <v>312</v>
      </c>
    </row>
    <row r="564" spans="1:19" s="1" customFormat="1" hidden="1" x14ac:dyDescent="0.2">
      <c r="A564" s="155">
        <v>493</v>
      </c>
      <c r="B564" s="1" t="s">
        <v>356</v>
      </c>
      <c r="C564" s="1" t="s">
        <v>403</v>
      </c>
      <c r="D564" s="1" t="s">
        <v>626</v>
      </c>
      <c r="E564" s="1" t="s">
        <v>306</v>
      </c>
      <c r="F564" s="195" t="s">
        <v>627</v>
      </c>
      <c r="G564" s="1" t="str">
        <f>_xlfn.XLOOKUP(ITEquipmentTable[[#This Row],[Name]], IntuneData[Device name], IntuneData[Serial number], "")</f>
        <v/>
      </c>
      <c r="H564" s="1" t="s">
        <v>295</v>
      </c>
      <c r="I564" s="1" t="s">
        <v>628</v>
      </c>
      <c r="K564" s="154" t="s">
        <v>226</v>
      </c>
      <c r="L564" s="1" t="str">
        <f>_xlfn.LET(
_xlpm.look, _xlfn.XLOOKUP(ITEquipmentTable[[#This Row],[Name]], VNCTable[ClientName], VNCTable[IP], ""),
_xlpm.chkk, IF(ITEquipmentTable[[#This Row],[IPv4 Address]] = "N/A", "N/A", _xlpm.look),
IF(ITEquipmentTable[[#This Row],[Name]] = "", "", _xlpm.chkk))</f>
        <v>N/A</v>
      </c>
      <c r="M564" s="1" t="s">
        <v>226</v>
      </c>
      <c r="N564" s="159" t="str">
        <f>_xlfn.LET(_xlpm.emp, IF(_xlfn.XLOOKUP(ITEquipmentTable[[#This Row],[Assigned Employee]], EmployeeTable[name], EmployeeTable[Active], TRUE), "Employee", "Recover"),
IF(ITEquipmentTable[[#This Row],[Storage Location]] = "Assigned to Employee", _xlpm.emp, "N/A"))</f>
        <v>N/A</v>
      </c>
      <c r="O564" s="159" t="str" cm="1">
        <f t="array" ref="O56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6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64" s="193" t="s">
        <v>312</v>
      </c>
    </row>
    <row r="565" spans="1:19" s="1" customFormat="1" hidden="1" x14ac:dyDescent="0.2">
      <c r="A565" s="155">
        <v>494</v>
      </c>
      <c r="B565" s="1" t="s">
        <v>356</v>
      </c>
      <c r="C565" s="1" t="s">
        <v>403</v>
      </c>
      <c r="D565" s="1" t="s">
        <v>626</v>
      </c>
      <c r="E565" s="1" t="s">
        <v>306</v>
      </c>
      <c r="F565" s="195" t="s">
        <v>630</v>
      </c>
      <c r="G565" s="1" t="str">
        <f>_xlfn.XLOOKUP(ITEquipmentTable[[#This Row],[Name]], IntuneData[Device name], IntuneData[Serial number], "")</f>
        <v/>
      </c>
      <c r="H565" s="1" t="s">
        <v>295</v>
      </c>
      <c r="I565" s="1" t="s">
        <v>628</v>
      </c>
      <c r="K565" s="154" t="s">
        <v>226</v>
      </c>
      <c r="L565" s="1" t="str">
        <f>_xlfn.LET(
_xlpm.look, _xlfn.XLOOKUP(ITEquipmentTable[[#This Row],[Name]], VNCTable[ClientName], VNCTable[IP], ""),
_xlpm.chkk, IF(ITEquipmentTable[[#This Row],[IPv4 Address]] = "N/A", "N/A", _xlpm.look),
IF(ITEquipmentTable[[#This Row],[Name]] = "", "", _xlpm.chkk))</f>
        <v>N/A</v>
      </c>
      <c r="M565" s="1" t="s">
        <v>226</v>
      </c>
      <c r="N565" s="159" t="str">
        <f>_xlfn.LET(_xlpm.emp, IF(_xlfn.XLOOKUP(ITEquipmentTable[[#This Row],[Assigned Employee]], EmployeeTable[name], EmployeeTable[Active], TRUE), "Employee", "Recover"),
IF(ITEquipmentTable[[#This Row],[Storage Location]] = "Assigned to Employee", _xlpm.emp, "N/A"))</f>
        <v>N/A</v>
      </c>
      <c r="O565" s="159" t="str" cm="1">
        <f t="array" ref="O56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6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65" s="193" t="s">
        <v>312</v>
      </c>
    </row>
    <row r="566" spans="1:19" s="1" customFormat="1" hidden="1" x14ac:dyDescent="0.2">
      <c r="A566" s="155">
        <v>495</v>
      </c>
      <c r="B566" s="1" t="s">
        <v>356</v>
      </c>
      <c r="C566" s="1" t="s">
        <v>403</v>
      </c>
      <c r="D566" s="1" t="s">
        <v>626</v>
      </c>
      <c r="E566" s="1" t="s">
        <v>306</v>
      </c>
      <c r="F566" s="195" t="s">
        <v>632</v>
      </c>
      <c r="G566" s="1" t="str">
        <f>_xlfn.XLOOKUP(ITEquipmentTable[[#This Row],[Name]], IntuneData[Device name], IntuneData[Serial number], "")</f>
        <v/>
      </c>
      <c r="H566" s="1" t="s">
        <v>295</v>
      </c>
      <c r="I566" s="1" t="s">
        <v>628</v>
      </c>
      <c r="K566" s="154" t="s">
        <v>226</v>
      </c>
      <c r="L566" s="1" t="str">
        <f>_xlfn.LET(
_xlpm.look, _xlfn.XLOOKUP(ITEquipmentTable[[#This Row],[Name]], VNCTable[ClientName], VNCTable[IP], ""),
_xlpm.chkk, IF(ITEquipmentTable[[#This Row],[IPv4 Address]] = "N/A", "N/A", _xlpm.look),
IF(ITEquipmentTable[[#This Row],[Name]] = "", "", _xlpm.chkk))</f>
        <v>N/A</v>
      </c>
      <c r="M566" s="1" t="s">
        <v>226</v>
      </c>
      <c r="N566" s="159" t="str">
        <f>_xlfn.LET(_xlpm.emp, IF(_xlfn.XLOOKUP(ITEquipmentTable[[#This Row],[Assigned Employee]], EmployeeTable[name], EmployeeTable[Active], TRUE), "Employee", "Recover"),
IF(ITEquipmentTable[[#This Row],[Storage Location]] = "Assigned to Employee", _xlpm.emp, "N/A"))</f>
        <v>N/A</v>
      </c>
      <c r="O566" s="159" t="str" cm="1">
        <f t="array" ref="O56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6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66" s="193" t="s">
        <v>312</v>
      </c>
    </row>
    <row r="567" spans="1:19" s="1" customFormat="1" hidden="1" x14ac:dyDescent="0.2">
      <c r="A567" s="155">
        <v>496</v>
      </c>
      <c r="B567" s="1" t="s">
        <v>362</v>
      </c>
      <c r="C567" s="1" t="s">
        <v>403</v>
      </c>
      <c r="D567" s="1" t="s">
        <v>1956</v>
      </c>
      <c r="E567" s="1" t="s">
        <v>306</v>
      </c>
      <c r="F567" s="195" t="s">
        <v>2026</v>
      </c>
      <c r="G567" s="1" t="str">
        <f>_xlfn.XLOOKUP(ITEquipmentTable[[#This Row],[Name]], IntuneData[Device name], IntuneData[Serial number], "")</f>
        <v/>
      </c>
      <c r="H567" s="1" t="s">
        <v>302</v>
      </c>
      <c r="K567" s="154" t="s">
        <v>226</v>
      </c>
      <c r="L567" s="1" t="str">
        <f>_xlfn.LET(
_xlpm.look, _xlfn.XLOOKUP(ITEquipmentTable[[#This Row],[Name]], VNCTable[ClientName], VNCTable[IP], ""),
_xlpm.chkk, IF(ITEquipmentTable[[#This Row],[IPv4 Address]] = "N/A", "N/A", _xlpm.look),
IF(ITEquipmentTable[[#This Row],[Name]] = "", "", _xlpm.chkk))</f>
        <v>N/A</v>
      </c>
      <c r="M567" s="1" t="s">
        <v>226</v>
      </c>
      <c r="N567" s="159" t="str">
        <f>_xlfn.LET(_xlpm.emp, IF(_xlfn.XLOOKUP(ITEquipmentTable[[#This Row],[Assigned Employee]], EmployeeTable[name], EmployeeTable[Active], TRUE), "Employee", "Recover"),
IF(ITEquipmentTable[[#This Row],[Storage Location]] = "Assigned to Employee", _xlpm.emp, "N/A"))</f>
        <v>N/A</v>
      </c>
      <c r="O567" s="159" t="str" cm="1">
        <f t="array" ref="O56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6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67" s="1" t="s">
        <v>2027</v>
      </c>
      <c r="R567" s="1" t="s">
        <v>351</v>
      </c>
    </row>
    <row r="568" spans="1:19" s="1" customFormat="1" hidden="1" x14ac:dyDescent="0.2">
      <c r="A568" s="155">
        <v>497</v>
      </c>
      <c r="B568" s="1" t="s">
        <v>342</v>
      </c>
      <c r="C568" s="1" t="s">
        <v>342</v>
      </c>
      <c r="D568" s="1" t="s">
        <v>1909</v>
      </c>
      <c r="E568" s="1" t="s">
        <v>306</v>
      </c>
      <c r="F568" s="195" t="s">
        <v>2028</v>
      </c>
      <c r="G568" s="1" t="str">
        <f>_xlfn.XLOOKUP(ITEquipmentTable[[#This Row],[Name]], IntuneData[Device name], IntuneData[Serial number], "")</f>
        <v/>
      </c>
      <c r="H568" s="1" t="s">
        <v>315</v>
      </c>
      <c r="K568" s="154" t="s">
        <v>226</v>
      </c>
      <c r="L568" s="1" t="str">
        <f>_xlfn.LET(
_xlpm.look, _xlfn.XLOOKUP(ITEquipmentTable[[#This Row],[Name]], VNCTable[ClientName], VNCTable[IP], ""),
_xlpm.chkk, IF(ITEquipmentTable[[#This Row],[IPv4 Address]] = "N/A", "N/A", _xlpm.look),
IF(ITEquipmentTable[[#This Row],[Name]] = "", "", _xlpm.chkk))</f>
        <v>N/A</v>
      </c>
      <c r="M568" s="1" t="s">
        <v>226</v>
      </c>
      <c r="N568" s="159" t="str">
        <f>_xlfn.LET(_xlpm.emp, IF(_xlfn.XLOOKUP(ITEquipmentTable[[#This Row],[Assigned Employee]], EmployeeTable[name], EmployeeTable[Active], TRUE), "Employee", "Recover"),
IF(ITEquipmentTable[[#This Row],[Storage Location]] = "Assigned to Employee", _xlpm.emp, "N/A"))</f>
        <v>N/A</v>
      </c>
      <c r="O568" s="159" t="str" cm="1">
        <f t="array" ref="O56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6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68" s="1" t="s">
        <v>312</v>
      </c>
    </row>
    <row r="569" spans="1:19" s="1" customFormat="1" hidden="1" x14ac:dyDescent="0.2">
      <c r="A569" s="155">
        <v>498</v>
      </c>
      <c r="B569" s="1" t="s">
        <v>340</v>
      </c>
      <c r="C569" s="1" t="s">
        <v>478</v>
      </c>
      <c r="D569" s="1" t="s">
        <v>479</v>
      </c>
      <c r="E569" s="1" t="s">
        <v>306</v>
      </c>
      <c r="F569" s="195" t="s">
        <v>2029</v>
      </c>
      <c r="G569" s="1" t="str">
        <f>_xlfn.XLOOKUP(ITEquipmentTable[[#This Row],[Name]], IntuneData[Device name], IntuneData[Serial number], "")</f>
        <v/>
      </c>
      <c r="H569" s="1" t="s">
        <v>315</v>
      </c>
      <c r="K569" s="154" t="s">
        <v>226</v>
      </c>
      <c r="L569" s="1" t="str">
        <f>_xlfn.LET(
_xlpm.look, _xlfn.XLOOKUP(ITEquipmentTable[[#This Row],[Name]], VNCTable[ClientName], VNCTable[IP], ""),
_xlpm.chkk, IF(ITEquipmentTable[[#This Row],[IPv4 Address]] = "N/A", "N/A", _xlpm.look),
IF(ITEquipmentTable[[#This Row],[Name]] = "", "", _xlpm.chkk))</f>
        <v>N/A</v>
      </c>
      <c r="M569" s="1" t="s">
        <v>226</v>
      </c>
      <c r="N569" s="159" t="str">
        <f>_xlfn.LET(_xlpm.emp, IF(_xlfn.XLOOKUP(ITEquipmentTable[[#This Row],[Assigned Employee]], EmployeeTable[name], EmployeeTable[Active], TRUE), "Employee", "Recover"),
IF(ITEquipmentTable[[#This Row],[Storage Location]] = "Assigned to Employee", _xlpm.emp, "N/A"))</f>
        <v>N/A</v>
      </c>
      <c r="O569" s="159" t="str" cm="1">
        <f t="array" ref="O56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6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69" s="1" t="s">
        <v>312</v>
      </c>
    </row>
    <row r="570" spans="1:19" s="1" customFormat="1" hidden="1" x14ac:dyDescent="0.2">
      <c r="A570" s="155">
        <v>500</v>
      </c>
      <c r="B570" s="1" t="s">
        <v>396</v>
      </c>
      <c r="C570" s="1" t="s">
        <v>1963</v>
      </c>
      <c r="D570" s="1" t="s">
        <v>2030</v>
      </c>
      <c r="E570" s="1" t="s">
        <v>306</v>
      </c>
      <c r="F570" s="195" t="s">
        <v>2031</v>
      </c>
      <c r="G570" s="1" t="str">
        <f>_xlfn.XLOOKUP(ITEquipmentTable[[#This Row],[Name]], IntuneData[Device name], IntuneData[Serial number], "")</f>
        <v/>
      </c>
      <c r="H570" s="1" t="s">
        <v>338</v>
      </c>
      <c r="K570" s="223" t="s">
        <v>226</v>
      </c>
      <c r="L570" s="1" t="str">
        <f>_xlfn.LET(
_xlpm.look, _xlfn.XLOOKUP(ITEquipmentTable[[#This Row],[Name]], VNCTable[ClientName], VNCTable[IP], ""),
_xlpm.chkk, IF(ITEquipmentTable[[#This Row],[IPv4 Address]] = "N/A", "N/A", _xlpm.look),
IF(ITEquipmentTable[[#This Row],[Name]] = "", "", _xlpm.chkk))</f>
        <v>N/A</v>
      </c>
      <c r="M570" s="168" t="s">
        <v>226</v>
      </c>
      <c r="N570" s="159" t="str">
        <f>_xlfn.LET(_xlpm.emp, IF(_xlfn.XLOOKUP(ITEquipmentTable[[#This Row],[Assigned Employee]], EmployeeTable[name], EmployeeTable[Active], TRUE), "Employee", "Recover"),
IF(ITEquipmentTable[[#This Row],[Storage Location]] = "Assigned to Employee", _xlpm.emp, "N/A"))</f>
        <v>N/A</v>
      </c>
      <c r="O570" s="159" t="str" cm="1">
        <f t="array" ref="O57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7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70" s="1" t="s">
        <v>312</v>
      </c>
    </row>
    <row r="571" spans="1:19" s="1" customFormat="1" hidden="1" x14ac:dyDescent="0.2">
      <c r="A571" s="155">
        <v>501</v>
      </c>
      <c r="B571" s="1" t="s">
        <v>340</v>
      </c>
      <c r="C571" s="1" t="s">
        <v>478</v>
      </c>
      <c r="D571" s="1" t="s">
        <v>479</v>
      </c>
      <c r="E571" s="1" t="s">
        <v>306</v>
      </c>
      <c r="F571" s="1" t="s">
        <v>2032</v>
      </c>
      <c r="G571" s="1" t="str">
        <f>_xlfn.XLOOKUP(ITEquipmentTable[[#This Row],[Name]], IntuneData[Device name], IntuneData[Serial number], "")</f>
        <v/>
      </c>
      <c r="H571" s="1" t="s">
        <v>315</v>
      </c>
      <c r="K571" s="154" t="s">
        <v>226</v>
      </c>
      <c r="L571" s="1" t="str">
        <f>_xlfn.LET(
_xlpm.look, _xlfn.XLOOKUP(ITEquipmentTable[[#This Row],[Name]], VNCTable[ClientName], VNCTable[IP], ""),
_xlpm.chkk, IF(ITEquipmentTable[[#This Row],[IPv4 Address]] = "N/A", "N/A", _xlpm.look),
IF(ITEquipmentTable[[#This Row],[Name]] = "", "", _xlpm.chkk))</f>
        <v>N/A</v>
      </c>
      <c r="M571" s="1" t="s">
        <v>226</v>
      </c>
      <c r="N571" s="159" t="str">
        <f>_xlfn.LET(_xlpm.emp, IF(_xlfn.XLOOKUP(ITEquipmentTable[[#This Row],[Assigned Employee]], EmployeeTable[name], EmployeeTable[Active], TRUE), "Employee", "Recover"),
IF(ITEquipmentTable[[#This Row],[Storage Location]] = "Assigned to Employee", _xlpm.emp, "N/A"))</f>
        <v>N/A</v>
      </c>
      <c r="O571" s="159" t="str" cm="1">
        <f t="array" ref="O57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7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71" s="1" t="s">
        <v>312</v>
      </c>
    </row>
    <row r="572" spans="1:19" s="1" customFormat="1" hidden="1" x14ac:dyDescent="0.2">
      <c r="A572" s="155">
        <v>502</v>
      </c>
      <c r="B572" s="1" t="s">
        <v>340</v>
      </c>
      <c r="C572" s="1" t="s">
        <v>478</v>
      </c>
      <c r="D572" s="1" t="s">
        <v>479</v>
      </c>
      <c r="E572" s="1" t="s">
        <v>306</v>
      </c>
      <c r="F572" s="195" t="s">
        <v>2033</v>
      </c>
      <c r="G572" s="1" t="str">
        <f>_xlfn.XLOOKUP(ITEquipmentTable[[#This Row],[Name]], IntuneData[Device name], IntuneData[Serial number], "")</f>
        <v/>
      </c>
      <c r="H572" s="1" t="s">
        <v>315</v>
      </c>
      <c r="K572" s="154" t="s">
        <v>226</v>
      </c>
      <c r="L572" s="1" t="str">
        <f>_xlfn.LET(
_xlpm.look, _xlfn.XLOOKUP(ITEquipmentTable[[#This Row],[Name]], VNCTable[ClientName], VNCTable[IP], ""),
_xlpm.chkk, IF(ITEquipmentTable[[#This Row],[IPv4 Address]] = "N/A", "N/A", _xlpm.look),
IF(ITEquipmentTable[[#This Row],[Name]] = "", "", _xlpm.chkk))</f>
        <v>N/A</v>
      </c>
      <c r="M572" s="1" t="s">
        <v>226</v>
      </c>
      <c r="N572" s="159" t="str">
        <f>_xlfn.LET(_xlpm.emp, IF(_xlfn.XLOOKUP(ITEquipmentTable[[#This Row],[Assigned Employee]], EmployeeTable[name], EmployeeTable[Active], TRUE), "Employee", "Recover"),
IF(ITEquipmentTable[[#This Row],[Storage Location]] = "Assigned to Employee", _xlpm.emp, "N/A"))</f>
        <v>N/A</v>
      </c>
      <c r="O572" s="159" t="str" cm="1">
        <f t="array" ref="O57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7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72" s="1" t="s">
        <v>312</v>
      </c>
    </row>
    <row r="573" spans="1:19" s="1" customFormat="1" hidden="1" x14ac:dyDescent="0.2">
      <c r="A573" s="155">
        <v>503</v>
      </c>
      <c r="B573" s="1" t="s">
        <v>340</v>
      </c>
      <c r="C573" s="1" t="s">
        <v>478</v>
      </c>
      <c r="D573" s="1" t="s">
        <v>479</v>
      </c>
      <c r="E573" s="1" t="s">
        <v>306</v>
      </c>
      <c r="F573" s="195" t="s">
        <v>2034</v>
      </c>
      <c r="G573" s="1" t="str">
        <f>_xlfn.XLOOKUP(ITEquipmentTable[[#This Row],[Name]], IntuneData[Device name], IntuneData[Serial number], "")</f>
        <v/>
      </c>
      <c r="H573" s="1" t="s">
        <v>321</v>
      </c>
      <c r="K573" s="154" t="s">
        <v>226</v>
      </c>
      <c r="L573" s="1" t="str">
        <f>_xlfn.LET(
_xlpm.look, _xlfn.XLOOKUP(ITEquipmentTable[[#This Row],[Name]], VNCTable[ClientName], VNCTable[IP], ""),
_xlpm.chkk, IF(ITEquipmentTable[[#This Row],[IPv4 Address]] = "N/A", "N/A", _xlpm.look),
IF(ITEquipmentTable[[#This Row],[Name]] = "", "", _xlpm.chkk))</f>
        <v>N/A</v>
      </c>
      <c r="M573" s="1" t="s">
        <v>226</v>
      </c>
      <c r="N573" s="159" t="str">
        <f>_xlfn.LET(_xlpm.emp, IF(_xlfn.XLOOKUP(ITEquipmentTable[[#This Row],[Assigned Employee]], EmployeeTable[name], EmployeeTable[Active], TRUE), "Employee", "Recover"),
IF(ITEquipmentTable[[#This Row],[Storage Location]] = "Assigned to Employee", _xlpm.emp, "N/A"))</f>
        <v>N/A</v>
      </c>
      <c r="O573" s="159" t="str" cm="1">
        <f t="array" ref="O57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7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73" s="1" t="s">
        <v>312</v>
      </c>
    </row>
    <row r="574" spans="1:19" s="1" customFormat="1" hidden="1" x14ac:dyDescent="0.2">
      <c r="A574" s="155">
        <v>505</v>
      </c>
      <c r="B574" s="189" t="s">
        <v>304</v>
      </c>
      <c r="C574" s="189" t="s">
        <v>308</v>
      </c>
      <c r="D574" s="189" t="s">
        <v>1771</v>
      </c>
      <c r="E574" s="189" t="s">
        <v>310</v>
      </c>
      <c r="F574" s="201" t="s">
        <v>1772</v>
      </c>
      <c r="G574" s="159" t="str">
        <f>_xlfn.XLOOKUP(ITEquipmentTable[[#This Row],[Name]], IntuneData[Device name], IntuneData[Serial number], "")</f>
        <v/>
      </c>
      <c r="H574" s="189" t="s">
        <v>302</v>
      </c>
      <c r="I574" s="189"/>
      <c r="J574" s="189"/>
      <c r="K574" s="219" t="s">
        <v>226</v>
      </c>
      <c r="L574" s="266" t="str">
        <f>_xlfn.LET(
_xlpm.look, _xlfn.XLOOKUP(ITEquipmentTable[[#This Row],[Name]], VNCTable[ClientName], VNCTable[IP], ""),
_xlpm.chkk, IF(ITEquipmentTable[[#This Row],[IPv4 Address]] = "N/A", "N/A", _xlpm.look),
IF(ITEquipmentTable[[#This Row],[Name]] = "", "", _xlpm.chkk))</f>
        <v>N/A</v>
      </c>
      <c r="M574" s="189" t="s">
        <v>226</v>
      </c>
      <c r="N574" s="159" t="str">
        <f>_xlfn.LET(_xlpm.emp, IF(_xlfn.XLOOKUP(ITEquipmentTable[[#This Row],[Assigned Employee]], EmployeeTable[name], EmployeeTable[Active], TRUE), "Employee", "Recover"),
IF(ITEquipmentTable[[#This Row],[Storage Location]] = "Assigned to Employee", _xlpm.emp, "N/A"))</f>
        <v>N/A</v>
      </c>
      <c r="O574" s="159" t="str" cm="1">
        <f t="array" ref="O57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7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74" s="189"/>
      <c r="R574" s="189" t="s">
        <v>312</v>
      </c>
      <c r="S574" s="189"/>
    </row>
    <row r="575" spans="1:19" s="1" customFormat="1" hidden="1" x14ac:dyDescent="0.2">
      <c r="A575" s="155">
        <v>506</v>
      </c>
      <c r="B575" s="1" t="s">
        <v>340</v>
      </c>
      <c r="C575" s="1" t="s">
        <v>478</v>
      </c>
      <c r="D575" s="1" t="s">
        <v>479</v>
      </c>
      <c r="E575" s="1" t="s">
        <v>306</v>
      </c>
      <c r="F575" s="195" t="s">
        <v>2035</v>
      </c>
      <c r="G575" s="1" t="str">
        <f>_xlfn.XLOOKUP(ITEquipmentTable[[#This Row],[Name]], IntuneData[Device name], IntuneData[Serial number], "")</f>
        <v/>
      </c>
      <c r="H575" s="1" t="s">
        <v>302</v>
      </c>
      <c r="K575" s="154" t="s">
        <v>226</v>
      </c>
      <c r="L575" s="1" t="str">
        <f>_xlfn.LET(
_xlpm.look, _xlfn.XLOOKUP(ITEquipmentTable[[#This Row],[Name]], VNCTable[ClientName], VNCTable[IP], ""),
_xlpm.chkk, IF(ITEquipmentTable[[#This Row],[IPv4 Address]] = "N/A", "N/A", _xlpm.look),
IF(ITEquipmentTable[[#This Row],[Name]] = "", "", _xlpm.chkk))</f>
        <v>N/A</v>
      </c>
      <c r="M575" s="1" t="s">
        <v>226</v>
      </c>
      <c r="N575" s="159" t="str">
        <f>_xlfn.LET(_xlpm.emp, IF(_xlfn.XLOOKUP(ITEquipmentTable[[#This Row],[Assigned Employee]], EmployeeTable[name], EmployeeTable[Active], TRUE), "Employee", "Recover"),
IF(ITEquipmentTable[[#This Row],[Storage Location]] = "Assigned to Employee", _xlpm.emp, "N/A"))</f>
        <v>N/A</v>
      </c>
      <c r="O575" s="159" t="str" cm="1">
        <f t="array" ref="O57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7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75" s="1" t="s">
        <v>312</v>
      </c>
    </row>
    <row r="576" spans="1:19" s="1" customFormat="1" hidden="1" x14ac:dyDescent="0.2">
      <c r="A576" s="155">
        <v>508</v>
      </c>
      <c r="B576" s="1" t="s">
        <v>340</v>
      </c>
      <c r="C576" s="1" t="s">
        <v>514</v>
      </c>
      <c r="D576" s="1" t="s">
        <v>671</v>
      </c>
      <c r="E576" s="1" t="s">
        <v>306</v>
      </c>
      <c r="F576" s="195"/>
      <c r="G576" s="1" t="str">
        <f>_xlfn.XLOOKUP(ITEquipmentTable[[#This Row],[Name]], IntuneData[Device name], IntuneData[Serial number], "")</f>
        <v/>
      </c>
      <c r="H576" s="1" t="s">
        <v>302</v>
      </c>
      <c r="K576" s="154" t="s">
        <v>226</v>
      </c>
      <c r="L576" s="1" t="str">
        <f>_xlfn.LET(
_xlpm.look, _xlfn.XLOOKUP(ITEquipmentTable[[#This Row],[Name]], VNCTable[ClientName], VNCTable[IP], ""),
_xlpm.chkk, IF(ITEquipmentTable[[#This Row],[IPv4 Address]] = "N/A", "N/A", _xlpm.look),
IF(ITEquipmentTable[[#This Row],[Name]] = "", "", _xlpm.chkk))</f>
        <v>N/A</v>
      </c>
      <c r="M576" s="1" t="s">
        <v>226</v>
      </c>
      <c r="N576" s="159" t="str">
        <f>_xlfn.LET(_xlpm.emp, IF(_xlfn.XLOOKUP(ITEquipmentTable[[#This Row],[Assigned Employee]], EmployeeTable[name], EmployeeTable[Active], TRUE), "Employee", "Recover"),
IF(ITEquipmentTable[[#This Row],[Storage Location]] = "Assigned to Employee", _xlpm.emp, "N/A"))</f>
        <v>N/A</v>
      </c>
      <c r="O576" s="159" t="str" cm="1">
        <f t="array" ref="O57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7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576" s="1" t="s">
        <v>2036</v>
      </c>
      <c r="R576" s="1" t="s">
        <v>324</v>
      </c>
      <c r="S576" s="1" t="s">
        <v>319</v>
      </c>
    </row>
    <row r="577" spans="1:19" s="1" customFormat="1" hidden="1" x14ac:dyDescent="0.2">
      <c r="A577" s="155">
        <v>101</v>
      </c>
      <c r="B577" s="1" t="s">
        <v>304</v>
      </c>
      <c r="C577" s="1" t="s">
        <v>308</v>
      </c>
      <c r="D577" s="1" t="s">
        <v>427</v>
      </c>
      <c r="E577" s="1" t="s">
        <v>310</v>
      </c>
      <c r="F577" s="195" t="s">
        <v>812</v>
      </c>
      <c r="G577" s="159" t="str">
        <f>_xlfn.XLOOKUP(ITEquipmentTable[[#This Row],[Name]], IntuneData[Device name], IntuneData[Serial number], "")</f>
        <v/>
      </c>
      <c r="H577" s="1" t="s">
        <v>295</v>
      </c>
      <c r="I577" s="1" t="s">
        <v>390</v>
      </c>
      <c r="K577" s="154" t="s">
        <v>3553</v>
      </c>
      <c r="L577" s="159" t="str">
        <f>_xlfn.LET(
_xlpm.look, _xlfn.XLOOKUP(ITEquipmentTable[[#This Row],[Name]], VNCTable[ClientName], VNCTable[IP], ""),
_xlpm.chkk, IF(ITEquipmentTable[[#This Row],[IPv4 Address]] = "N/A", "N/A", _xlpm.look),
IF(ITEquipmentTable[[#This Row],[Name]] = "", "", _xlpm.chkk))</f>
        <v>10.68.134.77</v>
      </c>
      <c r="M577" s="1" t="s">
        <v>813</v>
      </c>
      <c r="N577" s="159" t="str">
        <f>_xlfn.LET(_xlpm.emp, IF(_xlfn.XLOOKUP(ITEquipmentTable[[#This Row],[Assigned Employee]], EmployeeTable[name], EmployeeTable[Active], TRUE), "Employee", "Recover"),
IF(ITEquipmentTable[[#This Row],[Storage Location]] = "Assigned to Employee", _xlpm.emp, "N/A"))</f>
        <v>N/A</v>
      </c>
      <c r="O577" s="159" t="str" cm="1">
        <f t="array" ref="O57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57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77" s="189" t="s">
        <v>312</v>
      </c>
    </row>
    <row r="578" spans="1:19" s="1" customFormat="1" hidden="1" x14ac:dyDescent="0.2">
      <c r="A578" s="155">
        <v>511</v>
      </c>
      <c r="B578" s="1" t="s">
        <v>379</v>
      </c>
      <c r="C578" s="1" t="s">
        <v>514</v>
      </c>
      <c r="D578" s="1" t="s">
        <v>2041</v>
      </c>
      <c r="E578" s="1" t="s">
        <v>306</v>
      </c>
      <c r="F578" s="195" t="s">
        <v>2042</v>
      </c>
      <c r="G578" s="1" t="str">
        <f>_xlfn.XLOOKUP(ITEquipmentTable[[#This Row],[Name]], IntuneData[Device name], IntuneData[Serial number], "")</f>
        <v/>
      </c>
      <c r="H578" s="1" t="s">
        <v>338</v>
      </c>
      <c r="K578" s="223" t="s">
        <v>226</v>
      </c>
      <c r="L578" s="1" t="str">
        <f>_xlfn.LET(
_xlpm.look, _xlfn.XLOOKUP(ITEquipmentTable[[#This Row],[Name]], VNCTable[ClientName], VNCTable[IP], ""),
_xlpm.chkk, IF(ITEquipmentTable[[#This Row],[IPv4 Address]] = "N/A", "N/A", _xlpm.look),
IF(ITEquipmentTable[[#This Row],[Name]] = "", "", _xlpm.chkk))</f>
        <v>N/A</v>
      </c>
      <c r="M578" s="168" t="s">
        <v>226</v>
      </c>
      <c r="N578" s="159" t="str">
        <f>_xlfn.LET(_xlpm.emp, IF(_xlfn.XLOOKUP(ITEquipmentTable[[#This Row],[Assigned Employee]], EmployeeTable[name], EmployeeTable[Active], TRUE), "Employee", "Recover"),
IF(ITEquipmentTable[[#This Row],[Storage Location]] = "Assigned to Employee", _xlpm.emp, "N/A"))</f>
        <v>N/A</v>
      </c>
      <c r="O578" s="159" t="str" cm="1">
        <f t="array" ref="O57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7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578" s="1" t="s">
        <v>2043</v>
      </c>
      <c r="R578" s="1" t="s">
        <v>351</v>
      </c>
    </row>
    <row r="579" spans="1:19" s="1" customFormat="1" hidden="1" x14ac:dyDescent="0.2">
      <c r="A579" s="155">
        <v>512</v>
      </c>
      <c r="B579" s="1" t="s">
        <v>379</v>
      </c>
      <c r="C579" s="1" t="s">
        <v>514</v>
      </c>
      <c r="D579" s="1" t="s">
        <v>693</v>
      </c>
      <c r="E579" s="1" t="s">
        <v>306</v>
      </c>
      <c r="F579" s="195" t="s">
        <v>2044</v>
      </c>
      <c r="G579" s="164" t="str">
        <f>_xlfn.XLOOKUP(ITEquipmentTable[[#This Row],[Name]], IntuneData[Device name], IntuneData[Serial number], "")</f>
        <v/>
      </c>
      <c r="K579" s="223" t="s">
        <v>226</v>
      </c>
      <c r="L579" s="164" t="str">
        <f>_xlfn.LET(
_xlpm.look, _xlfn.XLOOKUP(ITEquipmentTable[[#This Row],[Name]], VNCTable[ClientName], VNCTable[IP], ""),
_xlpm.chkk, IF(ITEquipmentTable[[#This Row],[IPv4 Address]] = "N/A", "N/A", _xlpm.look),
IF(ITEquipmentTable[[#This Row],[Name]] = "", "", _xlpm.chkk))</f>
        <v>N/A</v>
      </c>
      <c r="M579" s="168" t="s">
        <v>226</v>
      </c>
      <c r="N579" s="159" t="str">
        <f>_xlfn.LET(_xlpm.emp, IF(_xlfn.XLOOKUP(ITEquipmentTable[[#This Row],[Assigned Employee]], EmployeeTable[name], EmployeeTable[Active], TRUE), "Employee", "Recover"),
IF(ITEquipmentTable[[#This Row],[Storage Location]] = "Assigned to Employee", _xlpm.emp, "N/A"))</f>
        <v>N/A</v>
      </c>
      <c r="O579" s="159" t="str" cm="1">
        <f t="array" ref="O57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7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579" s="1" t="s">
        <v>2045</v>
      </c>
      <c r="R579" s="1" t="s">
        <v>351</v>
      </c>
    </row>
    <row r="580" spans="1:19" s="1" customFormat="1" hidden="1" x14ac:dyDescent="0.2">
      <c r="A580" s="155">
        <v>513</v>
      </c>
      <c r="B580" s="1" t="s">
        <v>356</v>
      </c>
      <c r="C580" s="1" t="s">
        <v>403</v>
      </c>
      <c r="D580" s="1" t="s">
        <v>639</v>
      </c>
      <c r="E580" s="1" t="s">
        <v>306</v>
      </c>
      <c r="F580" s="195" t="s">
        <v>640</v>
      </c>
      <c r="G580" s="1" t="str">
        <f>_xlfn.XLOOKUP(ITEquipmentTable[[#This Row],[Name]], IntuneData[Device name], IntuneData[Serial number], "")</f>
        <v/>
      </c>
      <c r="H580" s="1" t="s">
        <v>295</v>
      </c>
      <c r="I580" s="1" t="s">
        <v>641</v>
      </c>
      <c r="K580" s="154" t="s">
        <v>226</v>
      </c>
      <c r="L580" s="1" t="str">
        <f>_xlfn.LET(
_xlpm.look, _xlfn.XLOOKUP(ITEquipmentTable[[#This Row],[Name]], VNCTable[ClientName], VNCTable[IP], ""),
_xlpm.chkk, IF(ITEquipmentTable[[#This Row],[IPv4 Address]] = "N/A", "N/A", _xlpm.look),
IF(ITEquipmentTable[[#This Row],[Name]] = "", "", _xlpm.chkk))</f>
        <v>N/A</v>
      </c>
      <c r="M580" s="1" t="s">
        <v>226</v>
      </c>
      <c r="N580" s="159" t="str">
        <f>_xlfn.LET(_xlpm.emp, IF(_xlfn.XLOOKUP(ITEquipmentTable[[#This Row],[Assigned Employee]], EmployeeTable[name], EmployeeTable[Active], TRUE), "Employee", "Recover"),
IF(ITEquipmentTable[[#This Row],[Storage Location]] = "Assigned to Employee", _xlpm.emp, "N/A"))</f>
        <v>N/A</v>
      </c>
      <c r="O580" s="159" t="str" cm="1">
        <f t="array" ref="O58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8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80" s="1" t="s">
        <v>312</v>
      </c>
    </row>
    <row r="581" spans="1:19" s="1" customFormat="1" hidden="1" x14ac:dyDescent="0.2">
      <c r="A581" s="155">
        <v>514</v>
      </c>
      <c r="B581" s="1" t="s">
        <v>356</v>
      </c>
      <c r="C581" s="1" t="s">
        <v>403</v>
      </c>
      <c r="D581" s="1" t="s">
        <v>639</v>
      </c>
      <c r="E581" s="1" t="s">
        <v>306</v>
      </c>
      <c r="F581" s="195" t="s">
        <v>643</v>
      </c>
      <c r="G581" s="1" t="str">
        <f>_xlfn.XLOOKUP(ITEquipmentTable[[#This Row],[Name]], IntuneData[Device name], IntuneData[Serial number], "")</f>
        <v/>
      </c>
      <c r="H581" s="1" t="s">
        <v>295</v>
      </c>
      <c r="I581" s="1" t="s">
        <v>641</v>
      </c>
      <c r="K581" s="154" t="s">
        <v>226</v>
      </c>
      <c r="L581" s="1" t="str">
        <f>_xlfn.LET(
_xlpm.look, _xlfn.XLOOKUP(ITEquipmentTable[[#This Row],[Name]], VNCTable[ClientName], VNCTable[IP], ""),
_xlpm.chkk, IF(ITEquipmentTable[[#This Row],[IPv4 Address]] = "N/A", "N/A", _xlpm.look),
IF(ITEquipmentTable[[#This Row],[Name]] = "", "", _xlpm.chkk))</f>
        <v>N/A</v>
      </c>
      <c r="M581" s="1" t="s">
        <v>226</v>
      </c>
      <c r="N581" s="159" t="str">
        <f>_xlfn.LET(_xlpm.emp, IF(_xlfn.XLOOKUP(ITEquipmentTable[[#This Row],[Assigned Employee]], EmployeeTable[name], EmployeeTable[Active], TRUE), "Employee", "Recover"),
IF(ITEquipmentTable[[#This Row],[Storage Location]] = "Assigned to Employee", _xlpm.emp, "N/A"))</f>
        <v>N/A</v>
      </c>
      <c r="O581" s="159" t="str" cm="1">
        <f t="array" ref="O58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8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81" s="1" t="s">
        <v>312</v>
      </c>
    </row>
    <row r="582" spans="1:19" s="1" customFormat="1" hidden="1" x14ac:dyDescent="0.2">
      <c r="A582" s="155">
        <v>515</v>
      </c>
      <c r="B582" s="1" t="s">
        <v>386</v>
      </c>
      <c r="C582" s="1" t="s">
        <v>514</v>
      </c>
      <c r="D582" s="1" t="s">
        <v>515</v>
      </c>
      <c r="E582" s="1" t="s">
        <v>306</v>
      </c>
      <c r="F582" s="195" t="s">
        <v>2046</v>
      </c>
      <c r="G582" s="1" t="str">
        <f>_xlfn.XLOOKUP(ITEquipmentTable[[#This Row],[Name]], IntuneData[Device name], IntuneData[Serial number], "")</f>
        <v/>
      </c>
      <c r="H582" s="1" t="s">
        <v>338</v>
      </c>
      <c r="K582" s="223" t="s">
        <v>226</v>
      </c>
      <c r="L582" s="1" t="str">
        <f>_xlfn.LET(
_xlpm.look, _xlfn.XLOOKUP(ITEquipmentTable[[#This Row],[Name]], VNCTable[ClientName], VNCTable[IP], ""),
_xlpm.chkk, IF(ITEquipmentTable[[#This Row],[IPv4 Address]] = "N/A", "N/A", _xlpm.look),
IF(ITEquipmentTable[[#This Row],[Name]] = "", "", _xlpm.chkk))</f>
        <v>N/A</v>
      </c>
      <c r="M582" s="168" t="s">
        <v>226</v>
      </c>
      <c r="N582" s="159" t="str">
        <f>_xlfn.LET(_xlpm.emp, IF(_xlfn.XLOOKUP(ITEquipmentTable[[#This Row],[Assigned Employee]], EmployeeTable[name], EmployeeTable[Active], TRUE), "Employee", "Recover"),
IF(ITEquipmentTable[[#This Row],[Storage Location]] = "Assigned to Employee", _xlpm.emp, "N/A"))</f>
        <v>N/A</v>
      </c>
      <c r="O582" s="159" t="str" cm="1">
        <f t="array" ref="O58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8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82" s="1" t="s">
        <v>312</v>
      </c>
    </row>
    <row r="583" spans="1:19" s="1" customFormat="1" hidden="1" x14ac:dyDescent="0.2">
      <c r="A583" s="155">
        <v>516</v>
      </c>
      <c r="B583" s="1" t="s">
        <v>386</v>
      </c>
      <c r="C583" s="1" t="s">
        <v>514</v>
      </c>
      <c r="D583" s="1" t="s">
        <v>515</v>
      </c>
      <c r="E583" s="1" t="s">
        <v>306</v>
      </c>
      <c r="F583" s="195" t="s">
        <v>2047</v>
      </c>
      <c r="G583" s="1" t="str">
        <f>_xlfn.XLOOKUP(ITEquipmentTable[[#This Row],[Name]], IntuneData[Device name], IntuneData[Serial number], "")</f>
        <v/>
      </c>
      <c r="H583" s="1" t="s">
        <v>338</v>
      </c>
      <c r="K583" s="223" t="s">
        <v>226</v>
      </c>
      <c r="L583" s="1" t="str">
        <f>_xlfn.LET(
_xlpm.look, _xlfn.XLOOKUP(ITEquipmentTable[[#This Row],[Name]], VNCTable[ClientName], VNCTable[IP], ""),
_xlpm.chkk, IF(ITEquipmentTable[[#This Row],[IPv4 Address]] = "N/A", "N/A", _xlpm.look),
IF(ITEquipmentTable[[#This Row],[Name]] = "", "", _xlpm.chkk))</f>
        <v>N/A</v>
      </c>
      <c r="M583" s="168" t="s">
        <v>226</v>
      </c>
      <c r="N583" s="159" t="str">
        <f>_xlfn.LET(_xlpm.emp, IF(_xlfn.XLOOKUP(ITEquipmentTable[[#This Row],[Assigned Employee]], EmployeeTable[name], EmployeeTable[Active], TRUE), "Employee", "Recover"),
IF(ITEquipmentTable[[#This Row],[Storage Location]] = "Assigned to Employee", _xlpm.emp, "N/A"))</f>
        <v>N/A</v>
      </c>
      <c r="O583" s="159" t="str" cm="1">
        <f t="array" ref="O58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8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83" s="1" t="s">
        <v>312</v>
      </c>
    </row>
    <row r="584" spans="1:19" s="1" customFormat="1" hidden="1" x14ac:dyDescent="0.2">
      <c r="A584" s="155">
        <v>418</v>
      </c>
      <c r="B584" s="1" t="s">
        <v>304</v>
      </c>
      <c r="C584" s="1" t="s">
        <v>308</v>
      </c>
      <c r="D584" s="1" t="s">
        <v>416</v>
      </c>
      <c r="E584" s="1" t="s">
        <v>310</v>
      </c>
      <c r="F584" s="195" t="s">
        <v>1680</v>
      </c>
      <c r="G584" s="159" t="str">
        <f>_xlfn.XLOOKUP(ITEquipmentTable[[#This Row],[Name]], IntuneData[Device name], IntuneData[Serial number], "")</f>
        <v/>
      </c>
      <c r="H584" s="189"/>
      <c r="I584" s="168"/>
      <c r="J584" s="168"/>
      <c r="K584" s="223"/>
      <c r="L584" s="266" t="str">
        <f>_xlfn.LET(
_xlpm.look, _xlfn.XLOOKUP(ITEquipmentTable[[#This Row],[Name]], VNCTable[ClientName], VNCTable[IP], ""),
_xlpm.chkk, IF(ITEquipmentTable[[#This Row],[IPv4 Address]] = "N/A", "N/A", _xlpm.look),
IF(ITEquipmentTable[[#This Row],[Name]] = "", "", _xlpm.chkk))</f>
        <v/>
      </c>
      <c r="M584" s="168"/>
      <c r="N584" s="161" t="str">
        <f>_xlfn.LET(_xlpm.emp, IF(_xlfn.XLOOKUP(ITEquipmentTable[[#This Row],[Assigned Employee]], EmployeeTable[name], EmployeeTable[Active], TRUE), "Employee", "Recover"),
IF(ITEquipmentTable[[#This Row],[Storage Location]] = "Assigned to Employee", _xlpm.emp, "N/A"))</f>
        <v>N/A</v>
      </c>
      <c r="O584" s="161" t="str" cm="1">
        <f t="array" ref="O58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58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584" s="168"/>
      <c r="R584" s="168"/>
      <c r="S584" s="1" t="s">
        <v>405</v>
      </c>
    </row>
    <row r="585" spans="1:19" s="1" customFormat="1" hidden="1" x14ac:dyDescent="0.2">
      <c r="A585" s="155">
        <v>591</v>
      </c>
      <c r="B585" s="1" t="s">
        <v>356</v>
      </c>
      <c r="C585" s="1" t="s">
        <v>403</v>
      </c>
      <c r="D585" s="1" t="s">
        <v>645</v>
      </c>
      <c r="E585" s="1" t="s">
        <v>306</v>
      </c>
      <c r="F585" s="195" t="s">
        <v>2049</v>
      </c>
      <c r="G585" s="1" t="str">
        <f>_xlfn.XLOOKUP(ITEquipmentTable[[#This Row],[Name]], IntuneData[Device name], IntuneData[Serial number], "")</f>
        <v/>
      </c>
      <c r="H585" s="1" t="s">
        <v>302</v>
      </c>
      <c r="K585" s="154" t="s">
        <v>226</v>
      </c>
      <c r="L585" s="1" t="str">
        <f>_xlfn.LET(
_xlpm.look, _xlfn.XLOOKUP(ITEquipmentTable[[#This Row],[Name]], VNCTable[ClientName], VNCTable[IP], ""),
_xlpm.chkk, IF(ITEquipmentTable[[#This Row],[IPv4 Address]] = "N/A", "N/A", _xlpm.look),
IF(ITEquipmentTable[[#This Row],[Name]] = "", "", _xlpm.chkk))</f>
        <v>N/A</v>
      </c>
      <c r="M585" s="1" t="s">
        <v>226</v>
      </c>
      <c r="N585" s="159" t="str">
        <f>_xlfn.LET(_xlpm.emp, IF(_xlfn.XLOOKUP(ITEquipmentTable[[#This Row],[Assigned Employee]], EmployeeTable[name], EmployeeTable[Active], TRUE), "Employee", "Recover"),
IF(ITEquipmentTable[[#This Row],[Storage Location]] = "Assigned to Employee", _xlpm.emp, "N/A"))</f>
        <v>N/A</v>
      </c>
      <c r="O585" s="159" t="str" cm="1">
        <f t="array" ref="O58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8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85" s="1" t="s">
        <v>312</v>
      </c>
    </row>
    <row r="586" spans="1:19" s="1" customFormat="1" hidden="1" x14ac:dyDescent="0.2">
      <c r="A586" s="155">
        <v>592</v>
      </c>
      <c r="B586" s="1" t="s">
        <v>356</v>
      </c>
      <c r="C586" s="1" t="s">
        <v>443</v>
      </c>
      <c r="D586" s="1" t="s">
        <v>2023</v>
      </c>
      <c r="E586" s="1" t="s">
        <v>306</v>
      </c>
      <c r="F586" s="195" t="s">
        <v>2050</v>
      </c>
      <c r="G586" s="1" t="str">
        <f>_xlfn.XLOOKUP(ITEquipmentTable[[#This Row],[Name]], IntuneData[Device name], IntuneData[Serial number], "")</f>
        <v/>
      </c>
      <c r="H586" s="1" t="s">
        <v>302</v>
      </c>
      <c r="K586" s="154" t="s">
        <v>226</v>
      </c>
      <c r="L586" s="1" t="str">
        <f>_xlfn.LET(
_xlpm.look, _xlfn.XLOOKUP(ITEquipmentTable[[#This Row],[Name]], VNCTable[ClientName], VNCTable[IP], ""),
_xlpm.chkk, IF(ITEquipmentTable[[#This Row],[IPv4 Address]] = "N/A", "N/A", _xlpm.look),
IF(ITEquipmentTable[[#This Row],[Name]] = "", "", _xlpm.chkk))</f>
        <v>N/A</v>
      </c>
      <c r="M586" s="1" t="s">
        <v>226</v>
      </c>
      <c r="N586" s="159" t="str">
        <f>_xlfn.LET(_xlpm.emp, IF(_xlfn.XLOOKUP(ITEquipmentTable[[#This Row],[Assigned Employee]], EmployeeTable[name], EmployeeTable[Active], TRUE), "Employee", "Recover"),
IF(ITEquipmentTable[[#This Row],[Storage Location]] = "Assigned to Employee", _xlpm.emp, "N/A"))</f>
        <v>N/A</v>
      </c>
      <c r="O586" s="159" t="str" cm="1">
        <f t="array" ref="O58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8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86" s="1" t="s">
        <v>312</v>
      </c>
    </row>
    <row r="587" spans="1:19" s="1" customFormat="1" hidden="1" x14ac:dyDescent="0.2">
      <c r="A587" s="155">
        <v>764</v>
      </c>
      <c r="B587" s="1" t="s">
        <v>379</v>
      </c>
      <c r="C587" s="1" t="s">
        <v>514</v>
      </c>
      <c r="D587" s="1" t="s">
        <v>693</v>
      </c>
      <c r="E587" s="1" t="s">
        <v>306</v>
      </c>
      <c r="F587" s="195" t="s">
        <v>2051</v>
      </c>
      <c r="G587" s="1" t="str">
        <f>_xlfn.XLOOKUP(ITEquipmentTable[[#This Row],[Name]], IntuneData[Device name], IntuneData[Serial number], "")</f>
        <v/>
      </c>
      <c r="H587" s="1" t="s">
        <v>338</v>
      </c>
      <c r="K587" s="223" t="s">
        <v>226</v>
      </c>
      <c r="L587" s="1" t="str">
        <f>_xlfn.LET(
_xlpm.look, _xlfn.XLOOKUP(ITEquipmentTable[[#This Row],[Name]], VNCTable[ClientName], VNCTable[IP], ""),
_xlpm.chkk, IF(ITEquipmentTable[[#This Row],[IPv4 Address]] = "N/A", "N/A", _xlpm.look),
IF(ITEquipmentTable[[#This Row],[Name]] = "", "", _xlpm.chkk))</f>
        <v>N/A</v>
      </c>
      <c r="M587" s="168" t="s">
        <v>226</v>
      </c>
      <c r="N587" s="159" t="str">
        <f>_xlfn.LET(_xlpm.emp, IF(_xlfn.XLOOKUP(ITEquipmentTable[[#This Row],[Assigned Employee]], EmployeeTable[name], EmployeeTable[Active], TRUE), "Employee", "Recover"),
IF(ITEquipmentTable[[#This Row],[Storage Location]] = "Assigned to Employee", _xlpm.emp, "N/A"))</f>
        <v>N/A</v>
      </c>
      <c r="O587" s="161" t="str" cm="1">
        <f t="array" ref="O58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8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87" s="1" t="s">
        <v>312</v>
      </c>
    </row>
    <row r="588" spans="1:19" s="1" customFormat="1" hidden="1" x14ac:dyDescent="0.2">
      <c r="A588" s="155">
        <v>765</v>
      </c>
      <c r="B588" s="1" t="s">
        <v>386</v>
      </c>
      <c r="C588" s="1" t="s">
        <v>514</v>
      </c>
      <c r="D588" s="1" t="s">
        <v>515</v>
      </c>
      <c r="E588" s="1" t="s">
        <v>306</v>
      </c>
      <c r="F588" s="195" t="s">
        <v>2052</v>
      </c>
      <c r="G588" s="1" t="str">
        <f>_xlfn.XLOOKUP(ITEquipmentTable[[#This Row],[Name]], IntuneData[Device name], IntuneData[Serial number], "")</f>
        <v/>
      </c>
      <c r="H588" s="1" t="s">
        <v>338</v>
      </c>
      <c r="K588" s="223" t="s">
        <v>226</v>
      </c>
      <c r="L588" s="1" t="str">
        <f>_xlfn.LET(
_xlpm.look, _xlfn.XLOOKUP(ITEquipmentTable[[#This Row],[Name]], VNCTable[ClientName], VNCTable[IP], ""),
_xlpm.chkk, IF(ITEquipmentTable[[#This Row],[IPv4 Address]] = "N/A", "N/A", _xlpm.look),
IF(ITEquipmentTable[[#This Row],[Name]] = "", "", _xlpm.chkk))</f>
        <v>N/A</v>
      </c>
      <c r="M588" s="168" t="s">
        <v>226</v>
      </c>
      <c r="N588" s="159" t="str">
        <f>_xlfn.LET(_xlpm.emp, IF(_xlfn.XLOOKUP(ITEquipmentTable[[#This Row],[Assigned Employee]], EmployeeTable[name], EmployeeTable[Active], TRUE), "Employee", "Recover"),
IF(ITEquipmentTable[[#This Row],[Storage Location]] = "Assigned to Employee", _xlpm.emp, "N/A"))</f>
        <v>N/A</v>
      </c>
      <c r="O588" s="161" t="str" cm="1">
        <f t="array" ref="O58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8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88" s="1" t="s">
        <v>312</v>
      </c>
    </row>
    <row r="589" spans="1:19" s="1" customFormat="1" hidden="1" x14ac:dyDescent="0.2">
      <c r="A589" s="155">
        <v>766</v>
      </c>
      <c r="B589" s="1" t="s">
        <v>356</v>
      </c>
      <c r="C589" s="1" t="s">
        <v>443</v>
      </c>
      <c r="D589" s="1" t="s">
        <v>444</v>
      </c>
      <c r="E589" s="1" t="s">
        <v>306</v>
      </c>
      <c r="F589" s="195" t="s">
        <v>445</v>
      </c>
      <c r="G589" s="1" t="str">
        <f>_xlfn.XLOOKUP(ITEquipmentTable[[#This Row],[Name]], IntuneData[Device name], IntuneData[Serial number], "")</f>
        <v/>
      </c>
      <c r="H589" s="1" t="s">
        <v>295</v>
      </c>
      <c r="I589" s="1" t="s">
        <v>446</v>
      </c>
      <c r="K589" s="154" t="s">
        <v>226</v>
      </c>
      <c r="L589" s="1" t="str">
        <f>_xlfn.LET(
_xlpm.look, _xlfn.XLOOKUP(ITEquipmentTable[[#This Row],[Name]], VNCTable[ClientName], VNCTable[IP], ""),
_xlpm.chkk, IF(ITEquipmentTable[[#This Row],[IPv4 Address]] = "N/A", "N/A", _xlpm.look),
IF(ITEquipmentTable[[#This Row],[Name]] = "", "", _xlpm.chkk))</f>
        <v>N/A</v>
      </c>
      <c r="M589" s="1" t="s">
        <v>226</v>
      </c>
      <c r="N589" s="159" t="str">
        <f>_xlfn.LET(_xlpm.emp, IF(_xlfn.XLOOKUP(ITEquipmentTable[[#This Row],[Assigned Employee]], EmployeeTable[name], EmployeeTable[Active], TRUE), "Employee", "Recover"),
IF(ITEquipmentTable[[#This Row],[Storage Location]] = "Assigned to Employee", _xlpm.emp, "N/A"))</f>
        <v>N/A</v>
      </c>
      <c r="O589" s="161" t="str" cm="1">
        <f t="array" ref="O58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8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89" s="1" t="s">
        <v>312</v>
      </c>
    </row>
    <row r="590" spans="1:19" s="1" customFormat="1" hidden="1" x14ac:dyDescent="0.2">
      <c r="A590" s="155">
        <v>767</v>
      </c>
      <c r="B590" s="1" t="s">
        <v>356</v>
      </c>
      <c r="C590" s="1" t="s">
        <v>403</v>
      </c>
      <c r="D590" s="1" t="s">
        <v>645</v>
      </c>
      <c r="E590" s="1" t="s">
        <v>306</v>
      </c>
      <c r="F590" s="195" t="s">
        <v>2053</v>
      </c>
      <c r="G590" s="1" t="str">
        <f>_xlfn.XLOOKUP(ITEquipmentTable[[#This Row],[Name]], IntuneData[Device name], IntuneData[Serial number], "")</f>
        <v/>
      </c>
      <c r="H590" s="1" t="s">
        <v>302</v>
      </c>
      <c r="K590" s="154" t="s">
        <v>226</v>
      </c>
      <c r="L590" s="1" t="str">
        <f>_xlfn.LET(
_xlpm.look, _xlfn.XLOOKUP(ITEquipmentTable[[#This Row],[Name]], VNCTable[ClientName], VNCTable[IP], ""),
_xlpm.chkk, IF(ITEquipmentTable[[#This Row],[IPv4 Address]] = "N/A", "N/A", _xlpm.look),
IF(ITEquipmentTable[[#This Row],[Name]] = "", "", _xlpm.chkk))</f>
        <v>N/A</v>
      </c>
      <c r="M590" s="1" t="s">
        <v>226</v>
      </c>
      <c r="N590" s="159" t="str">
        <f>_xlfn.LET(_xlpm.emp, IF(_xlfn.XLOOKUP(ITEquipmentTable[[#This Row],[Assigned Employee]], EmployeeTable[name], EmployeeTable[Active], TRUE), "Employee", "Recover"),
IF(ITEquipmentTable[[#This Row],[Storage Location]] = "Assigned to Employee", _xlpm.emp, "N/A"))</f>
        <v>N/A</v>
      </c>
      <c r="O590" s="161" t="str" cm="1">
        <f t="array" ref="O59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9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90" s="1" t="s">
        <v>312</v>
      </c>
    </row>
    <row r="591" spans="1:19" s="1" customFormat="1" hidden="1" x14ac:dyDescent="0.2">
      <c r="A591" s="155">
        <v>768</v>
      </c>
      <c r="B591" s="1" t="s">
        <v>356</v>
      </c>
      <c r="C591" s="1" t="s">
        <v>443</v>
      </c>
      <c r="D591" s="1" t="s">
        <v>444</v>
      </c>
      <c r="E591" s="1" t="s">
        <v>306</v>
      </c>
      <c r="F591" s="195" t="s">
        <v>2054</v>
      </c>
      <c r="G591" s="1" t="str">
        <f>_xlfn.XLOOKUP(ITEquipmentTable[[#This Row],[Name]], IntuneData[Device name], IntuneData[Serial number], "")</f>
        <v/>
      </c>
      <c r="H591" s="1" t="s">
        <v>302</v>
      </c>
      <c r="K591" s="154" t="s">
        <v>226</v>
      </c>
      <c r="L591" s="1" t="str">
        <f>_xlfn.LET(
_xlpm.look, _xlfn.XLOOKUP(ITEquipmentTable[[#This Row],[Name]], VNCTable[ClientName], VNCTable[IP], ""),
_xlpm.chkk, IF(ITEquipmentTable[[#This Row],[IPv4 Address]] = "N/A", "N/A", _xlpm.look),
IF(ITEquipmentTable[[#This Row],[Name]] = "", "", _xlpm.chkk))</f>
        <v>N/A</v>
      </c>
      <c r="M591" s="1" t="s">
        <v>226</v>
      </c>
      <c r="N591" s="159" t="str">
        <f>_xlfn.LET(_xlpm.emp, IF(_xlfn.XLOOKUP(ITEquipmentTable[[#This Row],[Assigned Employee]], EmployeeTable[name], EmployeeTable[Active], TRUE), "Employee", "Recover"),
IF(ITEquipmentTable[[#This Row],[Storage Location]] = "Assigned to Employee", _xlpm.emp, "N/A"))</f>
        <v>N/A</v>
      </c>
      <c r="O591" s="161" t="str" cm="1">
        <f t="array" ref="O59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9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91" s="1" t="s">
        <v>312</v>
      </c>
    </row>
    <row r="592" spans="1:19" s="1" customFormat="1" hidden="1" x14ac:dyDescent="0.2">
      <c r="A592" s="155">
        <v>770</v>
      </c>
      <c r="B592" s="1" t="s">
        <v>356</v>
      </c>
      <c r="C592" s="1" t="s">
        <v>443</v>
      </c>
      <c r="D592" s="1" t="s">
        <v>444</v>
      </c>
      <c r="E592" s="1" t="s">
        <v>306</v>
      </c>
      <c r="F592" s="195"/>
      <c r="G592" s="1" t="str">
        <f>_xlfn.XLOOKUP(ITEquipmentTable[[#This Row],[Name]], IntuneData[Device name], IntuneData[Serial number], "")</f>
        <v/>
      </c>
      <c r="H592" s="1" t="s">
        <v>295</v>
      </c>
      <c r="I592" s="1" t="s">
        <v>876</v>
      </c>
      <c r="K592" s="154" t="s">
        <v>226</v>
      </c>
      <c r="L592" s="1" t="str">
        <f>_xlfn.LET(
_xlpm.look, _xlfn.XLOOKUP(ITEquipmentTable[[#This Row],[Name]], VNCTable[ClientName], VNCTable[IP], ""),
_xlpm.chkk, IF(ITEquipmentTable[[#This Row],[IPv4 Address]] = "N/A", "N/A", _xlpm.look),
IF(ITEquipmentTable[[#This Row],[Name]] = "", "", _xlpm.chkk))</f>
        <v>N/A</v>
      </c>
      <c r="M592" s="1" t="s">
        <v>226</v>
      </c>
      <c r="N592" s="159" t="str">
        <f>_xlfn.LET(_xlpm.emp, IF(_xlfn.XLOOKUP(ITEquipmentTable[[#This Row],[Assigned Employee]], EmployeeTable[name], EmployeeTable[Active], TRUE), "Employee", "Recover"),
IF(ITEquipmentTable[[#This Row],[Storage Location]] = "Assigned to Employee", _xlpm.emp, "N/A"))</f>
        <v>N/A</v>
      </c>
      <c r="O592" s="161" t="str" cm="1">
        <f t="array" ref="O59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9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592" s="1" t="s">
        <v>312</v>
      </c>
      <c r="S592" s="1" t="s">
        <v>319</v>
      </c>
    </row>
    <row r="593" spans="1:19" s="1" customFormat="1" hidden="1" x14ac:dyDescent="0.2">
      <c r="A593" s="155">
        <v>771</v>
      </c>
      <c r="B593" s="1" t="s">
        <v>356</v>
      </c>
      <c r="C593" s="1" t="s">
        <v>443</v>
      </c>
      <c r="D593" s="1" t="s">
        <v>444</v>
      </c>
      <c r="E593" s="1" t="s">
        <v>306</v>
      </c>
      <c r="F593" s="195"/>
      <c r="G593" s="1" t="str">
        <f>_xlfn.XLOOKUP(ITEquipmentTable[[#This Row],[Name]], IntuneData[Device name], IntuneData[Serial number], "")</f>
        <v/>
      </c>
      <c r="H593" s="1" t="s">
        <v>295</v>
      </c>
      <c r="I593" s="1" t="s">
        <v>876</v>
      </c>
      <c r="K593" s="154" t="s">
        <v>226</v>
      </c>
      <c r="L593" s="1" t="str">
        <f>_xlfn.LET(
_xlpm.look, _xlfn.XLOOKUP(ITEquipmentTable[[#This Row],[Name]], VNCTable[ClientName], VNCTable[IP], ""),
_xlpm.chkk, IF(ITEquipmentTable[[#This Row],[IPv4 Address]] = "N/A", "N/A", _xlpm.look),
IF(ITEquipmentTable[[#This Row],[Name]] = "", "", _xlpm.chkk))</f>
        <v>N/A</v>
      </c>
      <c r="M593" s="1" t="s">
        <v>226</v>
      </c>
      <c r="N593" s="159" t="str">
        <f>_xlfn.LET(_xlpm.emp, IF(_xlfn.XLOOKUP(ITEquipmentTable[[#This Row],[Assigned Employee]], EmployeeTable[name], EmployeeTable[Active], TRUE), "Employee", "Recover"),
IF(ITEquipmentTable[[#This Row],[Storage Location]] = "Assigned to Employee", _xlpm.emp, "N/A"))</f>
        <v>N/A</v>
      </c>
      <c r="O593" s="161" t="str" cm="1">
        <f t="array" ref="O59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9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593" s="1" t="s">
        <v>312</v>
      </c>
      <c r="S593" s="1" t="s">
        <v>319</v>
      </c>
    </row>
    <row r="594" spans="1:19" s="1" customFormat="1" hidden="1" x14ac:dyDescent="0.2">
      <c r="A594" s="155">
        <v>772</v>
      </c>
      <c r="B594" s="1" t="s">
        <v>379</v>
      </c>
      <c r="C594" s="1" t="s">
        <v>514</v>
      </c>
      <c r="D594" s="1" t="s">
        <v>693</v>
      </c>
      <c r="E594" s="1" t="s">
        <v>306</v>
      </c>
      <c r="F594" s="195"/>
      <c r="G594" s="1" t="str">
        <f>_xlfn.XLOOKUP(ITEquipmentTable[[#This Row],[Name]], IntuneData[Device name], IntuneData[Serial number], "")</f>
        <v/>
      </c>
      <c r="H594" s="1" t="s">
        <v>295</v>
      </c>
      <c r="I594" s="1" t="s">
        <v>876</v>
      </c>
      <c r="K594" s="223" t="s">
        <v>226</v>
      </c>
      <c r="L594" s="1" t="str">
        <f>_xlfn.LET(
_xlpm.look, _xlfn.XLOOKUP(ITEquipmentTable[[#This Row],[Name]], VNCTable[ClientName], VNCTable[IP], ""),
_xlpm.chkk, IF(ITEquipmentTable[[#This Row],[IPv4 Address]] = "N/A", "N/A", _xlpm.look),
IF(ITEquipmentTable[[#This Row],[Name]] = "", "", _xlpm.chkk))</f>
        <v>N/A</v>
      </c>
      <c r="M594" s="168" t="s">
        <v>226</v>
      </c>
      <c r="N594" s="159" t="str">
        <f>_xlfn.LET(_xlpm.emp, IF(_xlfn.XLOOKUP(ITEquipmentTable[[#This Row],[Assigned Employee]], EmployeeTable[name], EmployeeTable[Active], TRUE), "Employee", "Recover"),
IF(ITEquipmentTable[[#This Row],[Storage Location]] = "Assigned to Employee", _xlpm.emp, "N/A"))</f>
        <v>N/A</v>
      </c>
      <c r="O594" s="161" t="str" cm="1">
        <f t="array" ref="O59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9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594" s="1" t="s">
        <v>312</v>
      </c>
      <c r="S594" s="1" t="s">
        <v>319</v>
      </c>
    </row>
    <row r="595" spans="1:19" s="1" customFormat="1" x14ac:dyDescent="0.2">
      <c r="A595" s="155">
        <v>773</v>
      </c>
      <c r="B595" s="1" t="s">
        <v>304</v>
      </c>
      <c r="C595" s="1" t="s">
        <v>403</v>
      </c>
      <c r="D595" s="1" t="s">
        <v>2112</v>
      </c>
      <c r="E595" s="1" t="s">
        <v>306</v>
      </c>
      <c r="F595" s="195" t="s">
        <v>2113</v>
      </c>
      <c r="G595" s="266" t="str">
        <f>_xlfn.XLOOKUP(ITEquipmentTable[[#This Row],[Name]], IntuneData[Device name], IntuneData[Serial number], "")</f>
        <v/>
      </c>
      <c r="H595" s="1" t="s">
        <v>328</v>
      </c>
      <c r="K595" s="154" t="s">
        <v>226</v>
      </c>
      <c r="L595" s="266" t="str">
        <f>_xlfn.LET(
_xlpm.look, _xlfn.XLOOKUP(ITEquipmentTable[[#This Row],[Name]], VNCTable[ClientName], VNCTable[IP], ""),
_xlpm.chkk, IF(ITEquipmentTable[[#This Row],[IPv4 Address]] = "N/A", "N/A", _xlpm.look),
IF(ITEquipmentTable[[#This Row],[Name]] = "", "", _xlpm.chkk))</f>
        <v>N/A</v>
      </c>
      <c r="M595" s="1" t="s">
        <v>226</v>
      </c>
      <c r="N595" s="159" t="str">
        <f>_xlfn.LET(_xlpm.emp, IF(_xlfn.XLOOKUP(ITEquipmentTable[[#This Row],[Assigned Employee]], EmployeeTable[name], EmployeeTable[Active], TRUE), "Employee", "Recover"),
IF(ITEquipmentTable[[#This Row],[Storage Location]] = "Assigned to Employee", _xlpm.emp, "N/A"))</f>
        <v>N/A</v>
      </c>
      <c r="O595" s="161" t="str" cm="1">
        <f t="array" ref="O59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9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row>
    <row r="596" spans="1:19" s="1" customFormat="1" hidden="1" x14ac:dyDescent="0.2">
      <c r="A596" s="155">
        <v>774</v>
      </c>
      <c r="B596" s="1" t="s">
        <v>356</v>
      </c>
      <c r="C596" s="1" t="s">
        <v>443</v>
      </c>
      <c r="D596" s="1" t="s">
        <v>444</v>
      </c>
      <c r="E596" s="1" t="s">
        <v>306</v>
      </c>
      <c r="F596" s="195" t="s">
        <v>2058</v>
      </c>
      <c r="G596" s="1" t="str">
        <f>_xlfn.XLOOKUP(ITEquipmentTable[[#This Row],[Name]], IntuneData[Device name], IntuneData[Serial number], "")</f>
        <v/>
      </c>
      <c r="H596" s="1" t="s">
        <v>328</v>
      </c>
      <c r="K596" s="154" t="s">
        <v>226</v>
      </c>
      <c r="L596" s="1" t="str">
        <f>_xlfn.LET(
_xlpm.look, _xlfn.XLOOKUP(ITEquipmentTable[[#This Row],[Name]], VNCTable[ClientName], VNCTable[IP], ""),
_xlpm.chkk, IF(ITEquipmentTable[[#This Row],[IPv4 Address]] = "N/A", "N/A", _xlpm.look),
IF(ITEquipmentTable[[#This Row],[Name]] = "", "", _xlpm.chkk))</f>
        <v>N/A</v>
      </c>
      <c r="M596" s="1" t="s">
        <v>226</v>
      </c>
      <c r="N596" s="159" t="str">
        <f>_xlfn.LET(_xlpm.emp, IF(_xlfn.XLOOKUP(ITEquipmentTable[[#This Row],[Assigned Employee]], EmployeeTable[name], EmployeeTable[Active], TRUE), "Employee", "Recover"),
IF(ITEquipmentTable[[#This Row],[Storage Location]] = "Assigned to Employee", _xlpm.emp, "N/A"))</f>
        <v>N/A</v>
      </c>
      <c r="O596" s="161" t="str" cm="1">
        <f t="array" ref="O59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9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96" s="1" t="s">
        <v>312</v>
      </c>
    </row>
    <row r="597" spans="1:19" s="1" customFormat="1" hidden="1" x14ac:dyDescent="0.2">
      <c r="A597" s="155">
        <v>775</v>
      </c>
      <c r="B597" s="1" t="s">
        <v>356</v>
      </c>
      <c r="C597" s="1" t="s">
        <v>443</v>
      </c>
      <c r="D597" s="1" t="s">
        <v>444</v>
      </c>
      <c r="E597" s="1" t="s">
        <v>306</v>
      </c>
      <c r="F597" s="195" t="s">
        <v>2059</v>
      </c>
      <c r="G597" s="1" t="str">
        <f>_xlfn.XLOOKUP(ITEquipmentTable[[#This Row],[Name]], IntuneData[Device name], IntuneData[Serial number], "")</f>
        <v/>
      </c>
      <c r="H597" s="1" t="s">
        <v>328</v>
      </c>
      <c r="K597" s="154" t="s">
        <v>226</v>
      </c>
      <c r="L597" s="1" t="str">
        <f>_xlfn.LET(
_xlpm.look, _xlfn.XLOOKUP(ITEquipmentTable[[#This Row],[Name]], VNCTable[ClientName], VNCTable[IP], ""),
_xlpm.chkk, IF(ITEquipmentTable[[#This Row],[IPv4 Address]] = "N/A", "N/A", _xlpm.look),
IF(ITEquipmentTable[[#This Row],[Name]] = "", "", _xlpm.chkk))</f>
        <v>N/A</v>
      </c>
      <c r="M597" s="1" t="s">
        <v>226</v>
      </c>
      <c r="N597" s="159" t="str">
        <f>_xlfn.LET(_xlpm.emp, IF(_xlfn.XLOOKUP(ITEquipmentTable[[#This Row],[Assigned Employee]], EmployeeTable[name], EmployeeTable[Active], TRUE), "Employee", "Recover"),
IF(ITEquipmentTable[[#This Row],[Storage Location]] = "Assigned to Employee", _xlpm.emp, "N/A"))</f>
        <v>N/A</v>
      </c>
      <c r="O597" s="161" t="str" cm="1">
        <f t="array" ref="O59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9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597" s="1" t="s">
        <v>312</v>
      </c>
    </row>
    <row r="598" spans="1:19" s="1" customFormat="1" hidden="1" x14ac:dyDescent="0.2">
      <c r="A598" s="155">
        <v>776</v>
      </c>
      <c r="B598" s="1" t="s">
        <v>386</v>
      </c>
      <c r="C598" s="1" t="s">
        <v>514</v>
      </c>
      <c r="D598" s="1" t="s">
        <v>515</v>
      </c>
      <c r="E598" s="1" t="s">
        <v>306</v>
      </c>
      <c r="F598" s="195"/>
      <c r="G598" s="1" t="str">
        <f>_xlfn.XLOOKUP(ITEquipmentTable[[#This Row],[Name]], IntuneData[Device name], IntuneData[Serial number], "")</f>
        <v/>
      </c>
      <c r="H598" s="1" t="s">
        <v>295</v>
      </c>
      <c r="I598" s="1" t="s">
        <v>876</v>
      </c>
      <c r="K598" s="154" t="s">
        <v>226</v>
      </c>
      <c r="L598" s="1" t="str">
        <f>_xlfn.LET(
_xlpm.look, _xlfn.XLOOKUP(ITEquipmentTable[[#This Row],[Name]], VNCTable[ClientName], VNCTable[IP], ""),
_xlpm.chkk, IF(ITEquipmentTable[[#This Row],[IPv4 Address]] = "N/A", "N/A", _xlpm.look),
IF(ITEquipmentTable[[#This Row],[Name]] = "", "", _xlpm.chkk))</f>
        <v>N/A</v>
      </c>
      <c r="M598" s="1" t="s">
        <v>226</v>
      </c>
      <c r="N598" s="159" t="str">
        <f>_xlfn.LET(_xlpm.emp, IF(_xlfn.XLOOKUP(ITEquipmentTable[[#This Row],[Assigned Employee]], EmployeeTable[name], EmployeeTable[Active], TRUE), "Employee", "Recover"),
IF(ITEquipmentTable[[#This Row],[Storage Location]] = "Assigned to Employee", _xlpm.emp, "N/A"))</f>
        <v>N/A</v>
      </c>
      <c r="O598" s="161" t="str" cm="1">
        <f t="array" ref="O59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9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598" s="1" t="s">
        <v>312</v>
      </c>
      <c r="S598" s="1" t="s">
        <v>319</v>
      </c>
    </row>
    <row r="599" spans="1:19" s="1" customFormat="1" hidden="1" x14ac:dyDescent="0.2">
      <c r="A599" s="155">
        <v>780</v>
      </c>
      <c r="B599" s="1" t="s">
        <v>340</v>
      </c>
      <c r="C599" s="1" t="s">
        <v>478</v>
      </c>
      <c r="D599" s="1" t="s">
        <v>479</v>
      </c>
      <c r="E599" s="1" t="s">
        <v>306</v>
      </c>
      <c r="F599" s="195"/>
      <c r="G599" s="1" t="str">
        <f>_xlfn.XLOOKUP(ITEquipmentTable[[#This Row],[Name]], IntuneData[Device name], IntuneData[Serial number], "")</f>
        <v/>
      </c>
      <c r="K599" s="154" t="s">
        <v>226</v>
      </c>
      <c r="L599" s="1" t="str">
        <f>_xlfn.LET(
_xlpm.look, _xlfn.XLOOKUP(ITEquipmentTable[[#This Row],[Name]], VNCTable[ClientName], VNCTable[IP], ""),
_xlpm.chkk, IF(ITEquipmentTable[[#This Row],[IPv4 Address]] = "N/A", "N/A", _xlpm.look),
IF(ITEquipmentTable[[#This Row],[Name]] = "", "", _xlpm.chkk))</f>
        <v>N/A</v>
      </c>
      <c r="M599" s="1" t="s">
        <v>226</v>
      </c>
      <c r="N599" s="159" t="str">
        <f>_xlfn.LET(_xlpm.emp, IF(_xlfn.XLOOKUP(ITEquipmentTable[[#This Row],[Assigned Employee]], EmployeeTable[name], EmployeeTable[Active], TRUE), "Employee", "Recover"),
IF(ITEquipmentTable[[#This Row],[Storage Location]] = "Assigned to Employee", _xlpm.emp, "N/A"))</f>
        <v>N/A</v>
      </c>
      <c r="O599" s="159" t="str" cm="1">
        <f t="array" ref="O59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59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599" s="1" t="s">
        <v>312</v>
      </c>
      <c r="S599" s="1" t="s">
        <v>2438</v>
      </c>
    </row>
    <row r="600" spans="1:19" s="1" customFormat="1" hidden="1" x14ac:dyDescent="0.2">
      <c r="A600" s="155">
        <v>781</v>
      </c>
      <c r="B600" s="1" t="s">
        <v>340</v>
      </c>
      <c r="C600" s="1" t="s">
        <v>478</v>
      </c>
      <c r="D600" s="1" t="s">
        <v>479</v>
      </c>
      <c r="E600" s="1" t="s">
        <v>306</v>
      </c>
      <c r="F600" s="195"/>
      <c r="G600" s="1" t="str">
        <f>_xlfn.XLOOKUP(ITEquipmentTable[[#This Row],[Name]], IntuneData[Device name], IntuneData[Serial number], "")</f>
        <v/>
      </c>
      <c r="K600" s="154" t="s">
        <v>226</v>
      </c>
      <c r="L600" s="1" t="str">
        <f>_xlfn.LET(
_xlpm.look, _xlfn.XLOOKUP(ITEquipmentTable[[#This Row],[Name]], VNCTable[ClientName], VNCTable[IP], ""),
_xlpm.chkk, IF(ITEquipmentTable[[#This Row],[IPv4 Address]] = "N/A", "N/A", _xlpm.look),
IF(ITEquipmentTable[[#This Row],[Name]] = "", "", _xlpm.chkk))</f>
        <v>N/A</v>
      </c>
      <c r="M600" s="1" t="s">
        <v>226</v>
      </c>
      <c r="N600" s="159" t="str">
        <f>_xlfn.LET(_xlpm.emp, IF(_xlfn.XLOOKUP(ITEquipmentTable[[#This Row],[Assigned Employee]], EmployeeTable[name], EmployeeTable[Active], TRUE), "Employee", "Recover"),
IF(ITEquipmentTable[[#This Row],[Storage Location]] = "Assigned to Employee", _xlpm.emp, "N/A"))</f>
        <v>N/A</v>
      </c>
      <c r="O600" s="159" t="str" cm="1">
        <f t="array" ref="O60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0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00" s="1" t="s">
        <v>312</v>
      </c>
      <c r="S600" s="1" t="s">
        <v>2438</v>
      </c>
    </row>
    <row r="601" spans="1:19" s="1" customFormat="1" hidden="1" x14ac:dyDescent="0.2">
      <c r="A601" s="155">
        <v>782</v>
      </c>
      <c r="B601" s="1" t="s">
        <v>340</v>
      </c>
      <c r="C601" s="1" t="s">
        <v>478</v>
      </c>
      <c r="D601" s="1" t="s">
        <v>479</v>
      </c>
      <c r="E601" s="1" t="s">
        <v>306</v>
      </c>
      <c r="F601" s="195"/>
      <c r="G601" s="164" t="str">
        <f>_xlfn.XLOOKUP(ITEquipmentTable[[#This Row],[Name]], IntuneData[Device name], IntuneData[Serial number], "")</f>
        <v/>
      </c>
      <c r="K601" s="154" t="s">
        <v>226</v>
      </c>
      <c r="L601" s="164" t="str">
        <f>_xlfn.LET(
_xlpm.look, _xlfn.XLOOKUP(ITEquipmentTable[[#This Row],[Name]], VNCTable[ClientName], VNCTable[IP], ""),
_xlpm.chkk, IF(ITEquipmentTable[[#This Row],[IPv4 Address]] = "N/A", "N/A", _xlpm.look),
IF(ITEquipmentTable[[#This Row],[Name]] = "", "", _xlpm.chkk))</f>
        <v>N/A</v>
      </c>
      <c r="M601" s="1" t="s">
        <v>226</v>
      </c>
      <c r="N601" s="159" t="str">
        <f>_xlfn.LET(_xlpm.emp, IF(_xlfn.XLOOKUP(ITEquipmentTable[[#This Row],[Assigned Employee]], EmployeeTable[name], EmployeeTable[Active], TRUE), "Employee", "Recover"),
IF(ITEquipmentTable[[#This Row],[Storage Location]] = "Assigned to Employee", _xlpm.emp, "N/A"))</f>
        <v>N/A</v>
      </c>
      <c r="O601" s="159" t="str" cm="1">
        <f t="array" ref="O60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0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01" s="1" t="s">
        <v>312</v>
      </c>
      <c r="S601" s="1" t="s">
        <v>2438</v>
      </c>
    </row>
    <row r="602" spans="1:19" s="1" customFormat="1" hidden="1" x14ac:dyDescent="0.2">
      <c r="A602" s="155">
        <v>783</v>
      </c>
      <c r="B602" s="1" t="s">
        <v>340</v>
      </c>
      <c r="C602" s="1" t="s">
        <v>478</v>
      </c>
      <c r="D602" s="1" t="s">
        <v>479</v>
      </c>
      <c r="E602" s="1" t="s">
        <v>306</v>
      </c>
      <c r="F602" s="195"/>
      <c r="G602" s="164" t="str">
        <f>_xlfn.XLOOKUP(ITEquipmentTable[[#This Row],[Name]], IntuneData[Device name], IntuneData[Serial number], "")</f>
        <v/>
      </c>
      <c r="K602" s="154" t="s">
        <v>226</v>
      </c>
      <c r="L602" s="164" t="str">
        <f>_xlfn.LET(
_xlpm.look, _xlfn.XLOOKUP(ITEquipmentTable[[#This Row],[Name]], VNCTable[ClientName], VNCTable[IP], ""),
_xlpm.chkk, IF(ITEquipmentTable[[#This Row],[IPv4 Address]] = "N/A", "N/A", _xlpm.look),
IF(ITEquipmentTable[[#This Row],[Name]] = "", "", _xlpm.chkk))</f>
        <v>N/A</v>
      </c>
      <c r="M602" s="1" t="s">
        <v>226</v>
      </c>
      <c r="N602" s="159" t="str">
        <f>_xlfn.LET(_xlpm.emp, IF(_xlfn.XLOOKUP(ITEquipmentTable[[#This Row],[Assigned Employee]], EmployeeTable[name], EmployeeTable[Active], TRUE), "Employee", "Recover"),
IF(ITEquipmentTable[[#This Row],[Storage Location]] = "Assigned to Employee", _xlpm.emp, "N/A"))</f>
        <v>N/A</v>
      </c>
      <c r="O602" s="159" t="str" cm="1">
        <f t="array" ref="O60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0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02" s="1" t="s">
        <v>312</v>
      </c>
      <c r="S602" s="1" t="s">
        <v>2438</v>
      </c>
    </row>
    <row r="603" spans="1:19" s="1" customFormat="1" hidden="1" x14ac:dyDescent="0.2">
      <c r="A603" s="155">
        <v>784</v>
      </c>
      <c r="B603" s="1" t="s">
        <v>340</v>
      </c>
      <c r="C603" s="1" t="s">
        <v>478</v>
      </c>
      <c r="D603" s="1" t="s">
        <v>479</v>
      </c>
      <c r="E603" s="1" t="s">
        <v>306</v>
      </c>
      <c r="F603" s="195"/>
      <c r="G603" s="164" t="str">
        <f>_xlfn.XLOOKUP(ITEquipmentTable[[#This Row],[Name]], IntuneData[Device name], IntuneData[Serial number], "")</f>
        <v/>
      </c>
      <c r="K603" s="154" t="s">
        <v>226</v>
      </c>
      <c r="L603" s="164" t="str">
        <f>_xlfn.LET(
_xlpm.look, _xlfn.XLOOKUP(ITEquipmentTable[[#This Row],[Name]], VNCTable[ClientName], VNCTable[IP], ""),
_xlpm.chkk, IF(ITEquipmentTable[[#This Row],[IPv4 Address]] = "N/A", "N/A", _xlpm.look),
IF(ITEquipmentTable[[#This Row],[Name]] = "", "", _xlpm.chkk))</f>
        <v>N/A</v>
      </c>
      <c r="M603" s="1" t="s">
        <v>226</v>
      </c>
      <c r="N603" s="159" t="str">
        <f>_xlfn.LET(_xlpm.emp, IF(_xlfn.XLOOKUP(ITEquipmentTable[[#This Row],[Assigned Employee]], EmployeeTable[name], EmployeeTable[Active], TRUE), "Employee", "Recover"),
IF(ITEquipmentTable[[#This Row],[Storage Location]] = "Assigned to Employee", _xlpm.emp, "N/A"))</f>
        <v>N/A</v>
      </c>
      <c r="O603" s="159" t="str" cm="1">
        <f t="array" ref="O60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0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03" s="1" t="s">
        <v>312</v>
      </c>
      <c r="S603" s="1" t="s">
        <v>2438</v>
      </c>
    </row>
    <row r="604" spans="1:19" s="1" customFormat="1" hidden="1" x14ac:dyDescent="0.2">
      <c r="A604" s="155">
        <v>785</v>
      </c>
      <c r="B604" s="1" t="s">
        <v>340</v>
      </c>
      <c r="C604" s="1" t="s">
        <v>478</v>
      </c>
      <c r="D604" s="1" t="s">
        <v>479</v>
      </c>
      <c r="E604" s="1" t="s">
        <v>306</v>
      </c>
      <c r="F604" s="195"/>
      <c r="G604" s="164" t="str">
        <f>_xlfn.XLOOKUP(ITEquipmentTable[[#This Row],[Name]], IntuneData[Device name], IntuneData[Serial number], "")</f>
        <v/>
      </c>
      <c r="K604" s="154" t="s">
        <v>226</v>
      </c>
      <c r="L604" s="164" t="str">
        <f>_xlfn.LET(
_xlpm.look, _xlfn.XLOOKUP(ITEquipmentTable[[#This Row],[Name]], VNCTable[ClientName], VNCTable[IP], ""),
_xlpm.chkk, IF(ITEquipmentTable[[#This Row],[IPv4 Address]] = "N/A", "N/A", _xlpm.look),
IF(ITEquipmentTable[[#This Row],[Name]] = "", "", _xlpm.chkk))</f>
        <v>N/A</v>
      </c>
      <c r="M604" s="1" t="s">
        <v>226</v>
      </c>
      <c r="N604" s="159" t="str">
        <f>_xlfn.LET(_xlpm.emp, IF(_xlfn.XLOOKUP(ITEquipmentTable[[#This Row],[Assigned Employee]], EmployeeTable[name], EmployeeTable[Active], TRUE), "Employee", "Recover"),
IF(ITEquipmentTable[[#This Row],[Storage Location]] = "Assigned to Employee", _xlpm.emp, "N/A"))</f>
        <v>N/A</v>
      </c>
      <c r="O604" s="159" t="str" cm="1">
        <f t="array" ref="O60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0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04" s="1" t="s">
        <v>312</v>
      </c>
      <c r="S604" s="1" t="s">
        <v>2438</v>
      </c>
    </row>
    <row r="605" spans="1:19" s="1" customFormat="1" hidden="1" x14ac:dyDescent="0.2">
      <c r="A605" s="155">
        <v>786</v>
      </c>
      <c r="B605" s="1" t="s">
        <v>356</v>
      </c>
      <c r="C605" s="1" t="s">
        <v>443</v>
      </c>
      <c r="D605" s="1" t="s">
        <v>444</v>
      </c>
      <c r="E605" s="1" t="s">
        <v>306</v>
      </c>
      <c r="F605" s="195" t="s">
        <v>456</v>
      </c>
      <c r="G605" s="164" t="str">
        <f>_xlfn.XLOOKUP(ITEquipmentTable[[#This Row],[Name]], IntuneData[Device name], IntuneData[Serial number], "")</f>
        <v/>
      </c>
      <c r="H605" s="1" t="s">
        <v>295</v>
      </c>
      <c r="I605" s="1" t="s">
        <v>457</v>
      </c>
      <c r="K605" s="154" t="s">
        <v>226</v>
      </c>
      <c r="L605" s="164" t="str">
        <f>_xlfn.LET(
_xlpm.look, _xlfn.XLOOKUP(ITEquipmentTable[[#This Row],[Name]], VNCTable[ClientName], VNCTable[IP], ""),
_xlpm.chkk, IF(ITEquipmentTable[[#This Row],[IPv4 Address]] = "N/A", "N/A", _xlpm.look),
IF(ITEquipmentTable[[#This Row],[Name]] = "", "", _xlpm.chkk))</f>
        <v>N/A</v>
      </c>
      <c r="M605" s="1" t="s">
        <v>226</v>
      </c>
      <c r="N605" s="159" t="str">
        <f>_xlfn.LET(_xlpm.emp, IF(_xlfn.XLOOKUP(ITEquipmentTable[[#This Row],[Assigned Employee]], EmployeeTable[name], EmployeeTable[Active], TRUE), "Employee", "Recover"),
IF(ITEquipmentTable[[#This Row],[Storage Location]] = "Assigned to Employee", _xlpm.emp, "N/A"))</f>
        <v>N/A</v>
      </c>
      <c r="O605" s="161" t="str" cm="1">
        <f t="array" ref="O60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0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05" s="1" t="s">
        <v>312</v>
      </c>
    </row>
    <row r="606" spans="1:19" s="1" customFormat="1" hidden="1" x14ac:dyDescent="0.2">
      <c r="A606" s="155">
        <v>788</v>
      </c>
      <c r="B606" s="1" t="s">
        <v>356</v>
      </c>
      <c r="C606" s="1" t="s">
        <v>443</v>
      </c>
      <c r="D606" s="1" t="s">
        <v>444</v>
      </c>
      <c r="E606" s="1" t="s">
        <v>306</v>
      </c>
      <c r="F606" s="195" t="s">
        <v>448</v>
      </c>
      <c r="G606" s="1" t="str">
        <f>_xlfn.XLOOKUP(ITEquipmentTable[[#This Row],[Name]], IntuneData[Device name], IntuneData[Serial number], "")</f>
        <v/>
      </c>
      <c r="H606" s="1" t="s">
        <v>295</v>
      </c>
      <c r="I606" s="1" t="s">
        <v>446</v>
      </c>
      <c r="K606" s="154" t="s">
        <v>226</v>
      </c>
      <c r="L606" s="1" t="str">
        <f>_xlfn.LET(
_xlpm.look, _xlfn.XLOOKUP(ITEquipmentTable[[#This Row],[Name]], VNCTable[ClientName], VNCTable[IP], ""),
_xlpm.chkk, IF(ITEquipmentTable[[#This Row],[IPv4 Address]] = "N/A", "N/A", _xlpm.look),
IF(ITEquipmentTable[[#This Row],[Name]] = "", "", _xlpm.chkk))</f>
        <v>N/A</v>
      </c>
      <c r="M606" s="1" t="s">
        <v>226</v>
      </c>
      <c r="N606" s="159" t="str">
        <f>_xlfn.LET(_xlpm.emp, IF(_xlfn.XLOOKUP(ITEquipmentTable[[#This Row],[Assigned Employee]], EmployeeTable[name], EmployeeTable[Active], TRUE), "Employee", "Recover"),
IF(ITEquipmentTable[[#This Row],[Storage Location]] = "Assigned to Employee", _xlpm.emp, "N/A"))</f>
        <v>N/A</v>
      </c>
      <c r="O606" s="161" t="str" cm="1">
        <f t="array" ref="O60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0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06" s="1" t="s">
        <v>312</v>
      </c>
    </row>
    <row r="607" spans="1:19" s="1" customFormat="1" hidden="1" x14ac:dyDescent="0.2">
      <c r="A607" s="155">
        <v>789</v>
      </c>
      <c r="B607" s="1" t="s">
        <v>379</v>
      </c>
      <c r="C607" s="1" t="s">
        <v>450</v>
      </c>
      <c r="D607" s="1" t="s">
        <v>451</v>
      </c>
      <c r="E607" s="1" t="s">
        <v>306</v>
      </c>
      <c r="F607" s="195"/>
      <c r="G607" s="1" t="str">
        <f>_xlfn.XLOOKUP(ITEquipmentTable[[#This Row],[Name]], IntuneData[Device name], IntuneData[Serial number], "")</f>
        <v/>
      </c>
      <c r="H607" s="1" t="s">
        <v>295</v>
      </c>
      <c r="I607" s="1" t="s">
        <v>446</v>
      </c>
      <c r="K607" s="223" t="s">
        <v>226</v>
      </c>
      <c r="L607" s="1" t="str">
        <f>_xlfn.LET(
_xlpm.look, _xlfn.XLOOKUP(ITEquipmentTable[[#This Row],[Name]], VNCTable[ClientName], VNCTable[IP], ""),
_xlpm.chkk, IF(ITEquipmentTable[[#This Row],[IPv4 Address]] = "N/A", "N/A", _xlpm.look),
IF(ITEquipmentTable[[#This Row],[Name]] = "", "", _xlpm.chkk))</f>
        <v>N/A</v>
      </c>
      <c r="M607" s="168" t="s">
        <v>226</v>
      </c>
      <c r="N607" s="159" t="str">
        <f>_xlfn.LET(_xlpm.emp, IF(_xlfn.XLOOKUP(ITEquipmentTable[[#This Row],[Assigned Employee]], EmployeeTable[name], EmployeeTable[Active], TRUE), "Employee", "Recover"),
IF(ITEquipmentTable[[#This Row],[Storage Location]] = "Assigned to Employee", _xlpm.emp, "N/A"))</f>
        <v>N/A</v>
      </c>
      <c r="O607" s="161" t="str" cm="1">
        <f t="array" ref="O60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0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07" s="1" t="s">
        <v>312</v>
      </c>
      <c r="S607" s="1" t="s">
        <v>319</v>
      </c>
    </row>
    <row r="608" spans="1:19" s="1" customFormat="1" hidden="1" x14ac:dyDescent="0.2">
      <c r="A608" s="155">
        <v>790</v>
      </c>
      <c r="B608" s="189" t="s">
        <v>371</v>
      </c>
      <c r="C608" s="189" t="s">
        <v>387</v>
      </c>
      <c r="D608" s="189" t="s">
        <v>388</v>
      </c>
      <c r="E608" s="1" t="s">
        <v>306</v>
      </c>
      <c r="F608" s="195" t="s">
        <v>389</v>
      </c>
      <c r="G608" s="1" t="str">
        <f>_xlfn.XLOOKUP(ITEquipmentTable[[#This Row],[Name]], IntuneData[Device name], IntuneData[Serial number], "")</f>
        <v/>
      </c>
      <c r="H608" s="1" t="s">
        <v>295</v>
      </c>
      <c r="I608" s="1" t="s">
        <v>390</v>
      </c>
      <c r="K608" s="154" t="s">
        <v>226</v>
      </c>
      <c r="L608" s="1" t="str">
        <f>_xlfn.LET(
_xlpm.look, _xlfn.XLOOKUP(ITEquipmentTable[[#This Row],[Name]], VNCTable[ClientName], VNCTable[IP], ""),
_xlpm.chkk, IF(ITEquipmentTable[[#This Row],[IPv4 Address]] = "N/A", "N/A", _xlpm.look),
IF(ITEquipmentTable[[#This Row],[Name]] = "", "", _xlpm.chkk))</f>
        <v>N/A</v>
      </c>
      <c r="M608" s="1" t="s">
        <v>226</v>
      </c>
      <c r="N608" s="159" t="str">
        <f>_xlfn.LET(_xlpm.emp, IF(_xlfn.XLOOKUP(ITEquipmentTable[[#This Row],[Assigned Employee]], EmployeeTable[name], EmployeeTable[Active], TRUE), "Employee", "Recover"),
IF(ITEquipmentTable[[#This Row],[Storage Location]] = "Assigned to Employee", _xlpm.emp, "N/A"))</f>
        <v>N/A</v>
      </c>
      <c r="O608" s="161" t="str" cm="1">
        <f t="array" ref="O60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0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08" s="1" t="s">
        <v>312</v>
      </c>
    </row>
    <row r="609" spans="1:19" s="1" customFormat="1" hidden="1" x14ac:dyDescent="0.2">
      <c r="A609" s="155">
        <v>792</v>
      </c>
      <c r="B609" s="1" t="s">
        <v>342</v>
      </c>
      <c r="C609" s="1" t="s">
        <v>342</v>
      </c>
      <c r="D609" s="1" t="s">
        <v>1911</v>
      </c>
      <c r="E609" s="1" t="s">
        <v>306</v>
      </c>
      <c r="F609" s="195" t="s">
        <v>2060</v>
      </c>
      <c r="G609" s="1" t="str">
        <f>_xlfn.XLOOKUP(ITEquipmentTable[[#This Row],[Name]], IntuneData[Device name], IntuneData[Serial number], "")</f>
        <v/>
      </c>
      <c r="H609" s="1" t="s">
        <v>321</v>
      </c>
      <c r="K609" s="154" t="s">
        <v>226</v>
      </c>
      <c r="L609" s="1" t="str">
        <f>_xlfn.LET(
_xlpm.look, _xlfn.XLOOKUP(ITEquipmentTable[[#This Row],[Name]], VNCTable[ClientName], VNCTable[IP], ""),
_xlpm.chkk, IF(ITEquipmentTable[[#This Row],[IPv4 Address]] = "N/A", "N/A", _xlpm.look),
IF(ITEquipmentTable[[#This Row],[Name]] = "", "", _xlpm.chkk))</f>
        <v>N/A</v>
      </c>
      <c r="M609" s="1" t="s">
        <v>226</v>
      </c>
      <c r="N609" s="159" t="str">
        <f>_xlfn.LET(_xlpm.emp, IF(_xlfn.XLOOKUP(ITEquipmentTable[[#This Row],[Assigned Employee]], EmployeeTable[name], EmployeeTable[Active], TRUE), "Employee", "Recover"),
IF(ITEquipmentTable[[#This Row],[Storage Location]] = "Assigned to Employee", _xlpm.emp, "N/A"))</f>
        <v>N/A</v>
      </c>
      <c r="O609" s="161" t="str" cm="1">
        <f t="array" ref="O60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0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09" s="1" t="s">
        <v>312</v>
      </c>
    </row>
    <row r="610" spans="1:19" s="1" customFormat="1" hidden="1" x14ac:dyDescent="0.2">
      <c r="A610" s="155">
        <v>794</v>
      </c>
      <c r="B610" s="189" t="s">
        <v>356</v>
      </c>
      <c r="C610" s="189" t="s">
        <v>403</v>
      </c>
      <c r="D610" s="189" t="s">
        <v>645</v>
      </c>
      <c r="E610" s="189" t="s">
        <v>306</v>
      </c>
      <c r="F610" s="195" t="s">
        <v>1036</v>
      </c>
      <c r="G610" s="1" t="str">
        <f>_xlfn.XLOOKUP(ITEquipmentTable[[#This Row],[Name]], IntuneData[Device name], IntuneData[Serial number], "")</f>
        <v/>
      </c>
      <c r="H610" s="189" t="s">
        <v>295</v>
      </c>
      <c r="I610" s="189" t="s">
        <v>1037</v>
      </c>
      <c r="J610" s="189"/>
      <c r="K610" s="154" t="s">
        <v>226</v>
      </c>
      <c r="L610" s="189" t="str">
        <f>_xlfn.LET(
_xlpm.look, _xlfn.XLOOKUP(ITEquipmentTable[[#This Row],[Name]], VNCTable[ClientName], VNCTable[IP], ""),
_xlpm.chkk, IF(ITEquipmentTable[[#This Row],[IPv4 Address]] = "N/A", "N/A", _xlpm.look),
IF(ITEquipmentTable[[#This Row],[Name]] = "", "", _xlpm.chkk))</f>
        <v>N/A</v>
      </c>
      <c r="M610" s="1" t="s">
        <v>226</v>
      </c>
      <c r="N610" s="159" t="str">
        <f>_xlfn.LET(_xlpm.emp, IF(_xlfn.XLOOKUP(ITEquipmentTable[[#This Row],[Assigned Employee]], EmployeeTable[name], EmployeeTable[Active], TRUE), "Employee", "Recover"),
IF(ITEquipmentTable[[#This Row],[Storage Location]] = "Assigned to Employee", _xlpm.emp, "N/A"))</f>
        <v>N/A</v>
      </c>
      <c r="O610" s="161" t="str" cm="1">
        <f t="array" ref="O61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1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10" s="193"/>
      <c r="R610" s="193" t="s">
        <v>312</v>
      </c>
      <c r="S610" s="189"/>
    </row>
    <row r="611" spans="1:19" s="1" customFormat="1" hidden="1" x14ac:dyDescent="0.2">
      <c r="A611" s="155">
        <v>795</v>
      </c>
      <c r="B611" s="189" t="s">
        <v>356</v>
      </c>
      <c r="C611" s="189" t="s">
        <v>403</v>
      </c>
      <c r="D611" s="189" t="s">
        <v>645</v>
      </c>
      <c r="E611" s="189" t="s">
        <v>306</v>
      </c>
      <c r="F611" s="195" t="s">
        <v>1045</v>
      </c>
      <c r="G611" s="1" t="str">
        <f>_xlfn.XLOOKUP(ITEquipmentTable[[#This Row],[Name]], IntuneData[Device name], IntuneData[Serial number], "")</f>
        <v/>
      </c>
      <c r="H611" s="189" t="s">
        <v>295</v>
      </c>
      <c r="I611" s="189" t="s">
        <v>1046</v>
      </c>
      <c r="J611" s="189"/>
      <c r="K611" s="154" t="s">
        <v>226</v>
      </c>
      <c r="L611" s="189" t="str">
        <f>_xlfn.LET(
_xlpm.look, _xlfn.XLOOKUP(ITEquipmentTable[[#This Row],[Name]], VNCTable[ClientName], VNCTable[IP], ""),
_xlpm.chkk, IF(ITEquipmentTable[[#This Row],[IPv4 Address]] = "N/A", "N/A", _xlpm.look),
IF(ITEquipmentTable[[#This Row],[Name]] = "", "", _xlpm.chkk))</f>
        <v>N/A</v>
      </c>
      <c r="M611" s="1" t="s">
        <v>226</v>
      </c>
      <c r="N611" s="159" t="str">
        <f>_xlfn.LET(_xlpm.emp, IF(_xlfn.XLOOKUP(ITEquipmentTable[[#This Row],[Assigned Employee]], EmployeeTable[name], EmployeeTable[Active], TRUE), "Employee", "Recover"),
IF(ITEquipmentTable[[#This Row],[Storage Location]] = "Assigned to Employee", _xlpm.emp, "N/A"))</f>
        <v>N/A</v>
      </c>
      <c r="O611" s="161" t="str" cm="1">
        <f t="array" ref="O61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1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11" s="193"/>
      <c r="R611" s="193" t="s">
        <v>312</v>
      </c>
      <c r="S611" s="189"/>
    </row>
    <row r="612" spans="1:19" s="1" customFormat="1" hidden="1" x14ac:dyDescent="0.2">
      <c r="A612" s="155">
        <v>796</v>
      </c>
      <c r="B612" s="189" t="s">
        <v>356</v>
      </c>
      <c r="C612" s="189" t="s">
        <v>403</v>
      </c>
      <c r="D612" s="189" t="s">
        <v>645</v>
      </c>
      <c r="E612" s="189" t="s">
        <v>306</v>
      </c>
      <c r="F612" s="195" t="s">
        <v>1055</v>
      </c>
      <c r="G612" s="1" t="str">
        <f>_xlfn.XLOOKUP(ITEquipmentTable[[#This Row],[Name]], IntuneData[Device name], IntuneData[Serial number], "")</f>
        <v/>
      </c>
      <c r="H612" s="189" t="s">
        <v>295</v>
      </c>
      <c r="I612" s="189" t="s">
        <v>1056</v>
      </c>
      <c r="J612" s="189"/>
      <c r="K612" s="154" t="s">
        <v>226</v>
      </c>
      <c r="L612" s="189" t="str">
        <f>_xlfn.LET(
_xlpm.look, _xlfn.XLOOKUP(ITEquipmentTable[[#This Row],[Name]], VNCTable[ClientName], VNCTable[IP], ""),
_xlpm.chkk, IF(ITEquipmentTable[[#This Row],[IPv4 Address]] = "N/A", "N/A", _xlpm.look),
IF(ITEquipmentTable[[#This Row],[Name]] = "", "", _xlpm.chkk))</f>
        <v>N/A</v>
      </c>
      <c r="M612" s="1" t="s">
        <v>226</v>
      </c>
      <c r="N612" s="159" t="str">
        <f>_xlfn.LET(_xlpm.emp, IF(_xlfn.XLOOKUP(ITEquipmentTable[[#This Row],[Assigned Employee]], EmployeeTable[name], EmployeeTable[Active], TRUE), "Employee", "Recover"),
IF(ITEquipmentTable[[#This Row],[Storage Location]] = "Assigned to Employee", _xlpm.emp, "N/A"))</f>
        <v>N/A</v>
      </c>
      <c r="O612" s="161" t="str" cm="1">
        <f t="array" ref="O61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1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12" s="193"/>
      <c r="R612" s="193" t="s">
        <v>312</v>
      </c>
      <c r="S612" s="189"/>
    </row>
    <row r="613" spans="1:19" s="1" customFormat="1" hidden="1" x14ac:dyDescent="0.2">
      <c r="A613" s="155">
        <v>797</v>
      </c>
      <c r="B613" s="189" t="s">
        <v>356</v>
      </c>
      <c r="C613" s="189" t="s">
        <v>403</v>
      </c>
      <c r="D613" s="189" t="s">
        <v>645</v>
      </c>
      <c r="E613" s="189" t="s">
        <v>306</v>
      </c>
      <c r="F613" s="195" t="s">
        <v>1066</v>
      </c>
      <c r="G613" s="1" t="str">
        <f>_xlfn.XLOOKUP(ITEquipmentTable[[#This Row],[Name]], IntuneData[Device name], IntuneData[Serial number], "")</f>
        <v/>
      </c>
      <c r="H613" s="189" t="s">
        <v>295</v>
      </c>
      <c r="I613" s="189" t="s">
        <v>1067</v>
      </c>
      <c r="J613" s="189"/>
      <c r="K613" s="154" t="s">
        <v>226</v>
      </c>
      <c r="L613" s="189" t="str">
        <f>_xlfn.LET(
_xlpm.look, _xlfn.XLOOKUP(ITEquipmentTable[[#This Row],[Name]], VNCTable[ClientName], VNCTable[IP], ""),
_xlpm.chkk, IF(ITEquipmentTable[[#This Row],[IPv4 Address]] = "N/A", "N/A", _xlpm.look),
IF(ITEquipmentTable[[#This Row],[Name]] = "", "", _xlpm.chkk))</f>
        <v>N/A</v>
      </c>
      <c r="M613" s="1" t="s">
        <v>226</v>
      </c>
      <c r="N613" s="159" t="str">
        <f>_xlfn.LET(_xlpm.emp, IF(_xlfn.XLOOKUP(ITEquipmentTable[[#This Row],[Assigned Employee]], EmployeeTable[name], EmployeeTable[Active], TRUE), "Employee", "Recover"),
IF(ITEquipmentTable[[#This Row],[Storage Location]] = "Assigned to Employee", _xlpm.emp, "N/A"))</f>
        <v>N/A</v>
      </c>
      <c r="O613" s="161" t="str" cm="1">
        <f t="array" ref="O61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1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13" s="193"/>
      <c r="R613" s="193" t="s">
        <v>312</v>
      </c>
      <c r="S613" s="189"/>
    </row>
    <row r="614" spans="1:19" s="1" customFormat="1" hidden="1" x14ac:dyDescent="0.2">
      <c r="A614" s="155">
        <v>798</v>
      </c>
      <c r="B614" s="189" t="s">
        <v>356</v>
      </c>
      <c r="C614" s="189" t="s">
        <v>403</v>
      </c>
      <c r="D614" s="189" t="s">
        <v>645</v>
      </c>
      <c r="E614" s="189" t="s">
        <v>306</v>
      </c>
      <c r="F614" s="195" t="s">
        <v>1075</v>
      </c>
      <c r="G614" s="1" t="str">
        <f>_xlfn.XLOOKUP(ITEquipmentTable[[#This Row],[Name]], IntuneData[Device name], IntuneData[Serial number], "")</f>
        <v/>
      </c>
      <c r="H614" s="189" t="s">
        <v>295</v>
      </c>
      <c r="I614" s="189" t="s">
        <v>1076</v>
      </c>
      <c r="J614" s="189"/>
      <c r="K614" s="154" t="s">
        <v>226</v>
      </c>
      <c r="L614" s="189" t="str">
        <f>_xlfn.LET(
_xlpm.look, _xlfn.XLOOKUP(ITEquipmentTable[[#This Row],[Name]], VNCTable[ClientName], VNCTable[IP], ""),
_xlpm.chkk, IF(ITEquipmentTable[[#This Row],[IPv4 Address]] = "N/A", "N/A", _xlpm.look),
IF(ITEquipmentTable[[#This Row],[Name]] = "", "", _xlpm.chkk))</f>
        <v>N/A</v>
      </c>
      <c r="M614" s="1" t="s">
        <v>226</v>
      </c>
      <c r="N614" s="159" t="str">
        <f>_xlfn.LET(_xlpm.emp, IF(_xlfn.XLOOKUP(ITEquipmentTable[[#This Row],[Assigned Employee]], EmployeeTable[name], EmployeeTable[Active], TRUE), "Employee", "Recover"),
IF(ITEquipmentTable[[#This Row],[Storage Location]] = "Assigned to Employee", _xlpm.emp, "N/A"))</f>
        <v>N/A</v>
      </c>
      <c r="O614" s="161" t="str" cm="1">
        <f t="array" ref="O61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1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14" s="193"/>
      <c r="R614" s="193" t="s">
        <v>312</v>
      </c>
      <c r="S614" s="189"/>
    </row>
    <row r="615" spans="1:19" s="1" customFormat="1" hidden="1" x14ac:dyDescent="0.2">
      <c r="A615" s="155">
        <v>799</v>
      </c>
      <c r="B615" s="189" t="s">
        <v>356</v>
      </c>
      <c r="C615" s="189" t="s">
        <v>403</v>
      </c>
      <c r="D615" s="189" t="s">
        <v>645</v>
      </c>
      <c r="E615" s="189" t="s">
        <v>306</v>
      </c>
      <c r="F615" s="195" t="s">
        <v>1082</v>
      </c>
      <c r="G615" s="164" t="str">
        <f>_xlfn.XLOOKUP(ITEquipmentTable[[#This Row],[Name]], IntuneData[Device name], IntuneData[Serial number], "")</f>
        <v/>
      </c>
      <c r="H615" s="189" t="s">
        <v>295</v>
      </c>
      <c r="I615" s="189" t="s">
        <v>1083</v>
      </c>
      <c r="J615" s="189"/>
      <c r="K615" s="154" t="s">
        <v>226</v>
      </c>
      <c r="L615" s="188" t="str">
        <f>_xlfn.LET(
_xlpm.look, _xlfn.XLOOKUP(ITEquipmentTable[[#This Row],[Name]], VNCTable[ClientName], VNCTable[IP], ""),
_xlpm.chkk, IF(ITEquipmentTable[[#This Row],[IPv4 Address]] = "N/A", "N/A", _xlpm.look),
IF(ITEquipmentTable[[#This Row],[Name]] = "", "", _xlpm.chkk))</f>
        <v>N/A</v>
      </c>
      <c r="M615" s="1" t="s">
        <v>226</v>
      </c>
      <c r="N615" s="159" t="str">
        <f>_xlfn.LET(_xlpm.emp, IF(_xlfn.XLOOKUP(ITEquipmentTable[[#This Row],[Assigned Employee]], EmployeeTable[name], EmployeeTable[Active], TRUE), "Employee", "Recover"),
IF(ITEquipmentTable[[#This Row],[Storage Location]] = "Assigned to Employee", _xlpm.emp, "N/A"))</f>
        <v>N/A</v>
      </c>
      <c r="O615" s="161" t="str" cm="1">
        <f t="array" ref="O61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1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15" s="193"/>
      <c r="R615" s="193" t="s">
        <v>312</v>
      </c>
      <c r="S615" s="189"/>
    </row>
    <row r="616" spans="1:19" s="1" customFormat="1" hidden="1" x14ac:dyDescent="0.2">
      <c r="A616" s="155">
        <v>800</v>
      </c>
      <c r="B616" s="189" t="s">
        <v>356</v>
      </c>
      <c r="C616" s="189" t="s">
        <v>403</v>
      </c>
      <c r="D616" s="189" t="s">
        <v>645</v>
      </c>
      <c r="E616" s="189" t="s">
        <v>306</v>
      </c>
      <c r="F616" s="195" t="s">
        <v>1091</v>
      </c>
      <c r="G616" s="1" t="str">
        <f>_xlfn.XLOOKUP(ITEquipmentTable[[#This Row],[Name]], IntuneData[Device name], IntuneData[Serial number], "")</f>
        <v/>
      </c>
      <c r="H616" s="189" t="s">
        <v>295</v>
      </c>
      <c r="I616" s="189" t="s">
        <v>1092</v>
      </c>
      <c r="J616" s="189"/>
      <c r="K616" s="154" t="s">
        <v>226</v>
      </c>
      <c r="L616" s="189" t="str">
        <f>_xlfn.LET(
_xlpm.look, _xlfn.XLOOKUP(ITEquipmentTable[[#This Row],[Name]], VNCTable[ClientName], VNCTable[IP], ""),
_xlpm.chkk, IF(ITEquipmentTable[[#This Row],[IPv4 Address]] = "N/A", "N/A", _xlpm.look),
IF(ITEquipmentTable[[#This Row],[Name]] = "", "", _xlpm.chkk))</f>
        <v>N/A</v>
      </c>
      <c r="M616" s="1" t="s">
        <v>226</v>
      </c>
      <c r="N616" s="159" t="str">
        <f>_xlfn.LET(_xlpm.emp, IF(_xlfn.XLOOKUP(ITEquipmentTable[[#This Row],[Assigned Employee]], EmployeeTable[name], EmployeeTable[Active], TRUE), "Employee", "Recover"),
IF(ITEquipmentTable[[#This Row],[Storage Location]] = "Assigned to Employee", _xlpm.emp, "N/A"))</f>
        <v>N/A</v>
      </c>
      <c r="O616" s="161" t="str" cm="1">
        <f t="array" ref="O61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1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16" s="193"/>
      <c r="R616" s="193" t="s">
        <v>312</v>
      </c>
      <c r="S616" s="189"/>
    </row>
    <row r="617" spans="1:19" s="1" customFormat="1" hidden="1" x14ac:dyDescent="0.2">
      <c r="A617" s="155">
        <v>801</v>
      </c>
      <c r="B617" s="189" t="s">
        <v>356</v>
      </c>
      <c r="C617" s="189" t="s">
        <v>403</v>
      </c>
      <c r="D617" s="189" t="s">
        <v>645</v>
      </c>
      <c r="E617" s="189" t="s">
        <v>306</v>
      </c>
      <c r="F617" s="195" t="s">
        <v>1101</v>
      </c>
      <c r="G617" s="164" t="str">
        <f>_xlfn.XLOOKUP(ITEquipmentTable[[#This Row],[Name]], IntuneData[Device name], IntuneData[Serial number], "")</f>
        <v/>
      </c>
      <c r="H617" s="189" t="s">
        <v>295</v>
      </c>
      <c r="I617" s="189" t="s">
        <v>1102</v>
      </c>
      <c r="J617" s="189"/>
      <c r="K617" s="154" t="s">
        <v>226</v>
      </c>
      <c r="L617" s="188" t="str">
        <f>_xlfn.LET(
_xlpm.look, _xlfn.XLOOKUP(ITEquipmentTable[[#This Row],[Name]], VNCTable[ClientName], VNCTable[IP], ""),
_xlpm.chkk, IF(ITEquipmentTable[[#This Row],[IPv4 Address]] = "N/A", "N/A", _xlpm.look),
IF(ITEquipmentTable[[#This Row],[Name]] = "", "", _xlpm.chkk))</f>
        <v>N/A</v>
      </c>
      <c r="M617" s="1" t="s">
        <v>226</v>
      </c>
      <c r="N617" s="159" t="str">
        <f>_xlfn.LET(_xlpm.emp, IF(_xlfn.XLOOKUP(ITEquipmentTable[[#This Row],[Assigned Employee]], EmployeeTable[name], EmployeeTable[Active], TRUE), "Employee", "Recover"),
IF(ITEquipmentTable[[#This Row],[Storage Location]] = "Assigned to Employee", _xlpm.emp, "N/A"))</f>
        <v>N/A</v>
      </c>
      <c r="O617" s="161" t="str" cm="1">
        <f t="array" ref="O61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1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17" s="193"/>
      <c r="R617" s="193" t="s">
        <v>312</v>
      </c>
      <c r="S617" s="189"/>
    </row>
    <row r="618" spans="1:19" s="1" customFormat="1" hidden="1" x14ac:dyDescent="0.2">
      <c r="A618" s="155">
        <v>802</v>
      </c>
      <c r="B618" s="189" t="s">
        <v>356</v>
      </c>
      <c r="C618" s="189" t="s">
        <v>403</v>
      </c>
      <c r="D618" s="189" t="s">
        <v>645</v>
      </c>
      <c r="E618" s="189" t="s">
        <v>306</v>
      </c>
      <c r="F618" s="195" t="s">
        <v>1110</v>
      </c>
      <c r="G618" s="1" t="str">
        <f>_xlfn.XLOOKUP(ITEquipmentTable[[#This Row],[Name]], IntuneData[Device name], IntuneData[Serial number], "")</f>
        <v/>
      </c>
      <c r="H618" s="189" t="s">
        <v>295</v>
      </c>
      <c r="I618" s="189" t="s">
        <v>1111</v>
      </c>
      <c r="J618" s="189"/>
      <c r="K618" s="154" t="s">
        <v>226</v>
      </c>
      <c r="L618" s="189" t="str">
        <f>_xlfn.LET(
_xlpm.look, _xlfn.XLOOKUP(ITEquipmentTable[[#This Row],[Name]], VNCTable[ClientName], VNCTable[IP], ""),
_xlpm.chkk, IF(ITEquipmentTable[[#This Row],[IPv4 Address]] = "N/A", "N/A", _xlpm.look),
IF(ITEquipmentTable[[#This Row],[Name]] = "", "", _xlpm.chkk))</f>
        <v>N/A</v>
      </c>
      <c r="M618" s="1" t="s">
        <v>226</v>
      </c>
      <c r="N618" s="159" t="str">
        <f>_xlfn.LET(_xlpm.emp, IF(_xlfn.XLOOKUP(ITEquipmentTable[[#This Row],[Assigned Employee]], EmployeeTable[name], EmployeeTable[Active], TRUE), "Employee", "Recover"),
IF(ITEquipmentTable[[#This Row],[Storage Location]] = "Assigned to Employee", _xlpm.emp, "N/A"))</f>
        <v>N/A</v>
      </c>
      <c r="O618" s="161" t="str" cm="1">
        <f t="array" ref="O61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1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18" s="193"/>
      <c r="R618" s="193" t="s">
        <v>312</v>
      </c>
      <c r="S618" s="189"/>
    </row>
    <row r="619" spans="1:19" s="1" customFormat="1" hidden="1" x14ac:dyDescent="0.2">
      <c r="A619" s="155">
        <v>803</v>
      </c>
      <c r="B619" s="1" t="s">
        <v>342</v>
      </c>
      <c r="C619" s="1" t="s">
        <v>342</v>
      </c>
      <c r="D619" s="1" t="s">
        <v>1907</v>
      </c>
      <c r="E619" s="1" t="s">
        <v>306</v>
      </c>
      <c r="F619" s="195" t="s">
        <v>2061</v>
      </c>
      <c r="G619" s="164" t="str">
        <f>_xlfn.XLOOKUP(ITEquipmentTable[[#This Row],[Name]], IntuneData[Device name], IntuneData[Serial number], "")</f>
        <v/>
      </c>
      <c r="H619" s="1" t="s">
        <v>321</v>
      </c>
      <c r="K619" s="154" t="s">
        <v>226</v>
      </c>
      <c r="L619" s="164" t="str">
        <f>_xlfn.LET(
_xlpm.look, _xlfn.XLOOKUP(ITEquipmentTable[[#This Row],[Name]], VNCTable[ClientName], VNCTable[IP], ""),
_xlpm.chkk, IF(ITEquipmentTable[[#This Row],[IPv4 Address]] = "N/A", "N/A", _xlpm.look),
IF(ITEquipmentTable[[#This Row],[Name]] = "", "", _xlpm.chkk))</f>
        <v>N/A</v>
      </c>
      <c r="M619" s="1" t="s">
        <v>226</v>
      </c>
      <c r="N619" s="159" t="str">
        <f>_xlfn.LET(_xlpm.emp, IF(_xlfn.XLOOKUP(ITEquipmentTable[[#This Row],[Assigned Employee]], EmployeeTable[name], EmployeeTable[Active], TRUE), "Employee", "Recover"),
IF(ITEquipmentTable[[#This Row],[Storage Location]] = "Assigned to Employee", _xlpm.emp, "N/A"))</f>
        <v>N/A</v>
      </c>
      <c r="O619" s="161" t="str" cm="1">
        <f t="array" ref="O61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1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19" s="1" t="s">
        <v>312</v>
      </c>
    </row>
    <row r="620" spans="1:19" s="1" customFormat="1" hidden="1" x14ac:dyDescent="0.2">
      <c r="A620" s="155">
        <v>820</v>
      </c>
      <c r="B620" s="1" t="s">
        <v>340</v>
      </c>
      <c r="C620" s="1" t="s">
        <v>478</v>
      </c>
      <c r="D620" s="1" t="s">
        <v>479</v>
      </c>
      <c r="E620" s="1" t="s">
        <v>331</v>
      </c>
      <c r="F620" s="195"/>
      <c r="G620" s="164" t="str">
        <f>_xlfn.XLOOKUP(ITEquipmentTable[[#This Row],[Name]], IntuneData[Device name], IntuneData[Serial number], "")</f>
        <v/>
      </c>
      <c r="K620" s="154"/>
      <c r="L620" s="164" t="str">
        <f>_xlfn.LET(
_xlpm.look, _xlfn.XLOOKUP(ITEquipmentTable[[#This Row],[Name]], VNCTable[ClientName], VNCTable[IP], ""),
_xlpm.chkk, IF(ITEquipmentTable[[#This Row],[IPv4 Address]] = "N/A", "N/A", _xlpm.look),
IF(ITEquipmentTable[[#This Row],[Name]] = "", "", _xlpm.chkk))</f>
        <v/>
      </c>
      <c r="M620" s="1" t="s">
        <v>226</v>
      </c>
      <c r="N620" s="159" t="str">
        <f>_xlfn.LET(_xlpm.emp, IF(_xlfn.XLOOKUP(ITEquipmentTable[[#This Row],[Assigned Employee]], EmployeeTable[name], EmployeeTable[Active], TRUE), "Employee", "Recover"),
IF(ITEquipmentTable[[#This Row],[Storage Location]] = "Assigned to Employee", _xlpm.emp, "N/A"))</f>
        <v>N/A</v>
      </c>
      <c r="O620" s="159" t="str" cm="1">
        <f t="array" ref="O62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2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20" s="1" t="s">
        <v>312</v>
      </c>
    </row>
    <row r="621" spans="1:19" s="1" customFormat="1" hidden="1" x14ac:dyDescent="0.2">
      <c r="A621" s="155">
        <v>821</v>
      </c>
      <c r="B621" s="1" t="s">
        <v>340</v>
      </c>
      <c r="C621" s="1" t="s">
        <v>478</v>
      </c>
      <c r="D621" s="1" t="s">
        <v>479</v>
      </c>
      <c r="E621" s="1" t="s">
        <v>331</v>
      </c>
      <c r="F621" s="195"/>
      <c r="G621" s="164" t="str">
        <f>_xlfn.XLOOKUP(ITEquipmentTable[[#This Row],[Name]], IntuneData[Device name], IntuneData[Serial number], "")</f>
        <v/>
      </c>
      <c r="K621" s="154"/>
      <c r="L621" s="164" t="str">
        <f>_xlfn.LET(
_xlpm.look, _xlfn.XLOOKUP(ITEquipmentTable[[#This Row],[Name]], VNCTable[ClientName], VNCTable[IP], ""),
_xlpm.chkk, IF(ITEquipmentTable[[#This Row],[IPv4 Address]] = "N/A", "N/A", _xlpm.look),
IF(ITEquipmentTable[[#This Row],[Name]] = "", "", _xlpm.chkk))</f>
        <v/>
      </c>
      <c r="M621" s="1" t="s">
        <v>226</v>
      </c>
      <c r="N621" s="159" t="str">
        <f>_xlfn.LET(_xlpm.emp, IF(_xlfn.XLOOKUP(ITEquipmentTable[[#This Row],[Assigned Employee]], EmployeeTable[name], EmployeeTable[Active], TRUE), "Employee", "Recover"),
IF(ITEquipmentTable[[#This Row],[Storage Location]] = "Assigned to Employee", _xlpm.emp, "N/A"))</f>
        <v>N/A</v>
      </c>
      <c r="O621" s="159" t="str" cm="1">
        <f t="array" ref="O62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2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21" s="1" t="s">
        <v>312</v>
      </c>
    </row>
    <row r="622" spans="1:19" s="1" customFormat="1" hidden="1" x14ac:dyDescent="0.2">
      <c r="A622" s="155">
        <v>827</v>
      </c>
      <c r="B622" s="1" t="s">
        <v>379</v>
      </c>
      <c r="C622" s="1" t="s">
        <v>514</v>
      </c>
      <c r="D622" s="1" t="s">
        <v>693</v>
      </c>
      <c r="E622" s="1" t="s">
        <v>306</v>
      </c>
      <c r="F622" s="195" t="s">
        <v>2062</v>
      </c>
      <c r="G622" s="164" t="str">
        <f>_xlfn.XLOOKUP(ITEquipmentTable[[#This Row],[Name]], IntuneData[Device name], IntuneData[Serial number], "")</f>
        <v/>
      </c>
      <c r="H622" s="1" t="s">
        <v>318</v>
      </c>
      <c r="K622" s="223" t="s">
        <v>226</v>
      </c>
      <c r="L622" s="164" t="str">
        <f>_xlfn.LET(
_xlpm.look, _xlfn.XLOOKUP(ITEquipmentTable[[#This Row],[Name]], VNCTable[ClientName], VNCTable[IP], ""),
_xlpm.chkk, IF(ITEquipmentTable[[#This Row],[IPv4 Address]] = "N/A", "N/A", _xlpm.look),
IF(ITEquipmentTable[[#This Row],[Name]] = "", "", _xlpm.chkk))</f>
        <v>N/A</v>
      </c>
      <c r="M622" s="168" t="s">
        <v>226</v>
      </c>
      <c r="N622" s="159" t="str">
        <f>_xlfn.LET(_xlpm.emp, IF(_xlfn.XLOOKUP(ITEquipmentTable[[#This Row],[Assigned Employee]], EmployeeTable[name], EmployeeTable[Active], TRUE), "Employee", "Recover"),
IF(ITEquipmentTable[[#This Row],[Storage Location]] = "Assigned to Employee", _xlpm.emp, "N/A"))</f>
        <v>N/A</v>
      </c>
      <c r="O622" s="161" t="str" cm="1">
        <f t="array" ref="O62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2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22" s="1" t="s">
        <v>312</v>
      </c>
    </row>
    <row r="623" spans="1:19" s="1" customFormat="1" hidden="1" x14ac:dyDescent="0.2">
      <c r="A623" s="155">
        <v>828</v>
      </c>
      <c r="B623" s="1" t="s">
        <v>356</v>
      </c>
      <c r="C623" s="1" t="s">
        <v>443</v>
      </c>
      <c r="D623" s="1" t="s">
        <v>444</v>
      </c>
      <c r="E623" s="1" t="s">
        <v>306</v>
      </c>
      <c r="F623" s="195"/>
      <c r="G623" s="1" t="str">
        <f>_xlfn.XLOOKUP(ITEquipmentTable[[#This Row],[Name]], IntuneData[Device name], IntuneData[Serial number], "")</f>
        <v/>
      </c>
      <c r="H623" s="1" t="s">
        <v>318</v>
      </c>
      <c r="K623" s="154" t="s">
        <v>226</v>
      </c>
      <c r="L623" s="1" t="str">
        <f>_xlfn.LET(
_xlpm.look, _xlfn.XLOOKUP(ITEquipmentTable[[#This Row],[Name]], VNCTable[ClientName], VNCTable[IP], ""),
_xlpm.chkk, IF(ITEquipmentTable[[#This Row],[IPv4 Address]] = "N/A", "N/A", _xlpm.look),
IF(ITEquipmentTable[[#This Row],[Name]] = "", "", _xlpm.chkk))</f>
        <v>N/A</v>
      </c>
      <c r="M623" s="1" t="s">
        <v>226</v>
      </c>
      <c r="N623" s="159" t="str">
        <f>_xlfn.LET(_xlpm.emp, IF(_xlfn.XLOOKUP(ITEquipmentTable[[#This Row],[Assigned Employee]], EmployeeTable[name], EmployeeTable[Active], TRUE), "Employee", "Recover"),
IF(ITEquipmentTable[[#This Row],[Storage Location]] = "Assigned to Employee", _xlpm.emp, "N/A"))</f>
        <v>N/A</v>
      </c>
      <c r="O623" s="161" t="str" cm="1">
        <f t="array" ref="O62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2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23" s="1" t="s">
        <v>312</v>
      </c>
      <c r="S623" s="1" t="s">
        <v>319</v>
      </c>
    </row>
    <row r="624" spans="1:19" s="1" customFormat="1" hidden="1" x14ac:dyDescent="0.2">
      <c r="A624" s="155">
        <v>829</v>
      </c>
      <c r="B624" s="1" t="s">
        <v>342</v>
      </c>
      <c r="C624" s="1" t="s">
        <v>342</v>
      </c>
      <c r="D624" s="1" t="s">
        <v>1909</v>
      </c>
      <c r="E624" s="1" t="s">
        <v>306</v>
      </c>
      <c r="F624" s="195" t="s">
        <v>2063</v>
      </c>
      <c r="G624" s="1" t="str">
        <f>_xlfn.XLOOKUP(ITEquipmentTable[[#This Row],[Name]], IntuneData[Device name], IntuneData[Serial number], "")</f>
        <v/>
      </c>
      <c r="K624" s="154" t="s">
        <v>226</v>
      </c>
      <c r="L624" s="1" t="str">
        <f>_xlfn.LET(
_xlpm.look, _xlfn.XLOOKUP(ITEquipmentTable[[#This Row],[Name]], VNCTable[ClientName], VNCTable[IP], ""),
_xlpm.chkk, IF(ITEquipmentTable[[#This Row],[IPv4 Address]] = "N/A", "N/A", _xlpm.look),
IF(ITEquipmentTable[[#This Row],[Name]] = "", "", _xlpm.chkk))</f>
        <v>N/A</v>
      </c>
      <c r="M624" s="1" t="s">
        <v>226</v>
      </c>
      <c r="N624" s="159" t="str">
        <f>_xlfn.LET(_xlpm.emp, IF(_xlfn.XLOOKUP(ITEquipmentTable[[#This Row],[Assigned Employee]], EmployeeTable[name], EmployeeTable[Active], TRUE), "Employee", "Recover"),
IF(ITEquipmentTable[[#This Row],[Storage Location]] = "Assigned to Employee", _xlpm.emp, "N/A"))</f>
        <v>N/A</v>
      </c>
      <c r="O624" s="161" t="str" cm="1">
        <f t="array" ref="O62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2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24" s="1" t="s">
        <v>312</v>
      </c>
    </row>
    <row r="625" spans="1:19" s="1" customFormat="1" hidden="1" x14ac:dyDescent="0.2">
      <c r="A625" s="155">
        <v>830</v>
      </c>
      <c r="B625" s="1" t="s">
        <v>342</v>
      </c>
      <c r="C625" s="1" t="s">
        <v>343</v>
      </c>
      <c r="E625" s="1" t="s">
        <v>306</v>
      </c>
      <c r="F625" s="195"/>
      <c r="G625" s="1" t="str">
        <f>_xlfn.XLOOKUP(ITEquipmentTable[[#This Row],[Name]], IntuneData[Device name], IntuneData[Serial number], "")</f>
        <v/>
      </c>
      <c r="H625" s="1" t="s">
        <v>295</v>
      </c>
      <c r="I625" s="1" t="s">
        <v>344</v>
      </c>
      <c r="K625" s="154" t="s">
        <v>226</v>
      </c>
      <c r="L625" s="1" t="str">
        <f>_xlfn.LET(
_xlpm.look, _xlfn.XLOOKUP(ITEquipmentTable[[#This Row],[Name]], VNCTable[ClientName], VNCTable[IP], ""),
_xlpm.chkk, IF(ITEquipmentTable[[#This Row],[IPv4 Address]] = "N/A", "N/A", _xlpm.look),
IF(ITEquipmentTable[[#This Row],[Name]] = "", "", _xlpm.chkk))</f>
        <v>N/A</v>
      </c>
      <c r="M625" s="1" t="s">
        <v>226</v>
      </c>
      <c r="N625" s="159" t="str">
        <f>_xlfn.LET(_xlpm.emp, IF(_xlfn.XLOOKUP(ITEquipmentTable[[#This Row],[Assigned Employee]], EmployeeTable[name], EmployeeTable[Active], TRUE), "Employee", "Recover"),
IF(ITEquipmentTable[[#This Row],[Storage Location]] = "Assigned to Employee", _xlpm.emp, "N/A"))</f>
        <v>N/A</v>
      </c>
      <c r="O625" s="161" t="str" cm="1">
        <f t="array" ref="O62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2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25" s="1" t="s">
        <v>312</v>
      </c>
      <c r="S625" s="1" t="s">
        <v>313</v>
      </c>
    </row>
    <row r="626" spans="1:19" s="1" customFormat="1" hidden="1" x14ac:dyDescent="0.2">
      <c r="A626" s="155">
        <v>831</v>
      </c>
      <c r="B626" s="1" t="s">
        <v>342</v>
      </c>
      <c r="C626" s="1" t="s">
        <v>342</v>
      </c>
      <c r="D626" s="1" t="s">
        <v>1968</v>
      </c>
      <c r="E626" s="1" t="s">
        <v>306</v>
      </c>
      <c r="F626" s="195"/>
      <c r="G626" s="1" t="str">
        <f>_xlfn.XLOOKUP(ITEquipmentTable[[#This Row],[Name]], IntuneData[Device name], IntuneData[Serial number], "")</f>
        <v/>
      </c>
      <c r="H626" s="1" t="s">
        <v>321</v>
      </c>
      <c r="K626" s="154" t="s">
        <v>226</v>
      </c>
      <c r="L626" s="1" t="str">
        <f>_xlfn.LET(
_xlpm.look, _xlfn.XLOOKUP(ITEquipmentTable[[#This Row],[Name]], VNCTable[ClientName], VNCTable[IP], ""),
_xlpm.chkk, IF(ITEquipmentTable[[#This Row],[IPv4 Address]] = "N/A", "N/A", _xlpm.look),
IF(ITEquipmentTable[[#This Row],[Name]] = "", "", _xlpm.chkk))</f>
        <v>N/A</v>
      </c>
      <c r="M626" s="1" t="s">
        <v>226</v>
      </c>
      <c r="N626" s="159" t="str">
        <f>_xlfn.LET(_xlpm.emp, IF(_xlfn.XLOOKUP(ITEquipmentTable[[#This Row],[Assigned Employee]], EmployeeTable[name], EmployeeTable[Active], TRUE), "Employee", "Recover"),
IF(ITEquipmentTable[[#This Row],[Storage Location]] = "Assigned to Employee", _xlpm.emp, "N/A"))</f>
        <v>N/A</v>
      </c>
      <c r="O626" s="161" t="str" cm="1">
        <f t="array" ref="O62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2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26" s="1" t="s">
        <v>312</v>
      </c>
      <c r="S626" s="1" t="s">
        <v>319</v>
      </c>
    </row>
    <row r="627" spans="1:19" s="1" customFormat="1" hidden="1" x14ac:dyDescent="0.2">
      <c r="A627" s="155">
        <v>832</v>
      </c>
      <c r="B627" s="1" t="s">
        <v>342</v>
      </c>
      <c r="C627" s="1" t="s">
        <v>342</v>
      </c>
      <c r="D627" s="1" t="s">
        <v>1968</v>
      </c>
      <c r="E627" s="1" t="s">
        <v>306</v>
      </c>
      <c r="F627" s="195"/>
      <c r="G627" s="1" t="str">
        <f>_xlfn.XLOOKUP(ITEquipmentTable[[#This Row],[Name]], IntuneData[Device name], IntuneData[Serial number], "")</f>
        <v/>
      </c>
      <c r="H627" s="1" t="s">
        <v>321</v>
      </c>
      <c r="K627" s="154" t="s">
        <v>226</v>
      </c>
      <c r="L627" s="1" t="str">
        <f>_xlfn.LET(
_xlpm.look, _xlfn.XLOOKUP(ITEquipmentTable[[#This Row],[Name]], VNCTable[ClientName], VNCTable[IP], ""),
_xlpm.chkk, IF(ITEquipmentTable[[#This Row],[IPv4 Address]] = "N/A", "N/A", _xlpm.look),
IF(ITEquipmentTable[[#This Row],[Name]] = "", "", _xlpm.chkk))</f>
        <v>N/A</v>
      </c>
      <c r="M627" s="1" t="s">
        <v>226</v>
      </c>
      <c r="N627" s="159" t="str">
        <f>_xlfn.LET(_xlpm.emp, IF(_xlfn.XLOOKUP(ITEquipmentTable[[#This Row],[Assigned Employee]], EmployeeTable[name], EmployeeTable[Active], TRUE), "Employee", "Recover"),
IF(ITEquipmentTable[[#This Row],[Storage Location]] = "Assigned to Employee", _xlpm.emp, "N/A"))</f>
        <v>N/A</v>
      </c>
      <c r="O627" s="161" t="str" cm="1">
        <f t="array" ref="O62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2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27" s="1" t="s">
        <v>312</v>
      </c>
      <c r="S627" s="1" t="s">
        <v>319</v>
      </c>
    </row>
    <row r="628" spans="1:19" s="1" customFormat="1" hidden="1" x14ac:dyDescent="0.2">
      <c r="A628" s="155">
        <v>833</v>
      </c>
      <c r="B628" s="1" t="s">
        <v>342</v>
      </c>
      <c r="C628" s="1" t="s">
        <v>342</v>
      </c>
      <c r="D628" s="1" t="s">
        <v>1968</v>
      </c>
      <c r="E628" s="1" t="s">
        <v>306</v>
      </c>
      <c r="F628" s="195"/>
      <c r="G628" s="1" t="str">
        <f>_xlfn.XLOOKUP(ITEquipmentTable[[#This Row],[Name]], IntuneData[Device name], IntuneData[Serial number], "")</f>
        <v/>
      </c>
      <c r="H628" s="1" t="s">
        <v>321</v>
      </c>
      <c r="K628" s="154" t="s">
        <v>226</v>
      </c>
      <c r="L628" s="1" t="str">
        <f>_xlfn.LET(
_xlpm.look, _xlfn.XLOOKUP(ITEquipmentTable[[#This Row],[Name]], VNCTable[ClientName], VNCTable[IP], ""),
_xlpm.chkk, IF(ITEquipmentTable[[#This Row],[IPv4 Address]] = "N/A", "N/A", _xlpm.look),
IF(ITEquipmentTable[[#This Row],[Name]] = "", "", _xlpm.chkk))</f>
        <v>N/A</v>
      </c>
      <c r="M628" s="1" t="s">
        <v>226</v>
      </c>
      <c r="N628" s="159" t="str">
        <f>_xlfn.LET(_xlpm.emp, IF(_xlfn.XLOOKUP(ITEquipmentTable[[#This Row],[Assigned Employee]], EmployeeTable[name], EmployeeTable[Active], TRUE), "Employee", "Recover"),
IF(ITEquipmentTable[[#This Row],[Storage Location]] = "Assigned to Employee", _xlpm.emp, "N/A"))</f>
        <v>N/A</v>
      </c>
      <c r="O628" s="161" t="str" cm="1">
        <f t="array" ref="O62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2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28" s="1" t="s">
        <v>312</v>
      </c>
      <c r="S628" s="1" t="s">
        <v>319</v>
      </c>
    </row>
    <row r="629" spans="1:19" s="1" customFormat="1" hidden="1" x14ac:dyDescent="0.2">
      <c r="A629" s="155">
        <v>834</v>
      </c>
      <c r="B629" s="1" t="s">
        <v>386</v>
      </c>
      <c r="C629" s="1" t="s">
        <v>514</v>
      </c>
      <c r="D629" s="1" t="s">
        <v>515</v>
      </c>
      <c r="E629" s="1" t="s">
        <v>306</v>
      </c>
      <c r="F629" s="195"/>
      <c r="G629" s="1" t="str">
        <f>_xlfn.XLOOKUP(ITEquipmentTable[[#This Row],[Name]], IntuneData[Device name], IntuneData[Serial number], "")</f>
        <v/>
      </c>
      <c r="H629" s="1" t="s">
        <v>338</v>
      </c>
      <c r="K629" s="223" t="s">
        <v>226</v>
      </c>
      <c r="L629" s="1" t="str">
        <f>_xlfn.LET(
_xlpm.look, _xlfn.XLOOKUP(ITEquipmentTable[[#This Row],[Name]], VNCTable[ClientName], VNCTable[IP], ""),
_xlpm.chkk, IF(ITEquipmentTable[[#This Row],[IPv4 Address]] = "N/A", "N/A", _xlpm.look),
IF(ITEquipmentTable[[#This Row],[Name]] = "", "", _xlpm.chkk))</f>
        <v>N/A</v>
      </c>
      <c r="M629" s="168" t="s">
        <v>226</v>
      </c>
      <c r="N629" s="159" t="str">
        <f>_xlfn.LET(_xlpm.emp, IF(_xlfn.XLOOKUP(ITEquipmentTable[[#This Row],[Assigned Employee]], EmployeeTable[name], EmployeeTable[Active], TRUE), "Employee", "Recover"),
IF(ITEquipmentTable[[#This Row],[Storage Location]] = "Assigned to Employee", _xlpm.emp, "N/A"))</f>
        <v>N/A</v>
      </c>
      <c r="O629" s="161" t="str" cm="1">
        <f t="array" ref="O62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2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29" s="1" t="s">
        <v>312</v>
      </c>
      <c r="S629" s="1" t="s">
        <v>319</v>
      </c>
    </row>
    <row r="630" spans="1:19" s="1" customFormat="1" hidden="1" x14ac:dyDescent="0.2">
      <c r="A630" s="155">
        <v>835</v>
      </c>
      <c r="B630" s="1" t="s">
        <v>386</v>
      </c>
      <c r="C630" s="1" t="s">
        <v>514</v>
      </c>
      <c r="D630" s="1" t="s">
        <v>515</v>
      </c>
      <c r="E630" s="1" t="s">
        <v>306</v>
      </c>
      <c r="F630" s="195"/>
      <c r="G630" s="1" t="str">
        <f>_xlfn.XLOOKUP(ITEquipmentTable[[#This Row],[Name]], IntuneData[Device name], IntuneData[Serial number], "")</f>
        <v/>
      </c>
      <c r="H630" s="1" t="s">
        <v>338</v>
      </c>
      <c r="K630" s="223" t="s">
        <v>226</v>
      </c>
      <c r="L630" s="1" t="str">
        <f>_xlfn.LET(
_xlpm.look, _xlfn.XLOOKUP(ITEquipmentTable[[#This Row],[Name]], VNCTable[ClientName], VNCTable[IP], ""),
_xlpm.chkk, IF(ITEquipmentTable[[#This Row],[IPv4 Address]] = "N/A", "N/A", _xlpm.look),
IF(ITEquipmentTable[[#This Row],[Name]] = "", "", _xlpm.chkk))</f>
        <v>N/A</v>
      </c>
      <c r="M630" s="168" t="s">
        <v>226</v>
      </c>
      <c r="N630" s="159" t="str">
        <f>_xlfn.LET(_xlpm.emp, IF(_xlfn.XLOOKUP(ITEquipmentTable[[#This Row],[Assigned Employee]], EmployeeTable[name], EmployeeTable[Active], TRUE), "Employee", "Recover"),
IF(ITEquipmentTable[[#This Row],[Storage Location]] = "Assigned to Employee", _xlpm.emp, "N/A"))</f>
        <v>N/A</v>
      </c>
      <c r="O630" s="161" t="str" cm="1">
        <f t="array" ref="O63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3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30" s="1" t="s">
        <v>312</v>
      </c>
      <c r="S630" s="1" t="s">
        <v>319</v>
      </c>
    </row>
    <row r="631" spans="1:19" s="1" customFormat="1" hidden="1" x14ac:dyDescent="0.2">
      <c r="A631" s="155">
        <v>836</v>
      </c>
      <c r="B631" s="1" t="s">
        <v>379</v>
      </c>
      <c r="C631" s="1" t="s">
        <v>514</v>
      </c>
      <c r="D631" s="1" t="s">
        <v>693</v>
      </c>
      <c r="E631" s="1" t="s">
        <v>306</v>
      </c>
      <c r="F631" s="195"/>
      <c r="G631" s="1" t="str">
        <f>_xlfn.XLOOKUP(ITEquipmentTable[[#This Row],[Name]], IntuneData[Device name], IntuneData[Serial number], "")</f>
        <v/>
      </c>
      <c r="H631" s="1" t="s">
        <v>338</v>
      </c>
      <c r="K631" s="223" t="s">
        <v>226</v>
      </c>
      <c r="L631" s="1" t="str">
        <f>_xlfn.LET(
_xlpm.look, _xlfn.XLOOKUP(ITEquipmentTable[[#This Row],[Name]], VNCTable[ClientName], VNCTable[IP], ""),
_xlpm.chkk, IF(ITEquipmentTable[[#This Row],[IPv4 Address]] = "N/A", "N/A", _xlpm.look),
IF(ITEquipmentTable[[#This Row],[Name]] = "", "", _xlpm.chkk))</f>
        <v>N/A</v>
      </c>
      <c r="M631" s="168" t="s">
        <v>226</v>
      </c>
      <c r="N631" s="159" t="str">
        <f>_xlfn.LET(_xlpm.emp, IF(_xlfn.XLOOKUP(ITEquipmentTable[[#This Row],[Assigned Employee]], EmployeeTable[name], EmployeeTable[Active], TRUE), "Employee", "Recover"),
IF(ITEquipmentTable[[#This Row],[Storage Location]] = "Assigned to Employee", _xlpm.emp, "N/A"))</f>
        <v>N/A</v>
      </c>
      <c r="O631" s="161" t="str" cm="1">
        <f t="array" ref="O63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3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31" s="1" t="s">
        <v>312</v>
      </c>
      <c r="S631" s="1" t="s">
        <v>319</v>
      </c>
    </row>
    <row r="632" spans="1:19" s="1" customFormat="1" hidden="1" x14ac:dyDescent="0.2">
      <c r="A632" s="155">
        <v>837</v>
      </c>
      <c r="B632" s="1" t="s">
        <v>379</v>
      </c>
      <c r="C632" s="1" t="s">
        <v>514</v>
      </c>
      <c r="D632" s="1" t="s">
        <v>693</v>
      </c>
      <c r="E632" s="1" t="s">
        <v>306</v>
      </c>
      <c r="F632" s="195"/>
      <c r="G632" s="164" t="str">
        <f>_xlfn.XLOOKUP(ITEquipmentTable[[#This Row],[Name]], IntuneData[Device name], IntuneData[Serial number], "")</f>
        <v/>
      </c>
      <c r="H632" s="1" t="s">
        <v>338</v>
      </c>
      <c r="K632" s="223" t="s">
        <v>226</v>
      </c>
      <c r="L632" s="164" t="str">
        <f>_xlfn.LET(
_xlpm.look, _xlfn.XLOOKUP(ITEquipmentTable[[#This Row],[Name]], VNCTable[ClientName], VNCTable[IP], ""),
_xlpm.chkk, IF(ITEquipmentTable[[#This Row],[IPv4 Address]] = "N/A", "N/A", _xlpm.look),
IF(ITEquipmentTable[[#This Row],[Name]] = "", "", _xlpm.chkk))</f>
        <v>N/A</v>
      </c>
      <c r="M632" s="168" t="s">
        <v>226</v>
      </c>
      <c r="N632" s="159" t="str">
        <f>_xlfn.LET(_xlpm.emp, IF(_xlfn.XLOOKUP(ITEquipmentTable[[#This Row],[Assigned Employee]], EmployeeTable[name], EmployeeTable[Active], TRUE), "Employee", "Recover"),
IF(ITEquipmentTable[[#This Row],[Storage Location]] = "Assigned to Employee", _xlpm.emp, "N/A"))</f>
        <v>N/A</v>
      </c>
      <c r="O632" s="161" t="str" cm="1">
        <f t="array" ref="O63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3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32" s="1" t="s">
        <v>312</v>
      </c>
      <c r="S632" s="1" t="s">
        <v>319</v>
      </c>
    </row>
    <row r="633" spans="1:19" s="1" customFormat="1" hidden="1" x14ac:dyDescent="0.2">
      <c r="A633" s="155">
        <v>838</v>
      </c>
      <c r="B633" s="1" t="s">
        <v>379</v>
      </c>
      <c r="C633" s="1" t="s">
        <v>514</v>
      </c>
      <c r="D633" s="1" t="s">
        <v>693</v>
      </c>
      <c r="E633" s="1" t="s">
        <v>306</v>
      </c>
      <c r="F633" s="195"/>
      <c r="G633" s="1" t="str">
        <f>_xlfn.XLOOKUP(ITEquipmentTable[[#This Row],[Name]], IntuneData[Device name], IntuneData[Serial number], "")</f>
        <v/>
      </c>
      <c r="H633" s="1" t="s">
        <v>338</v>
      </c>
      <c r="K633" s="223" t="s">
        <v>226</v>
      </c>
      <c r="L633" s="1" t="str">
        <f>_xlfn.LET(
_xlpm.look, _xlfn.XLOOKUP(ITEquipmentTable[[#This Row],[Name]], VNCTable[ClientName], VNCTable[IP], ""),
_xlpm.chkk, IF(ITEquipmentTable[[#This Row],[IPv4 Address]] = "N/A", "N/A", _xlpm.look),
IF(ITEquipmentTable[[#This Row],[Name]] = "", "", _xlpm.chkk))</f>
        <v>N/A</v>
      </c>
      <c r="M633" s="168" t="s">
        <v>226</v>
      </c>
      <c r="N633" s="159" t="str">
        <f>_xlfn.LET(_xlpm.emp, IF(_xlfn.XLOOKUP(ITEquipmentTable[[#This Row],[Assigned Employee]], EmployeeTable[name], EmployeeTable[Active], TRUE), "Employee", "Recover"),
IF(ITEquipmentTable[[#This Row],[Storage Location]] = "Assigned to Employee", _xlpm.emp, "N/A"))</f>
        <v>N/A</v>
      </c>
      <c r="O633" s="161" t="str" cm="1">
        <f t="array" ref="O63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3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33" s="1" t="s">
        <v>312</v>
      </c>
      <c r="S633" s="1" t="s">
        <v>319</v>
      </c>
    </row>
    <row r="634" spans="1:19" s="1" customFormat="1" hidden="1" x14ac:dyDescent="0.2">
      <c r="A634" s="155">
        <v>841</v>
      </c>
      <c r="B634" s="1" t="s">
        <v>342</v>
      </c>
      <c r="C634" s="1" t="s">
        <v>342</v>
      </c>
      <c r="D634" s="1" t="s">
        <v>1907</v>
      </c>
      <c r="E634" s="1" t="s">
        <v>306</v>
      </c>
      <c r="F634" s="195" t="s">
        <v>2064</v>
      </c>
      <c r="G634" s="1" t="str">
        <f>_xlfn.XLOOKUP(ITEquipmentTable[[#This Row],[Name]], IntuneData[Device name], IntuneData[Serial number], "")</f>
        <v/>
      </c>
      <c r="H634" s="1" t="s">
        <v>321</v>
      </c>
      <c r="K634" s="154" t="s">
        <v>226</v>
      </c>
      <c r="L634" s="1" t="str">
        <f>_xlfn.LET(
_xlpm.look, _xlfn.XLOOKUP(ITEquipmentTable[[#This Row],[Name]], VNCTable[ClientName], VNCTable[IP], ""),
_xlpm.chkk, IF(ITEquipmentTable[[#This Row],[IPv4 Address]] = "N/A", "N/A", _xlpm.look),
IF(ITEquipmentTable[[#This Row],[Name]] = "", "", _xlpm.chkk))</f>
        <v>N/A</v>
      </c>
      <c r="M634" s="1" t="s">
        <v>226</v>
      </c>
      <c r="N634" s="159" t="str">
        <f>_xlfn.LET(_xlpm.emp, IF(_xlfn.XLOOKUP(ITEquipmentTable[[#This Row],[Assigned Employee]], EmployeeTable[name], EmployeeTable[Active], TRUE), "Employee", "Recover"),
IF(ITEquipmentTable[[#This Row],[Storage Location]] = "Assigned to Employee", _xlpm.emp, "N/A"))</f>
        <v>N/A</v>
      </c>
      <c r="O634" s="161" t="str" cm="1">
        <f t="array" ref="O63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3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34" s="1" t="s">
        <v>312</v>
      </c>
    </row>
    <row r="635" spans="1:19" s="1" customFormat="1" hidden="1" x14ac:dyDescent="0.2">
      <c r="A635" s="155">
        <v>842</v>
      </c>
      <c r="B635" s="1" t="s">
        <v>340</v>
      </c>
      <c r="C635" s="1" t="s">
        <v>478</v>
      </c>
      <c r="D635" s="1" t="s">
        <v>479</v>
      </c>
      <c r="E635" s="1" t="s">
        <v>306</v>
      </c>
      <c r="F635" s="195" t="s">
        <v>480</v>
      </c>
      <c r="G635" s="1" t="str">
        <f>_xlfn.XLOOKUP(ITEquipmentTable[[#This Row],[Name]], IntuneData[Device name], IntuneData[Serial number], "")</f>
        <v/>
      </c>
      <c r="H635" s="1" t="s">
        <v>295</v>
      </c>
      <c r="I635" s="1" t="s">
        <v>481</v>
      </c>
      <c r="K635" s="154" t="s">
        <v>482</v>
      </c>
      <c r="L635" s="1" t="str">
        <f>_xlfn.LET(
_xlpm.look, _xlfn.XLOOKUP(ITEquipmentTable[[#This Row],[Name]], VNCTable[ClientName], VNCTable[IP], ""),
_xlpm.chkk, IF(ITEquipmentTable[[#This Row],[IPv4 Address]] = "N/A", "N/A", _xlpm.look),
IF(ITEquipmentTable[[#This Row],[Name]] = "", "", _xlpm.chkk))</f>
        <v/>
      </c>
      <c r="M635" s="1" t="s">
        <v>226</v>
      </c>
      <c r="N635" s="159" t="str">
        <f>_xlfn.LET(_xlpm.emp, IF(_xlfn.XLOOKUP(ITEquipmentTable[[#This Row],[Assigned Employee]], EmployeeTable[name], EmployeeTable[Active], TRUE), "Employee", "Recover"),
IF(ITEquipmentTable[[#This Row],[Storage Location]] = "Assigned to Employee", _xlpm.emp, "N/A"))</f>
        <v>N/A</v>
      </c>
      <c r="O635" s="159" t="str" cm="1">
        <f t="array" ref="O63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3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35" s="1" t="s">
        <v>312</v>
      </c>
    </row>
    <row r="636" spans="1:19" s="1" customFormat="1" hidden="1" x14ac:dyDescent="0.2">
      <c r="A636" s="155">
        <v>843</v>
      </c>
      <c r="B636" s="189" t="s">
        <v>379</v>
      </c>
      <c r="C636" s="189" t="s">
        <v>514</v>
      </c>
      <c r="D636" s="189" t="s">
        <v>693</v>
      </c>
      <c r="E636" s="189" t="s">
        <v>331</v>
      </c>
      <c r="F636" s="195"/>
      <c r="G636" s="188" t="str">
        <f>_xlfn.XLOOKUP(ITEquipmentTable[[#This Row],[Name]], IntuneData[Device name], IntuneData[Serial number], "")</f>
        <v/>
      </c>
      <c r="H636" s="168" t="s">
        <v>295</v>
      </c>
      <c r="I636" s="189" t="s">
        <v>1037</v>
      </c>
      <c r="J636" s="168"/>
      <c r="K636" s="223" t="s">
        <v>226</v>
      </c>
      <c r="L636" s="188" t="str">
        <f>_xlfn.LET(
_xlpm.look, _xlfn.XLOOKUP(ITEquipmentTable[[#This Row],[Name]], VNCTable[ClientName], VNCTable[IP], ""),
_xlpm.chkk, IF(ITEquipmentTable[[#This Row],[IPv4 Address]] = "N/A", "N/A", _xlpm.look),
IF(ITEquipmentTable[[#This Row],[Name]] = "", "", _xlpm.chkk))</f>
        <v>N/A</v>
      </c>
      <c r="M636" s="168" t="s">
        <v>226</v>
      </c>
      <c r="N636" s="161" t="str">
        <f>_xlfn.LET(_xlpm.emp, IF(_xlfn.XLOOKUP(ITEquipmentTable[[#This Row],[Assigned Employee]], EmployeeTable[name], EmployeeTable[Active], TRUE), "Employee", "Recover"),
IF(ITEquipmentTable[[#This Row],[Storage Location]] = "Assigned to Employee", _xlpm.emp, "N/A"))</f>
        <v>N/A</v>
      </c>
      <c r="O636" s="161" t="str" cm="1">
        <f t="array" ref="O63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3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36" s="193"/>
      <c r="R636" s="193" t="s">
        <v>312</v>
      </c>
      <c r="S636" s="189"/>
    </row>
    <row r="637" spans="1:19" s="1" customFormat="1" hidden="1" x14ac:dyDescent="0.2">
      <c r="A637" s="155">
        <v>844</v>
      </c>
      <c r="B637" s="189" t="s">
        <v>386</v>
      </c>
      <c r="C637" s="189" t="s">
        <v>514</v>
      </c>
      <c r="D637" s="189" t="s">
        <v>515</v>
      </c>
      <c r="E637" s="189" t="s">
        <v>306</v>
      </c>
      <c r="F637" s="195" t="s">
        <v>1039</v>
      </c>
      <c r="G637" s="1" t="str">
        <f>_xlfn.XLOOKUP(ITEquipmentTable[[#This Row],[Name]], IntuneData[Device name], IntuneData[Serial number], "")</f>
        <v/>
      </c>
      <c r="H637" s="168" t="s">
        <v>295</v>
      </c>
      <c r="I637" s="189" t="s">
        <v>1037</v>
      </c>
      <c r="J637" s="168"/>
      <c r="K637" s="223" t="s">
        <v>226</v>
      </c>
      <c r="L637" s="189" t="str">
        <f>_xlfn.LET(
_xlpm.look, _xlfn.XLOOKUP(ITEquipmentTable[[#This Row],[Name]], VNCTable[ClientName], VNCTable[IP], ""),
_xlpm.chkk, IF(ITEquipmentTable[[#This Row],[IPv4 Address]] = "N/A", "N/A", _xlpm.look),
IF(ITEquipmentTable[[#This Row],[Name]] = "", "", _xlpm.chkk))</f>
        <v>N/A</v>
      </c>
      <c r="M637" s="168" t="s">
        <v>226</v>
      </c>
      <c r="N637" s="161" t="str">
        <f>_xlfn.LET(_xlpm.emp, IF(_xlfn.XLOOKUP(ITEquipmentTable[[#This Row],[Assigned Employee]], EmployeeTable[name], EmployeeTable[Active], TRUE), "Employee", "Recover"),
IF(ITEquipmentTable[[#This Row],[Storage Location]] = "Assigned to Employee", _xlpm.emp, "N/A"))</f>
        <v>N/A</v>
      </c>
      <c r="O637" s="161" t="str" cm="1">
        <f t="array" ref="O63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3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37" s="193"/>
      <c r="R637" s="193" t="s">
        <v>312</v>
      </c>
      <c r="S637" s="189"/>
    </row>
    <row r="638" spans="1:19" s="1" customFormat="1" hidden="1" x14ac:dyDescent="0.2">
      <c r="A638" s="155">
        <v>845</v>
      </c>
      <c r="B638" s="189" t="s">
        <v>379</v>
      </c>
      <c r="C638" s="189" t="s">
        <v>514</v>
      </c>
      <c r="D638" s="189" t="s">
        <v>693</v>
      </c>
      <c r="E638" s="189" t="s">
        <v>306</v>
      </c>
      <c r="F638" s="195" t="s">
        <v>1048</v>
      </c>
      <c r="G638" s="164" t="str">
        <f>_xlfn.XLOOKUP(ITEquipmentTable[[#This Row],[Name]], IntuneData[Device name], IntuneData[Serial number], "")</f>
        <v/>
      </c>
      <c r="H638" s="168" t="s">
        <v>295</v>
      </c>
      <c r="I638" s="189" t="s">
        <v>1046</v>
      </c>
      <c r="J638" s="168"/>
      <c r="K638" s="223" t="s">
        <v>226</v>
      </c>
      <c r="L638" s="188" t="str">
        <f>_xlfn.LET(
_xlpm.look, _xlfn.XLOOKUP(ITEquipmentTable[[#This Row],[Name]], VNCTable[ClientName], VNCTable[IP], ""),
_xlpm.chkk, IF(ITEquipmentTable[[#This Row],[IPv4 Address]] = "N/A", "N/A", _xlpm.look),
IF(ITEquipmentTable[[#This Row],[Name]] = "", "", _xlpm.chkk))</f>
        <v>N/A</v>
      </c>
      <c r="M638" s="168" t="s">
        <v>226</v>
      </c>
      <c r="N638" s="161" t="str">
        <f>_xlfn.LET(_xlpm.emp, IF(_xlfn.XLOOKUP(ITEquipmentTable[[#This Row],[Assigned Employee]], EmployeeTable[name], EmployeeTable[Active], TRUE), "Employee", "Recover"),
IF(ITEquipmentTable[[#This Row],[Storage Location]] = "Assigned to Employee", _xlpm.emp, "N/A"))</f>
        <v>N/A</v>
      </c>
      <c r="O638" s="161" t="str" cm="1">
        <f t="array" ref="O63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3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38" s="193"/>
      <c r="R638" s="193" t="s">
        <v>312</v>
      </c>
      <c r="S638" s="189"/>
    </row>
    <row r="639" spans="1:19" s="1" customFormat="1" hidden="1" x14ac:dyDescent="0.2">
      <c r="A639" s="155">
        <v>846</v>
      </c>
      <c r="B639" s="189" t="s">
        <v>386</v>
      </c>
      <c r="C639" s="189" t="s">
        <v>514</v>
      </c>
      <c r="D639" s="189" t="s">
        <v>515</v>
      </c>
      <c r="E639" s="189" t="s">
        <v>306</v>
      </c>
      <c r="F639" s="195" t="s">
        <v>1050</v>
      </c>
      <c r="G639" s="1" t="str">
        <f>_xlfn.XLOOKUP(ITEquipmentTable[[#This Row],[Name]], IntuneData[Device name], IntuneData[Serial number], "")</f>
        <v/>
      </c>
      <c r="H639" s="168" t="s">
        <v>295</v>
      </c>
      <c r="I639" s="189" t="s">
        <v>1046</v>
      </c>
      <c r="J639" s="168"/>
      <c r="K639" s="223" t="s">
        <v>226</v>
      </c>
      <c r="L639" s="189" t="str">
        <f>_xlfn.LET(
_xlpm.look, _xlfn.XLOOKUP(ITEquipmentTable[[#This Row],[Name]], VNCTable[ClientName], VNCTable[IP], ""),
_xlpm.chkk, IF(ITEquipmentTable[[#This Row],[IPv4 Address]] = "N/A", "N/A", _xlpm.look),
IF(ITEquipmentTable[[#This Row],[Name]] = "", "", _xlpm.chkk))</f>
        <v>N/A</v>
      </c>
      <c r="M639" s="168" t="s">
        <v>226</v>
      </c>
      <c r="N639" s="161" t="str">
        <f>_xlfn.LET(_xlpm.emp, IF(_xlfn.XLOOKUP(ITEquipmentTable[[#This Row],[Assigned Employee]], EmployeeTable[name], EmployeeTable[Active], TRUE), "Employee", "Recover"),
IF(ITEquipmentTable[[#This Row],[Storage Location]] = "Assigned to Employee", _xlpm.emp, "N/A"))</f>
        <v>N/A</v>
      </c>
      <c r="O639" s="161" t="str" cm="1">
        <f t="array" ref="O63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3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39" s="193"/>
      <c r="R639" s="193" t="s">
        <v>312</v>
      </c>
      <c r="S639" s="189"/>
    </row>
    <row r="640" spans="1:19" s="1" customFormat="1" hidden="1" x14ac:dyDescent="0.2">
      <c r="A640" s="155">
        <v>847</v>
      </c>
      <c r="B640" s="189" t="s">
        <v>379</v>
      </c>
      <c r="C640" s="189" t="s">
        <v>514</v>
      </c>
      <c r="D640" s="189" t="s">
        <v>693</v>
      </c>
      <c r="E640" s="189" t="s">
        <v>306</v>
      </c>
      <c r="F640" s="195" t="s">
        <v>1058</v>
      </c>
      <c r="G640" s="1" t="str">
        <f>_xlfn.XLOOKUP(ITEquipmentTable[[#This Row],[Name]], IntuneData[Device name], IntuneData[Serial number], "")</f>
        <v/>
      </c>
      <c r="H640" s="168" t="s">
        <v>295</v>
      </c>
      <c r="I640" s="189" t="s">
        <v>1056</v>
      </c>
      <c r="J640" s="168"/>
      <c r="K640" s="223" t="s">
        <v>226</v>
      </c>
      <c r="L640" s="189" t="str">
        <f>_xlfn.LET(
_xlpm.look, _xlfn.XLOOKUP(ITEquipmentTable[[#This Row],[Name]], VNCTable[ClientName], VNCTable[IP], ""),
_xlpm.chkk, IF(ITEquipmentTable[[#This Row],[IPv4 Address]] = "N/A", "N/A", _xlpm.look),
IF(ITEquipmentTable[[#This Row],[Name]] = "", "", _xlpm.chkk))</f>
        <v>N/A</v>
      </c>
      <c r="M640" s="168" t="s">
        <v>226</v>
      </c>
      <c r="N640" s="161" t="str">
        <f>_xlfn.LET(_xlpm.emp, IF(_xlfn.XLOOKUP(ITEquipmentTable[[#This Row],[Assigned Employee]], EmployeeTable[name], EmployeeTable[Active], TRUE), "Employee", "Recover"),
IF(ITEquipmentTable[[#This Row],[Storage Location]] = "Assigned to Employee", _xlpm.emp, "N/A"))</f>
        <v>N/A</v>
      </c>
      <c r="O640" s="161" t="str" cm="1">
        <f t="array" ref="O64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4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40" s="193"/>
      <c r="R640" s="193" t="s">
        <v>312</v>
      </c>
      <c r="S640" s="189"/>
    </row>
    <row r="641" spans="1:19" s="1" customFormat="1" hidden="1" x14ac:dyDescent="0.2">
      <c r="A641" s="155">
        <v>848</v>
      </c>
      <c r="B641" s="189" t="s">
        <v>386</v>
      </c>
      <c r="C641" s="189" t="s">
        <v>514</v>
      </c>
      <c r="D641" s="189" t="s">
        <v>515</v>
      </c>
      <c r="E641" s="189" t="s">
        <v>306</v>
      </c>
      <c r="F641" s="195" t="s">
        <v>1060</v>
      </c>
      <c r="G641" s="1" t="str">
        <f>_xlfn.XLOOKUP(ITEquipmentTable[[#This Row],[Name]], IntuneData[Device name], IntuneData[Serial number], "")</f>
        <v/>
      </c>
      <c r="H641" s="168" t="s">
        <v>295</v>
      </c>
      <c r="I641" s="189" t="s">
        <v>1056</v>
      </c>
      <c r="J641" s="168"/>
      <c r="K641" s="223" t="s">
        <v>226</v>
      </c>
      <c r="L641" s="189" t="str">
        <f>_xlfn.LET(
_xlpm.look, _xlfn.XLOOKUP(ITEquipmentTable[[#This Row],[Name]], VNCTable[ClientName], VNCTable[IP], ""),
_xlpm.chkk, IF(ITEquipmentTable[[#This Row],[IPv4 Address]] = "N/A", "N/A", _xlpm.look),
IF(ITEquipmentTable[[#This Row],[Name]] = "", "", _xlpm.chkk))</f>
        <v>N/A</v>
      </c>
      <c r="M641" s="168" t="s">
        <v>226</v>
      </c>
      <c r="N641" s="161" t="str">
        <f>_xlfn.LET(_xlpm.emp, IF(_xlfn.XLOOKUP(ITEquipmentTable[[#This Row],[Assigned Employee]], EmployeeTable[name], EmployeeTable[Active], TRUE), "Employee", "Recover"),
IF(ITEquipmentTable[[#This Row],[Storage Location]] = "Assigned to Employee", _xlpm.emp, "N/A"))</f>
        <v>N/A</v>
      </c>
      <c r="O641" s="161" t="str" cm="1">
        <f t="array" ref="O64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4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41" s="193"/>
      <c r="R641" s="193" t="s">
        <v>312</v>
      </c>
      <c r="S641" s="189"/>
    </row>
    <row r="642" spans="1:19" s="1" customFormat="1" hidden="1" x14ac:dyDescent="0.2">
      <c r="A642" s="155">
        <v>849</v>
      </c>
      <c r="B642" s="189" t="s">
        <v>379</v>
      </c>
      <c r="C642" s="189" t="s">
        <v>514</v>
      </c>
      <c r="D642" s="189" t="s">
        <v>693</v>
      </c>
      <c r="E642" s="189" t="s">
        <v>331</v>
      </c>
      <c r="F642" s="195"/>
      <c r="G642" s="1" t="str">
        <f>_xlfn.XLOOKUP(ITEquipmentTable[[#This Row],[Name]], IntuneData[Device name], IntuneData[Serial number], "")</f>
        <v/>
      </c>
      <c r="H642" s="168" t="s">
        <v>295</v>
      </c>
      <c r="I642" s="189" t="s">
        <v>1067</v>
      </c>
      <c r="J642" s="168"/>
      <c r="K642" s="223" t="s">
        <v>226</v>
      </c>
      <c r="L642" s="189" t="str">
        <f>_xlfn.LET(
_xlpm.look, _xlfn.XLOOKUP(ITEquipmentTable[[#This Row],[Name]], VNCTable[ClientName], VNCTable[IP], ""),
_xlpm.chkk, IF(ITEquipmentTable[[#This Row],[IPv4 Address]] = "N/A", "N/A", _xlpm.look),
IF(ITEquipmentTable[[#This Row],[Name]] = "", "", _xlpm.chkk))</f>
        <v>N/A</v>
      </c>
      <c r="M642" s="168" t="s">
        <v>226</v>
      </c>
      <c r="N642" s="161" t="str">
        <f>_xlfn.LET(_xlpm.emp, IF(_xlfn.XLOOKUP(ITEquipmentTable[[#This Row],[Assigned Employee]], EmployeeTable[name], EmployeeTable[Active], TRUE), "Employee", "Recover"),
IF(ITEquipmentTable[[#This Row],[Storage Location]] = "Assigned to Employee", _xlpm.emp, "N/A"))</f>
        <v>N/A</v>
      </c>
      <c r="O642" s="161" t="str" cm="1">
        <f t="array" ref="O64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4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42" s="193"/>
      <c r="R642" s="193" t="s">
        <v>312</v>
      </c>
      <c r="S642" s="189"/>
    </row>
    <row r="643" spans="1:19" s="1" customFormat="1" hidden="1" x14ac:dyDescent="0.2">
      <c r="A643" s="155">
        <v>850</v>
      </c>
      <c r="B643" s="189" t="s">
        <v>386</v>
      </c>
      <c r="C643" s="189" t="s">
        <v>514</v>
      </c>
      <c r="D643" s="189" t="s">
        <v>515</v>
      </c>
      <c r="E643" s="189" t="s">
        <v>306</v>
      </c>
      <c r="F643" s="195"/>
      <c r="G643" s="1" t="str">
        <f>_xlfn.XLOOKUP(ITEquipmentTable[[#This Row],[Name]], IntuneData[Device name], IntuneData[Serial number], "")</f>
        <v/>
      </c>
      <c r="H643" s="168" t="s">
        <v>295</v>
      </c>
      <c r="I643" s="189" t="s">
        <v>1067</v>
      </c>
      <c r="J643" s="168"/>
      <c r="K643" s="223" t="s">
        <v>226</v>
      </c>
      <c r="L643" s="189" t="str">
        <f>_xlfn.LET(
_xlpm.look, _xlfn.XLOOKUP(ITEquipmentTable[[#This Row],[Name]], VNCTable[ClientName], VNCTable[IP], ""),
_xlpm.chkk, IF(ITEquipmentTable[[#This Row],[IPv4 Address]] = "N/A", "N/A", _xlpm.look),
IF(ITEquipmentTable[[#This Row],[Name]] = "", "", _xlpm.chkk))</f>
        <v>N/A</v>
      </c>
      <c r="M643" s="168" t="s">
        <v>226</v>
      </c>
      <c r="N643" s="161" t="str">
        <f>_xlfn.LET(_xlpm.emp, IF(_xlfn.XLOOKUP(ITEquipmentTable[[#This Row],[Assigned Employee]], EmployeeTable[name], EmployeeTable[Active], TRUE), "Employee", "Recover"),
IF(ITEquipmentTable[[#This Row],[Storage Location]] = "Assigned to Employee", _xlpm.emp, "N/A"))</f>
        <v>N/A</v>
      </c>
      <c r="O643" s="161" t="str" cm="1">
        <f t="array" ref="O64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4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643" s="193"/>
      <c r="R643" s="193" t="s">
        <v>312</v>
      </c>
      <c r="S643" s="189" t="s">
        <v>319</v>
      </c>
    </row>
    <row r="644" spans="1:19" s="1" customFormat="1" hidden="1" x14ac:dyDescent="0.2">
      <c r="A644" s="155">
        <v>851</v>
      </c>
      <c r="B644" s="189" t="s">
        <v>379</v>
      </c>
      <c r="C644" s="189" t="s">
        <v>514</v>
      </c>
      <c r="D644" s="189" t="s">
        <v>693</v>
      </c>
      <c r="E644" s="189" t="s">
        <v>306</v>
      </c>
      <c r="F644" s="195" t="s">
        <v>1078</v>
      </c>
      <c r="G644" s="1" t="str">
        <f>_xlfn.XLOOKUP(ITEquipmentTable[[#This Row],[Name]], IntuneData[Device name], IntuneData[Serial number], "")</f>
        <v/>
      </c>
      <c r="H644" s="168" t="s">
        <v>295</v>
      </c>
      <c r="I644" s="189" t="s">
        <v>1076</v>
      </c>
      <c r="J644" s="168"/>
      <c r="K644" s="223" t="s">
        <v>226</v>
      </c>
      <c r="L644" s="189" t="str">
        <f>_xlfn.LET(
_xlpm.look, _xlfn.XLOOKUP(ITEquipmentTable[[#This Row],[Name]], VNCTable[ClientName], VNCTable[IP], ""),
_xlpm.chkk, IF(ITEquipmentTable[[#This Row],[IPv4 Address]] = "N/A", "N/A", _xlpm.look),
IF(ITEquipmentTable[[#This Row],[Name]] = "", "", _xlpm.chkk))</f>
        <v>N/A</v>
      </c>
      <c r="M644" s="168" t="s">
        <v>226</v>
      </c>
      <c r="N644" s="161" t="str">
        <f>_xlfn.LET(_xlpm.emp, IF(_xlfn.XLOOKUP(ITEquipmentTable[[#This Row],[Assigned Employee]], EmployeeTable[name], EmployeeTable[Active], TRUE), "Employee", "Recover"),
IF(ITEquipmentTable[[#This Row],[Storage Location]] = "Assigned to Employee", _xlpm.emp, "N/A"))</f>
        <v>N/A</v>
      </c>
      <c r="O644" s="161" t="str" cm="1">
        <f t="array" ref="O64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4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44" s="193"/>
      <c r="R644" s="193" t="s">
        <v>312</v>
      </c>
      <c r="S644" s="189"/>
    </row>
    <row r="645" spans="1:19" s="1" customFormat="1" hidden="1" x14ac:dyDescent="0.2">
      <c r="A645" s="155">
        <v>852</v>
      </c>
      <c r="B645" s="189" t="s">
        <v>386</v>
      </c>
      <c r="C645" s="189" t="s">
        <v>514</v>
      </c>
      <c r="D645" s="189" t="s">
        <v>515</v>
      </c>
      <c r="E645" s="189" t="s">
        <v>306</v>
      </c>
      <c r="F645" s="195"/>
      <c r="G645" s="1" t="str">
        <f>_xlfn.XLOOKUP(ITEquipmentTable[[#This Row],[Name]], IntuneData[Device name], IntuneData[Serial number], "")</f>
        <v/>
      </c>
      <c r="H645" s="168" t="s">
        <v>295</v>
      </c>
      <c r="I645" s="189" t="s">
        <v>1076</v>
      </c>
      <c r="J645" s="168"/>
      <c r="K645" s="223" t="s">
        <v>226</v>
      </c>
      <c r="L645" s="189" t="str">
        <f>_xlfn.LET(
_xlpm.look, _xlfn.XLOOKUP(ITEquipmentTable[[#This Row],[Name]], VNCTable[ClientName], VNCTable[IP], ""),
_xlpm.chkk, IF(ITEquipmentTable[[#This Row],[IPv4 Address]] = "N/A", "N/A", _xlpm.look),
IF(ITEquipmentTable[[#This Row],[Name]] = "", "", _xlpm.chkk))</f>
        <v>N/A</v>
      </c>
      <c r="M645" s="168" t="s">
        <v>226</v>
      </c>
      <c r="N645" s="161" t="str">
        <f>_xlfn.LET(_xlpm.emp, IF(_xlfn.XLOOKUP(ITEquipmentTable[[#This Row],[Assigned Employee]], EmployeeTable[name], EmployeeTable[Active], TRUE), "Employee", "Recover"),
IF(ITEquipmentTable[[#This Row],[Storage Location]] = "Assigned to Employee", _xlpm.emp, "N/A"))</f>
        <v>N/A</v>
      </c>
      <c r="O645" s="161" t="str" cm="1">
        <f t="array" ref="O64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4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645" s="193"/>
      <c r="R645" s="193" t="s">
        <v>312</v>
      </c>
      <c r="S645" s="189" t="s">
        <v>319</v>
      </c>
    </row>
    <row r="646" spans="1:19" s="1" customFormat="1" hidden="1" x14ac:dyDescent="0.2">
      <c r="A646" s="155">
        <v>853</v>
      </c>
      <c r="B646" s="189" t="s">
        <v>379</v>
      </c>
      <c r="C646" s="189" t="s">
        <v>514</v>
      </c>
      <c r="D646" s="189" t="s">
        <v>693</v>
      </c>
      <c r="E646" s="189" t="s">
        <v>306</v>
      </c>
      <c r="F646" s="195" t="s">
        <v>1085</v>
      </c>
      <c r="G646" s="1" t="str">
        <f>_xlfn.XLOOKUP(ITEquipmentTable[[#This Row],[Name]], IntuneData[Device name], IntuneData[Serial number], "")</f>
        <v/>
      </c>
      <c r="H646" s="168" t="s">
        <v>295</v>
      </c>
      <c r="I646" s="189" t="s">
        <v>1083</v>
      </c>
      <c r="J646" s="168"/>
      <c r="K646" s="223" t="s">
        <v>226</v>
      </c>
      <c r="L646" s="189" t="str">
        <f>_xlfn.LET(
_xlpm.look, _xlfn.XLOOKUP(ITEquipmentTable[[#This Row],[Name]], VNCTable[ClientName], VNCTable[IP], ""),
_xlpm.chkk, IF(ITEquipmentTable[[#This Row],[IPv4 Address]] = "N/A", "N/A", _xlpm.look),
IF(ITEquipmentTable[[#This Row],[Name]] = "", "", _xlpm.chkk))</f>
        <v>N/A</v>
      </c>
      <c r="M646" s="168" t="s">
        <v>226</v>
      </c>
      <c r="N646" s="161" t="str">
        <f>_xlfn.LET(_xlpm.emp, IF(_xlfn.XLOOKUP(ITEquipmentTable[[#This Row],[Assigned Employee]], EmployeeTable[name], EmployeeTable[Active], TRUE), "Employee", "Recover"),
IF(ITEquipmentTable[[#This Row],[Storage Location]] = "Assigned to Employee", _xlpm.emp, "N/A"))</f>
        <v>N/A</v>
      </c>
      <c r="O646" s="161" t="str" cm="1">
        <f t="array" ref="O64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4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46" s="193"/>
      <c r="R646" s="193" t="s">
        <v>312</v>
      </c>
      <c r="S646" s="189"/>
    </row>
    <row r="647" spans="1:19" s="1" customFormat="1" hidden="1" x14ac:dyDescent="0.2">
      <c r="A647" s="155">
        <v>854</v>
      </c>
      <c r="B647" s="189" t="s">
        <v>386</v>
      </c>
      <c r="C647" s="189" t="s">
        <v>514</v>
      </c>
      <c r="D647" s="189" t="s">
        <v>515</v>
      </c>
      <c r="E647" s="189" t="s">
        <v>306</v>
      </c>
      <c r="F647" s="195" t="s">
        <v>1087</v>
      </c>
      <c r="G647" s="1" t="str">
        <f>_xlfn.XLOOKUP(ITEquipmentTable[[#This Row],[Name]], IntuneData[Device name], IntuneData[Serial number], "")</f>
        <v/>
      </c>
      <c r="H647" s="168" t="s">
        <v>295</v>
      </c>
      <c r="I647" s="189" t="s">
        <v>1083</v>
      </c>
      <c r="J647" s="168"/>
      <c r="K647" s="223" t="s">
        <v>226</v>
      </c>
      <c r="L647" s="189" t="str">
        <f>_xlfn.LET(
_xlpm.look, _xlfn.XLOOKUP(ITEquipmentTable[[#This Row],[Name]], VNCTable[ClientName], VNCTable[IP], ""),
_xlpm.chkk, IF(ITEquipmentTable[[#This Row],[IPv4 Address]] = "N/A", "N/A", _xlpm.look),
IF(ITEquipmentTable[[#This Row],[Name]] = "", "", _xlpm.chkk))</f>
        <v>N/A</v>
      </c>
      <c r="M647" s="168" t="s">
        <v>226</v>
      </c>
      <c r="N647" s="161" t="str">
        <f>_xlfn.LET(_xlpm.emp, IF(_xlfn.XLOOKUP(ITEquipmentTable[[#This Row],[Assigned Employee]], EmployeeTable[name], EmployeeTable[Active], TRUE), "Employee", "Recover"),
IF(ITEquipmentTable[[#This Row],[Storage Location]] = "Assigned to Employee", _xlpm.emp, "N/A"))</f>
        <v>N/A</v>
      </c>
      <c r="O647" s="161" t="str" cm="1">
        <f t="array" ref="O64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4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47" s="193"/>
      <c r="R647" s="193" t="s">
        <v>312</v>
      </c>
      <c r="S647" s="189"/>
    </row>
    <row r="648" spans="1:19" s="1" customFormat="1" hidden="1" x14ac:dyDescent="0.2">
      <c r="A648" s="155">
        <v>855</v>
      </c>
      <c r="B648" s="189" t="s">
        <v>379</v>
      </c>
      <c r="C648" s="189" t="s">
        <v>514</v>
      </c>
      <c r="D648" s="189" t="s">
        <v>693</v>
      </c>
      <c r="E648" s="189" t="s">
        <v>331</v>
      </c>
      <c r="F648" s="195"/>
      <c r="G648" s="1" t="str">
        <f>_xlfn.XLOOKUP(ITEquipmentTable[[#This Row],[Name]], IntuneData[Device name], IntuneData[Serial number], "")</f>
        <v/>
      </c>
      <c r="H648" s="168" t="s">
        <v>295</v>
      </c>
      <c r="I648" s="189" t="s">
        <v>1092</v>
      </c>
      <c r="J648" s="168"/>
      <c r="K648" s="223" t="s">
        <v>226</v>
      </c>
      <c r="L648" s="189" t="str">
        <f>_xlfn.LET(
_xlpm.look, _xlfn.XLOOKUP(ITEquipmentTable[[#This Row],[Name]], VNCTable[ClientName], VNCTable[IP], ""),
_xlpm.chkk, IF(ITEquipmentTable[[#This Row],[IPv4 Address]] = "N/A", "N/A", _xlpm.look),
IF(ITEquipmentTable[[#This Row],[Name]] = "", "", _xlpm.chkk))</f>
        <v>N/A</v>
      </c>
      <c r="M648" s="168" t="s">
        <v>226</v>
      </c>
      <c r="N648" s="161" t="str">
        <f>_xlfn.LET(_xlpm.emp, IF(_xlfn.XLOOKUP(ITEquipmentTable[[#This Row],[Assigned Employee]], EmployeeTable[name], EmployeeTable[Active], TRUE), "Employee", "Recover"),
IF(ITEquipmentTable[[#This Row],[Storage Location]] = "Assigned to Employee", _xlpm.emp, "N/A"))</f>
        <v>N/A</v>
      </c>
      <c r="O648" s="161" t="str" cm="1">
        <f t="array" ref="O64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4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48" s="193"/>
      <c r="R648" s="193" t="s">
        <v>312</v>
      </c>
      <c r="S648" s="189"/>
    </row>
    <row r="649" spans="1:19" s="1" customFormat="1" hidden="1" x14ac:dyDescent="0.2">
      <c r="A649" s="155">
        <v>856</v>
      </c>
      <c r="B649" s="189" t="s">
        <v>386</v>
      </c>
      <c r="C649" s="189" t="s">
        <v>514</v>
      </c>
      <c r="D649" s="189" t="s">
        <v>515</v>
      </c>
      <c r="E649" s="189" t="s">
        <v>306</v>
      </c>
      <c r="F649" s="195" t="s">
        <v>1095</v>
      </c>
      <c r="G649" s="1" t="str">
        <f>_xlfn.XLOOKUP(ITEquipmentTable[[#This Row],[Name]], IntuneData[Device name], IntuneData[Serial number], "")</f>
        <v/>
      </c>
      <c r="H649" s="168" t="s">
        <v>295</v>
      </c>
      <c r="I649" s="189" t="s">
        <v>1092</v>
      </c>
      <c r="J649" s="168"/>
      <c r="K649" s="223" t="s">
        <v>226</v>
      </c>
      <c r="L649" s="189" t="str">
        <f>_xlfn.LET(
_xlpm.look, _xlfn.XLOOKUP(ITEquipmentTable[[#This Row],[Name]], VNCTable[ClientName], VNCTable[IP], ""),
_xlpm.chkk, IF(ITEquipmentTable[[#This Row],[IPv4 Address]] = "N/A", "N/A", _xlpm.look),
IF(ITEquipmentTable[[#This Row],[Name]] = "", "", _xlpm.chkk))</f>
        <v>N/A</v>
      </c>
      <c r="M649" s="168" t="s">
        <v>226</v>
      </c>
      <c r="N649" s="161" t="str">
        <f>_xlfn.LET(_xlpm.emp, IF(_xlfn.XLOOKUP(ITEquipmentTable[[#This Row],[Assigned Employee]], EmployeeTable[name], EmployeeTable[Active], TRUE), "Employee", "Recover"),
IF(ITEquipmentTable[[#This Row],[Storage Location]] = "Assigned to Employee", _xlpm.emp, "N/A"))</f>
        <v>N/A</v>
      </c>
      <c r="O649" s="161" t="str" cm="1">
        <f t="array" ref="O64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4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49" s="193"/>
      <c r="R649" s="193" t="s">
        <v>312</v>
      </c>
      <c r="S649" s="189"/>
    </row>
    <row r="650" spans="1:19" s="1" customFormat="1" hidden="1" x14ac:dyDescent="0.2">
      <c r="A650" s="155">
        <v>857</v>
      </c>
      <c r="B650" s="189" t="s">
        <v>379</v>
      </c>
      <c r="C650" s="189" t="s">
        <v>514</v>
      </c>
      <c r="D650" s="189" t="s">
        <v>693</v>
      </c>
      <c r="E650" s="189" t="s">
        <v>331</v>
      </c>
      <c r="F650" s="195"/>
      <c r="G650" s="164" t="str">
        <f>_xlfn.XLOOKUP(ITEquipmentTable[[#This Row],[Name]], IntuneData[Device name], IntuneData[Serial number], "")</f>
        <v/>
      </c>
      <c r="H650" s="168" t="s">
        <v>295</v>
      </c>
      <c r="I650" s="1" t="s">
        <v>1102</v>
      </c>
      <c r="J650" s="168"/>
      <c r="K650" s="223" t="s">
        <v>226</v>
      </c>
      <c r="L650" s="188" t="str">
        <f>_xlfn.LET(
_xlpm.look, _xlfn.XLOOKUP(ITEquipmentTable[[#This Row],[Name]], VNCTable[ClientName], VNCTable[IP], ""),
_xlpm.chkk, IF(ITEquipmentTable[[#This Row],[IPv4 Address]] = "N/A", "N/A", _xlpm.look),
IF(ITEquipmentTable[[#This Row],[Name]] = "", "", _xlpm.chkk))</f>
        <v>N/A</v>
      </c>
      <c r="M650" s="168" t="s">
        <v>226</v>
      </c>
      <c r="N650" s="161" t="str">
        <f>_xlfn.LET(_xlpm.emp, IF(_xlfn.XLOOKUP(ITEquipmentTable[[#This Row],[Assigned Employee]], EmployeeTable[name], EmployeeTable[Active], TRUE), "Employee", "Recover"),
IF(ITEquipmentTable[[#This Row],[Storage Location]] = "Assigned to Employee", _xlpm.emp, "N/A"))</f>
        <v>N/A</v>
      </c>
      <c r="O650" s="161" t="str" cm="1">
        <f t="array" ref="O65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5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50" s="193"/>
      <c r="R650" s="193" t="s">
        <v>312</v>
      </c>
      <c r="S650" s="189"/>
    </row>
    <row r="651" spans="1:19" s="1" customFormat="1" hidden="1" x14ac:dyDescent="0.2">
      <c r="A651" s="155">
        <v>858</v>
      </c>
      <c r="B651" s="189" t="s">
        <v>386</v>
      </c>
      <c r="C651" s="189" t="s">
        <v>514</v>
      </c>
      <c r="D651" s="189" t="s">
        <v>515</v>
      </c>
      <c r="E651" s="189" t="s">
        <v>306</v>
      </c>
      <c r="F651" s="195"/>
      <c r="G651" s="1" t="str">
        <f>_xlfn.XLOOKUP(ITEquipmentTable[[#This Row],[Name]], IntuneData[Device name], IntuneData[Serial number], "")</f>
        <v/>
      </c>
      <c r="H651" s="168" t="s">
        <v>295</v>
      </c>
      <c r="I651" s="189" t="s">
        <v>1102</v>
      </c>
      <c r="J651" s="168"/>
      <c r="K651" s="223" t="s">
        <v>226</v>
      </c>
      <c r="L651" s="189" t="str">
        <f>_xlfn.LET(
_xlpm.look, _xlfn.XLOOKUP(ITEquipmentTable[[#This Row],[Name]], VNCTable[ClientName], VNCTable[IP], ""),
_xlpm.chkk, IF(ITEquipmentTable[[#This Row],[IPv4 Address]] = "N/A", "N/A", _xlpm.look),
IF(ITEquipmentTable[[#This Row],[Name]] = "", "", _xlpm.chkk))</f>
        <v>N/A</v>
      </c>
      <c r="M651" s="168" t="s">
        <v>226</v>
      </c>
      <c r="N651" s="161" t="str">
        <f>_xlfn.LET(_xlpm.emp, IF(_xlfn.XLOOKUP(ITEquipmentTable[[#This Row],[Assigned Employee]], EmployeeTable[name], EmployeeTable[Active], TRUE), "Employee", "Recover"),
IF(ITEquipmentTable[[#This Row],[Storage Location]] = "Assigned to Employee", _xlpm.emp, "N/A"))</f>
        <v>N/A</v>
      </c>
      <c r="O651" s="161" t="str" cm="1">
        <f t="array" ref="O65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5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651" s="193"/>
      <c r="R651" s="193" t="s">
        <v>312</v>
      </c>
      <c r="S651" s="189" t="s">
        <v>319</v>
      </c>
    </row>
    <row r="652" spans="1:19" s="1" customFormat="1" hidden="1" x14ac:dyDescent="0.2">
      <c r="A652" s="155">
        <v>859</v>
      </c>
      <c r="B652" s="189" t="s">
        <v>379</v>
      </c>
      <c r="C652" s="189" t="s">
        <v>514</v>
      </c>
      <c r="D652" s="189" t="s">
        <v>693</v>
      </c>
      <c r="E652" s="189" t="s">
        <v>306</v>
      </c>
      <c r="F652" s="195" t="s">
        <v>1113</v>
      </c>
      <c r="G652" s="1" t="str">
        <f>_xlfn.XLOOKUP(ITEquipmentTable[[#This Row],[Name]], IntuneData[Device name], IntuneData[Serial number], "")</f>
        <v/>
      </c>
      <c r="H652" s="168" t="s">
        <v>295</v>
      </c>
      <c r="I652" s="189" t="s">
        <v>1111</v>
      </c>
      <c r="J652" s="168"/>
      <c r="K652" s="223" t="s">
        <v>226</v>
      </c>
      <c r="L652" s="189" t="str">
        <f>_xlfn.LET(
_xlpm.look, _xlfn.XLOOKUP(ITEquipmentTable[[#This Row],[Name]], VNCTable[ClientName], VNCTable[IP], ""),
_xlpm.chkk, IF(ITEquipmentTable[[#This Row],[IPv4 Address]] = "N/A", "N/A", _xlpm.look),
IF(ITEquipmentTable[[#This Row],[Name]] = "", "", _xlpm.chkk))</f>
        <v>N/A</v>
      </c>
      <c r="M652" s="168" t="s">
        <v>226</v>
      </c>
      <c r="N652" s="161" t="str">
        <f>_xlfn.LET(_xlpm.emp, IF(_xlfn.XLOOKUP(ITEquipmentTable[[#This Row],[Assigned Employee]], EmployeeTable[name], EmployeeTable[Active], TRUE), "Employee", "Recover"),
IF(ITEquipmentTable[[#This Row],[Storage Location]] = "Assigned to Employee", _xlpm.emp, "N/A"))</f>
        <v>N/A</v>
      </c>
      <c r="O652" s="161" t="str" cm="1">
        <f t="array" ref="O65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5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52" s="193"/>
      <c r="R652" s="193" t="s">
        <v>312</v>
      </c>
      <c r="S652" s="189"/>
    </row>
    <row r="653" spans="1:19" s="1" customFormat="1" hidden="1" x14ac:dyDescent="0.2">
      <c r="A653" s="155">
        <v>860</v>
      </c>
      <c r="B653" s="189" t="s">
        <v>386</v>
      </c>
      <c r="C653" s="189" t="s">
        <v>514</v>
      </c>
      <c r="D653" s="189" t="s">
        <v>515</v>
      </c>
      <c r="E653" s="189" t="s">
        <v>306</v>
      </c>
      <c r="F653" s="195" t="s">
        <v>1115</v>
      </c>
      <c r="G653" s="1" t="str">
        <f>_xlfn.XLOOKUP(ITEquipmentTable[[#This Row],[Name]], IntuneData[Device name], IntuneData[Serial number], "")</f>
        <v/>
      </c>
      <c r="H653" s="168" t="s">
        <v>295</v>
      </c>
      <c r="I653" s="189" t="s">
        <v>1111</v>
      </c>
      <c r="J653" s="168"/>
      <c r="K653" s="223" t="s">
        <v>226</v>
      </c>
      <c r="L653" s="189" t="str">
        <f>_xlfn.LET(
_xlpm.look, _xlfn.XLOOKUP(ITEquipmentTable[[#This Row],[Name]], VNCTable[ClientName], VNCTable[IP], ""),
_xlpm.chkk, IF(ITEquipmentTable[[#This Row],[IPv4 Address]] = "N/A", "N/A", _xlpm.look),
IF(ITEquipmentTable[[#This Row],[Name]] = "", "", _xlpm.chkk))</f>
        <v>N/A</v>
      </c>
      <c r="M653" s="168" t="s">
        <v>226</v>
      </c>
      <c r="N653" s="161" t="str">
        <f>_xlfn.LET(_xlpm.emp, IF(_xlfn.XLOOKUP(ITEquipmentTable[[#This Row],[Assigned Employee]], EmployeeTable[name], EmployeeTable[Active], TRUE), "Employee", "Recover"),
IF(ITEquipmentTable[[#This Row],[Storage Location]] = "Assigned to Employee", _xlpm.emp, "N/A"))</f>
        <v>N/A</v>
      </c>
      <c r="O653" s="161" t="str" cm="1">
        <f t="array" ref="O65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5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53" s="193"/>
      <c r="R653" s="193" t="s">
        <v>312</v>
      </c>
      <c r="S653" s="189"/>
    </row>
    <row r="654" spans="1:19" s="1" customFormat="1" hidden="1" x14ac:dyDescent="0.2">
      <c r="A654" s="155">
        <v>867</v>
      </c>
      <c r="B654" s="1" t="s">
        <v>407</v>
      </c>
      <c r="C654" s="1" t="s">
        <v>403</v>
      </c>
      <c r="D654" s="1" t="s">
        <v>2065</v>
      </c>
      <c r="E654" s="1" t="s">
        <v>306</v>
      </c>
      <c r="F654" s="195" t="s">
        <v>2066</v>
      </c>
      <c r="G654" s="1" t="str">
        <f>_xlfn.XLOOKUP(ITEquipmentTable[[#This Row],[Name]], IntuneData[Device name], IntuneData[Serial number], "")</f>
        <v/>
      </c>
      <c r="H654" s="1" t="s">
        <v>318</v>
      </c>
      <c r="K654" s="154" t="s">
        <v>226</v>
      </c>
      <c r="L654" s="1" t="str">
        <f>_xlfn.LET(
_xlpm.look, _xlfn.XLOOKUP(ITEquipmentTable[[#This Row],[Name]], VNCTable[ClientName], VNCTable[IP], ""),
_xlpm.chkk, IF(ITEquipmentTable[[#This Row],[IPv4 Address]] = "N/A", "N/A", _xlpm.look),
IF(ITEquipmentTable[[#This Row],[Name]] = "", "", _xlpm.chkk))</f>
        <v>N/A</v>
      </c>
      <c r="M654" s="1" t="s">
        <v>226</v>
      </c>
      <c r="N654" s="161" t="str">
        <f>_xlfn.LET(_xlpm.emp, IF(_xlfn.XLOOKUP(ITEquipmentTable[[#This Row],[Assigned Employee]], EmployeeTable[name], EmployeeTable[Active], TRUE), "Employee", "Recover"),
IF(ITEquipmentTable[[#This Row],[Storage Location]] = "Assigned to Employee", _xlpm.emp, "N/A"))</f>
        <v>N/A</v>
      </c>
      <c r="O654" s="161" t="str" cm="1">
        <f t="array" ref="O65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5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54" s="1" t="s">
        <v>312</v>
      </c>
    </row>
    <row r="655" spans="1:19" s="1" customFormat="1" hidden="1" x14ac:dyDescent="0.2">
      <c r="A655" s="155">
        <v>868</v>
      </c>
      <c r="B655" s="1" t="s">
        <v>407</v>
      </c>
      <c r="C655" s="1" t="s">
        <v>403</v>
      </c>
      <c r="D655" s="1" t="s">
        <v>2065</v>
      </c>
      <c r="E655" s="1" t="s">
        <v>306</v>
      </c>
      <c r="F655" s="195" t="s">
        <v>2067</v>
      </c>
      <c r="G655" s="1" t="str">
        <f>_xlfn.XLOOKUP(ITEquipmentTable[[#This Row],[Name]], IntuneData[Device name], IntuneData[Serial number], "")</f>
        <v/>
      </c>
      <c r="H655" s="1" t="s">
        <v>318</v>
      </c>
      <c r="K655" s="154" t="s">
        <v>226</v>
      </c>
      <c r="L655" s="1" t="str">
        <f>_xlfn.LET(
_xlpm.look, _xlfn.XLOOKUP(ITEquipmentTable[[#This Row],[Name]], VNCTable[ClientName], VNCTable[IP], ""),
_xlpm.chkk, IF(ITEquipmentTable[[#This Row],[IPv4 Address]] = "N/A", "N/A", _xlpm.look),
IF(ITEquipmentTable[[#This Row],[Name]] = "", "", _xlpm.chkk))</f>
        <v>N/A</v>
      </c>
      <c r="M655" s="1" t="s">
        <v>226</v>
      </c>
      <c r="N655" s="161" t="str">
        <f>_xlfn.LET(_xlpm.emp, IF(_xlfn.XLOOKUP(ITEquipmentTable[[#This Row],[Assigned Employee]], EmployeeTable[name], EmployeeTable[Active], TRUE), "Employee", "Recover"),
IF(ITEquipmentTable[[#This Row],[Storage Location]] = "Assigned to Employee", _xlpm.emp, "N/A"))</f>
        <v>N/A</v>
      </c>
      <c r="O655" s="161" t="str" cm="1">
        <f t="array" ref="O65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5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55" s="1" t="s">
        <v>312</v>
      </c>
    </row>
    <row r="656" spans="1:19" s="1" customFormat="1" hidden="1" x14ac:dyDescent="0.2">
      <c r="A656" s="155">
        <v>869</v>
      </c>
      <c r="B656" s="1" t="s">
        <v>379</v>
      </c>
      <c r="C656" s="1" t="s">
        <v>514</v>
      </c>
      <c r="D656" s="1" t="s">
        <v>2068</v>
      </c>
      <c r="E656" s="1" t="s">
        <v>306</v>
      </c>
      <c r="F656" s="195" t="s">
        <v>2069</v>
      </c>
      <c r="G656" s="1" t="str">
        <f>_xlfn.XLOOKUP(ITEquipmentTable[[#This Row],[Name]], IntuneData[Device name], IntuneData[Serial number], "")</f>
        <v/>
      </c>
      <c r="K656" s="154" t="s">
        <v>226</v>
      </c>
      <c r="L656" s="1" t="str">
        <f>_xlfn.LET(
_xlpm.look, _xlfn.XLOOKUP(ITEquipmentTable[[#This Row],[Name]], VNCTable[ClientName], VNCTable[IP], ""),
_xlpm.chkk, IF(ITEquipmentTable[[#This Row],[IPv4 Address]] = "N/A", "N/A", _xlpm.look),
IF(ITEquipmentTable[[#This Row],[Name]] = "", "", _xlpm.chkk))</f>
        <v>N/A</v>
      </c>
      <c r="M656" s="1" t="s">
        <v>226</v>
      </c>
      <c r="N656" s="161" t="str">
        <f>_xlfn.LET(_xlpm.emp, IF(_xlfn.XLOOKUP(ITEquipmentTable[[#This Row],[Assigned Employee]], EmployeeTable[name], EmployeeTable[Active], TRUE), "Employee", "Recover"),
IF(ITEquipmentTable[[#This Row],[Storage Location]] = "Assigned to Employee", _xlpm.emp, "N/A"))</f>
        <v>N/A</v>
      </c>
      <c r="O656" s="161" t="str" cm="1">
        <f t="array" ref="O65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5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56" s="1" t="s">
        <v>312</v>
      </c>
    </row>
    <row r="657" spans="1:19" s="1" customFormat="1" hidden="1" x14ac:dyDescent="0.2">
      <c r="A657" s="155">
        <v>872</v>
      </c>
      <c r="B657" s="1" t="s">
        <v>356</v>
      </c>
      <c r="C657" s="1" t="s">
        <v>443</v>
      </c>
      <c r="D657" s="1" t="s">
        <v>444</v>
      </c>
      <c r="E657" s="189" t="s">
        <v>306</v>
      </c>
      <c r="F657" s="195" t="s">
        <v>2070</v>
      </c>
      <c r="G657" s="1" t="str">
        <f>_xlfn.XLOOKUP(ITEquipmentTable[[#This Row],[Name]], IntuneData[Device name], IntuneData[Serial number], "")</f>
        <v/>
      </c>
      <c r="H657" s="1" t="s">
        <v>302</v>
      </c>
      <c r="K657" s="154" t="s">
        <v>226</v>
      </c>
      <c r="L657" s="1" t="str">
        <f>_xlfn.LET(
_xlpm.look, _xlfn.XLOOKUP(ITEquipmentTable[[#This Row],[Name]], VNCTable[ClientName], VNCTable[IP], ""),
_xlpm.chkk, IF(ITEquipmentTable[[#This Row],[IPv4 Address]] = "N/A", "N/A", _xlpm.look),
IF(ITEquipmentTable[[#This Row],[Name]] = "", "", _xlpm.chkk))</f>
        <v>N/A</v>
      </c>
      <c r="M657" s="1" t="s">
        <v>226</v>
      </c>
      <c r="N657" s="161" t="str">
        <f>_xlfn.LET(_xlpm.emp, IF(_xlfn.XLOOKUP(ITEquipmentTable[[#This Row],[Assigned Employee]], EmployeeTable[name], EmployeeTable[Active], TRUE), "Employee", "Recover"),
IF(ITEquipmentTable[[#This Row],[Storage Location]] = "Assigned to Employee", _xlpm.emp, "N/A"))</f>
        <v>N/A</v>
      </c>
      <c r="O657" s="161" t="str" cm="1">
        <f t="array" ref="O65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5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57" s="1" t="s">
        <v>312</v>
      </c>
    </row>
    <row r="658" spans="1:19" s="1" customFormat="1" hidden="1" x14ac:dyDescent="0.2">
      <c r="A658" s="155">
        <v>873</v>
      </c>
      <c r="B658" s="1" t="s">
        <v>356</v>
      </c>
      <c r="C658" s="1" t="s">
        <v>443</v>
      </c>
      <c r="D658" s="1" t="s">
        <v>444</v>
      </c>
      <c r="E658" s="189" t="s">
        <v>306</v>
      </c>
      <c r="F658" s="195" t="s">
        <v>2071</v>
      </c>
      <c r="G658" s="1" t="str">
        <f>_xlfn.XLOOKUP(ITEquipmentTable[[#This Row],[Name]], IntuneData[Device name], IntuneData[Serial number], "")</f>
        <v/>
      </c>
      <c r="H658" s="1" t="s">
        <v>302</v>
      </c>
      <c r="K658" s="154" t="s">
        <v>226</v>
      </c>
      <c r="L658" s="1" t="str">
        <f>_xlfn.LET(
_xlpm.look, _xlfn.XLOOKUP(ITEquipmentTable[[#This Row],[Name]], VNCTable[ClientName], VNCTable[IP], ""),
_xlpm.chkk, IF(ITEquipmentTable[[#This Row],[IPv4 Address]] = "N/A", "N/A", _xlpm.look),
IF(ITEquipmentTable[[#This Row],[Name]] = "", "", _xlpm.chkk))</f>
        <v>N/A</v>
      </c>
      <c r="M658" s="1" t="s">
        <v>226</v>
      </c>
      <c r="N658" s="161" t="str">
        <f>_xlfn.LET(_xlpm.emp, IF(_xlfn.XLOOKUP(ITEquipmentTable[[#This Row],[Assigned Employee]], EmployeeTable[name], EmployeeTable[Active], TRUE), "Employee", "Recover"),
IF(ITEquipmentTable[[#This Row],[Storage Location]] = "Assigned to Employee", _xlpm.emp, "N/A"))</f>
        <v>N/A</v>
      </c>
      <c r="O658" s="161" t="str" cm="1">
        <f t="array" ref="O65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5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58" s="1" t="s">
        <v>312</v>
      </c>
    </row>
    <row r="659" spans="1:19" s="1" customFormat="1" hidden="1" x14ac:dyDescent="0.2">
      <c r="A659" s="155">
        <v>874</v>
      </c>
      <c r="B659" s="1" t="s">
        <v>356</v>
      </c>
      <c r="C659" s="1" t="s">
        <v>443</v>
      </c>
      <c r="D659" s="1" t="s">
        <v>444</v>
      </c>
      <c r="E659" s="189" t="s">
        <v>306</v>
      </c>
      <c r="F659" s="195" t="s">
        <v>2072</v>
      </c>
      <c r="G659" s="1" t="str">
        <f>_xlfn.XLOOKUP(ITEquipmentTable[[#This Row],[Name]], IntuneData[Device name], IntuneData[Serial number], "")</f>
        <v/>
      </c>
      <c r="H659" s="1" t="s">
        <v>302</v>
      </c>
      <c r="K659" s="154" t="s">
        <v>226</v>
      </c>
      <c r="L659" s="1" t="str">
        <f>_xlfn.LET(
_xlpm.look, _xlfn.XLOOKUP(ITEquipmentTable[[#This Row],[Name]], VNCTable[ClientName], VNCTable[IP], ""),
_xlpm.chkk, IF(ITEquipmentTable[[#This Row],[IPv4 Address]] = "N/A", "N/A", _xlpm.look),
IF(ITEquipmentTable[[#This Row],[Name]] = "", "", _xlpm.chkk))</f>
        <v>N/A</v>
      </c>
      <c r="M659" s="1" t="s">
        <v>226</v>
      </c>
      <c r="N659" s="161" t="str">
        <f>_xlfn.LET(_xlpm.emp, IF(_xlfn.XLOOKUP(ITEquipmentTable[[#This Row],[Assigned Employee]], EmployeeTable[name], EmployeeTable[Active], TRUE), "Employee", "Recover"),
IF(ITEquipmentTable[[#This Row],[Storage Location]] = "Assigned to Employee", _xlpm.emp, "N/A"))</f>
        <v>N/A</v>
      </c>
      <c r="O659" s="161" t="str" cm="1">
        <f t="array" ref="O65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5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59" s="1" t="s">
        <v>312</v>
      </c>
    </row>
    <row r="660" spans="1:19" s="1" customFormat="1" hidden="1" x14ac:dyDescent="0.2">
      <c r="A660" s="155">
        <v>875</v>
      </c>
      <c r="B660" s="1" t="s">
        <v>356</v>
      </c>
      <c r="C660" s="1" t="s">
        <v>443</v>
      </c>
      <c r="D660" s="1" t="s">
        <v>444</v>
      </c>
      <c r="E660" s="189" t="s">
        <v>306</v>
      </c>
      <c r="F660" s="195" t="s">
        <v>2073</v>
      </c>
      <c r="G660" s="1" t="str">
        <f>_xlfn.XLOOKUP(ITEquipmentTable[[#This Row],[Name]], IntuneData[Device name], IntuneData[Serial number], "")</f>
        <v/>
      </c>
      <c r="H660" s="1" t="s">
        <v>302</v>
      </c>
      <c r="K660" s="154" t="s">
        <v>226</v>
      </c>
      <c r="L660" s="1" t="str">
        <f>_xlfn.LET(
_xlpm.look, _xlfn.XLOOKUP(ITEquipmentTable[[#This Row],[Name]], VNCTable[ClientName], VNCTable[IP], ""),
_xlpm.chkk, IF(ITEquipmentTable[[#This Row],[IPv4 Address]] = "N/A", "N/A", _xlpm.look),
IF(ITEquipmentTable[[#This Row],[Name]] = "", "", _xlpm.chkk))</f>
        <v>N/A</v>
      </c>
      <c r="M660" s="1" t="s">
        <v>226</v>
      </c>
      <c r="N660" s="161" t="str">
        <f>_xlfn.LET(_xlpm.emp, IF(_xlfn.XLOOKUP(ITEquipmentTable[[#This Row],[Assigned Employee]], EmployeeTable[name], EmployeeTable[Active], TRUE), "Employee", "Recover"),
IF(ITEquipmentTable[[#This Row],[Storage Location]] = "Assigned to Employee", _xlpm.emp, "N/A"))</f>
        <v>N/A</v>
      </c>
      <c r="O660" s="161" t="str" cm="1">
        <f t="array" ref="O66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6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60" s="1" t="s">
        <v>312</v>
      </c>
    </row>
    <row r="661" spans="1:19" s="1" customFormat="1" hidden="1" x14ac:dyDescent="0.2">
      <c r="A661" s="155">
        <v>877</v>
      </c>
      <c r="B661" s="1" t="s">
        <v>356</v>
      </c>
      <c r="C661" s="1" t="s">
        <v>443</v>
      </c>
      <c r="D661" s="1" t="s">
        <v>2074</v>
      </c>
      <c r="E661" s="189" t="s">
        <v>306</v>
      </c>
      <c r="F661" s="195" t="s">
        <v>2075</v>
      </c>
      <c r="G661" s="1" t="str">
        <f>_xlfn.XLOOKUP(ITEquipmentTable[[#This Row],[Name]], IntuneData[Device name], IntuneData[Serial number], "")</f>
        <v/>
      </c>
      <c r="H661" s="1" t="s">
        <v>302</v>
      </c>
      <c r="K661" s="154" t="s">
        <v>226</v>
      </c>
      <c r="L661" s="1" t="str">
        <f>_xlfn.LET(
_xlpm.look, _xlfn.XLOOKUP(ITEquipmentTable[[#This Row],[Name]], VNCTable[ClientName], VNCTable[IP], ""),
_xlpm.chkk, IF(ITEquipmentTable[[#This Row],[IPv4 Address]] = "N/A", "N/A", _xlpm.look),
IF(ITEquipmentTable[[#This Row],[Name]] = "", "", _xlpm.chkk))</f>
        <v>N/A</v>
      </c>
      <c r="M661" s="1" t="s">
        <v>226</v>
      </c>
      <c r="N661" s="161" t="str">
        <f>_xlfn.LET(_xlpm.emp, IF(_xlfn.XLOOKUP(ITEquipmentTable[[#This Row],[Assigned Employee]], EmployeeTable[name], EmployeeTable[Active], TRUE), "Employee", "Recover"),
IF(ITEquipmentTable[[#This Row],[Storage Location]] = "Assigned to Employee", _xlpm.emp, "N/A"))</f>
        <v>N/A</v>
      </c>
      <c r="O661" s="161" t="str" cm="1">
        <f t="array" ref="O66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6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61" s="1" t="s">
        <v>312</v>
      </c>
    </row>
    <row r="662" spans="1:19" s="1" customFormat="1" hidden="1" x14ac:dyDescent="0.2">
      <c r="A662" s="155">
        <v>878</v>
      </c>
      <c r="B662" s="1" t="s">
        <v>356</v>
      </c>
      <c r="C662" s="1" t="s">
        <v>443</v>
      </c>
      <c r="D662" s="1" t="s">
        <v>444</v>
      </c>
      <c r="E662" s="189" t="s">
        <v>306</v>
      </c>
      <c r="F662" s="195" t="s">
        <v>2076</v>
      </c>
      <c r="G662" s="1" t="str">
        <f>_xlfn.XLOOKUP(ITEquipmentTable[[#This Row],[Name]], IntuneData[Device name], IntuneData[Serial number], "")</f>
        <v/>
      </c>
      <c r="H662" s="1" t="s">
        <v>302</v>
      </c>
      <c r="K662" s="154" t="s">
        <v>226</v>
      </c>
      <c r="L662" s="1" t="str">
        <f>_xlfn.LET(
_xlpm.look, _xlfn.XLOOKUP(ITEquipmentTable[[#This Row],[Name]], VNCTable[ClientName], VNCTable[IP], ""),
_xlpm.chkk, IF(ITEquipmentTable[[#This Row],[IPv4 Address]] = "N/A", "N/A", _xlpm.look),
IF(ITEquipmentTable[[#This Row],[Name]] = "", "", _xlpm.chkk))</f>
        <v>N/A</v>
      </c>
      <c r="M662" s="1" t="s">
        <v>226</v>
      </c>
      <c r="N662" s="161" t="str">
        <f>_xlfn.LET(_xlpm.emp, IF(_xlfn.XLOOKUP(ITEquipmentTable[[#This Row],[Assigned Employee]], EmployeeTable[name], EmployeeTable[Active], TRUE), "Employee", "Recover"),
IF(ITEquipmentTable[[#This Row],[Storage Location]] = "Assigned to Employee", _xlpm.emp, "N/A"))</f>
        <v>N/A</v>
      </c>
      <c r="O662" s="161" t="str" cm="1">
        <f t="array" ref="O66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6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62" s="1" t="s">
        <v>312</v>
      </c>
    </row>
    <row r="663" spans="1:19" s="1" customFormat="1" hidden="1" x14ac:dyDescent="0.2">
      <c r="A663" s="155">
        <v>879</v>
      </c>
      <c r="B663" s="1" t="s">
        <v>356</v>
      </c>
      <c r="C663" s="1" t="s">
        <v>443</v>
      </c>
      <c r="D663" s="1" t="s">
        <v>2074</v>
      </c>
      <c r="E663" s="1" t="s">
        <v>306</v>
      </c>
      <c r="F663" s="195" t="s">
        <v>2077</v>
      </c>
      <c r="G663" s="1" t="str">
        <f>_xlfn.XLOOKUP(ITEquipmentTable[[#This Row],[Name]], IntuneData[Device name], IntuneData[Serial number], "")</f>
        <v/>
      </c>
      <c r="H663" s="1" t="s">
        <v>302</v>
      </c>
      <c r="K663" s="154" t="s">
        <v>226</v>
      </c>
      <c r="L663" s="1" t="str">
        <f>_xlfn.LET(
_xlpm.look, _xlfn.XLOOKUP(ITEquipmentTable[[#This Row],[Name]], VNCTable[ClientName], VNCTable[IP], ""),
_xlpm.chkk, IF(ITEquipmentTable[[#This Row],[IPv4 Address]] = "N/A", "N/A", _xlpm.look),
IF(ITEquipmentTable[[#This Row],[Name]] = "", "", _xlpm.chkk))</f>
        <v>N/A</v>
      </c>
      <c r="M663" s="1" t="s">
        <v>226</v>
      </c>
      <c r="N663" s="161" t="str">
        <f>_xlfn.LET(_xlpm.emp, IF(_xlfn.XLOOKUP(ITEquipmentTable[[#This Row],[Assigned Employee]], EmployeeTable[name], EmployeeTable[Active], TRUE), "Employee", "Recover"),
IF(ITEquipmentTable[[#This Row],[Storage Location]] = "Assigned to Employee", _xlpm.emp, "N/A"))</f>
        <v>N/A</v>
      </c>
      <c r="O663" s="161" t="str" cm="1">
        <f t="array" ref="O66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6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63" s="1" t="s">
        <v>312</v>
      </c>
    </row>
    <row r="664" spans="1:19" s="1" customFormat="1" hidden="1" x14ac:dyDescent="0.2">
      <c r="A664" s="155">
        <v>935</v>
      </c>
      <c r="B664" s="1" t="s">
        <v>342</v>
      </c>
      <c r="C664" s="1" t="s">
        <v>342</v>
      </c>
      <c r="D664" s="1" t="s">
        <v>1909</v>
      </c>
      <c r="E664" s="1" t="s">
        <v>306</v>
      </c>
      <c r="F664" s="195" t="s">
        <v>2078</v>
      </c>
      <c r="G664" s="1" t="str">
        <f>_xlfn.XLOOKUP(ITEquipmentTable[[#This Row],[Name]], IntuneData[Device name], IntuneData[Serial number], "")</f>
        <v/>
      </c>
      <c r="H664" s="1" t="s">
        <v>321</v>
      </c>
      <c r="K664" s="154" t="s">
        <v>226</v>
      </c>
      <c r="L664" s="1" t="str">
        <f>_xlfn.LET(
_xlpm.look, _xlfn.XLOOKUP(ITEquipmentTable[[#This Row],[Name]], VNCTable[ClientName], VNCTable[IP], ""),
_xlpm.chkk, IF(ITEquipmentTable[[#This Row],[IPv4 Address]] = "N/A", "N/A", _xlpm.look),
IF(ITEquipmentTable[[#This Row],[Name]] = "", "", _xlpm.chkk))</f>
        <v>N/A</v>
      </c>
      <c r="M664" s="1" t="s">
        <v>226</v>
      </c>
      <c r="N664" s="161" t="str">
        <f>_xlfn.LET(_xlpm.emp, IF(_xlfn.XLOOKUP(ITEquipmentTable[[#This Row],[Assigned Employee]], EmployeeTable[name], EmployeeTable[Active], TRUE), "Employee", "Recover"),
IF(ITEquipmentTable[[#This Row],[Storage Location]] = "Assigned to Employee", _xlpm.emp, "N/A"))</f>
        <v>N/A</v>
      </c>
      <c r="O664" s="161" t="str" cm="1">
        <f t="array" ref="O66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6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64" s="1" t="s">
        <v>312</v>
      </c>
      <c r="S664" s="1" t="s">
        <v>2079</v>
      </c>
    </row>
    <row r="665" spans="1:19" s="1" customFormat="1" hidden="1" x14ac:dyDescent="0.2">
      <c r="A665" s="155">
        <v>880</v>
      </c>
      <c r="B665" s="1" t="s">
        <v>356</v>
      </c>
      <c r="C665" s="1" t="s">
        <v>443</v>
      </c>
      <c r="D665" s="1" t="s">
        <v>444</v>
      </c>
      <c r="E665" s="1" t="s">
        <v>306</v>
      </c>
      <c r="F665" s="195" t="s">
        <v>2080</v>
      </c>
      <c r="G665" s="1" t="str">
        <f>_xlfn.XLOOKUP(ITEquipmentTable[[#This Row],[Name]], IntuneData[Device name], IntuneData[Serial number], "")</f>
        <v/>
      </c>
      <c r="H665" s="1" t="s">
        <v>302</v>
      </c>
      <c r="K665" s="154" t="s">
        <v>226</v>
      </c>
      <c r="L665" s="1" t="str">
        <f>_xlfn.LET(
_xlpm.look, _xlfn.XLOOKUP(ITEquipmentTable[[#This Row],[Name]], VNCTable[ClientName], VNCTable[IP], ""),
_xlpm.chkk, IF(ITEquipmentTable[[#This Row],[IPv4 Address]] = "N/A", "N/A", _xlpm.look),
IF(ITEquipmentTable[[#This Row],[Name]] = "", "", _xlpm.chkk))</f>
        <v>N/A</v>
      </c>
      <c r="M665" s="1" t="s">
        <v>226</v>
      </c>
      <c r="N665" s="161" t="str">
        <f>_xlfn.LET(_xlpm.emp, IF(_xlfn.XLOOKUP(ITEquipmentTable[[#This Row],[Assigned Employee]], EmployeeTable[name], EmployeeTable[Active], TRUE), "Employee", "Recover"),
IF(ITEquipmentTable[[#This Row],[Storage Location]] = "Assigned to Employee", _xlpm.emp, "N/A"))</f>
        <v>N/A</v>
      </c>
      <c r="O665" s="161" t="str" cm="1">
        <f t="array" ref="O66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6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65" s="1" t="s">
        <v>312</v>
      </c>
    </row>
    <row r="666" spans="1:19" s="1" customFormat="1" hidden="1" x14ac:dyDescent="0.2">
      <c r="A666" s="155">
        <v>881</v>
      </c>
      <c r="B666" s="1" t="s">
        <v>356</v>
      </c>
      <c r="C666" s="1" t="s">
        <v>443</v>
      </c>
      <c r="D666" s="1" t="s">
        <v>444</v>
      </c>
      <c r="E666" s="1" t="s">
        <v>306</v>
      </c>
      <c r="F666" s="195" t="s">
        <v>2081</v>
      </c>
      <c r="G666" s="1" t="str">
        <f>_xlfn.XLOOKUP(ITEquipmentTable[[#This Row],[Name]], IntuneData[Device name], IntuneData[Serial number], "")</f>
        <v/>
      </c>
      <c r="H666" s="1" t="s">
        <v>302</v>
      </c>
      <c r="K666" s="154" t="s">
        <v>226</v>
      </c>
      <c r="L666" s="1" t="str">
        <f>_xlfn.LET(
_xlpm.look, _xlfn.XLOOKUP(ITEquipmentTable[[#This Row],[Name]], VNCTable[ClientName], VNCTable[IP], ""),
_xlpm.chkk, IF(ITEquipmentTable[[#This Row],[IPv4 Address]] = "N/A", "N/A", _xlpm.look),
IF(ITEquipmentTable[[#This Row],[Name]] = "", "", _xlpm.chkk))</f>
        <v>N/A</v>
      </c>
      <c r="M666" s="1" t="s">
        <v>226</v>
      </c>
      <c r="N666" s="161" t="str">
        <f>_xlfn.LET(_xlpm.emp, IF(_xlfn.XLOOKUP(ITEquipmentTable[[#This Row],[Assigned Employee]], EmployeeTable[name], EmployeeTable[Active], TRUE), "Employee", "Recover"),
IF(ITEquipmentTable[[#This Row],[Storage Location]] = "Assigned to Employee", _xlpm.emp, "N/A"))</f>
        <v>N/A</v>
      </c>
      <c r="O666" s="161" t="str" cm="1">
        <f t="array" ref="O66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6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66" s="1" t="s">
        <v>312</v>
      </c>
    </row>
    <row r="667" spans="1:19" s="1" customFormat="1" hidden="1" x14ac:dyDescent="0.2">
      <c r="A667" s="155">
        <v>882</v>
      </c>
      <c r="B667" s="1" t="s">
        <v>356</v>
      </c>
      <c r="C667" s="1" t="s">
        <v>443</v>
      </c>
      <c r="D667" s="1" t="s">
        <v>444</v>
      </c>
      <c r="E667" s="1" t="s">
        <v>306</v>
      </c>
      <c r="F667" s="195" t="s">
        <v>2082</v>
      </c>
      <c r="G667" s="1" t="str">
        <f>_xlfn.XLOOKUP(ITEquipmentTable[[#This Row],[Name]], IntuneData[Device name], IntuneData[Serial number], "")</f>
        <v/>
      </c>
      <c r="H667" s="1" t="s">
        <v>302</v>
      </c>
      <c r="K667" s="154" t="s">
        <v>226</v>
      </c>
      <c r="L667" s="1" t="str">
        <f>_xlfn.LET(
_xlpm.look, _xlfn.XLOOKUP(ITEquipmentTable[[#This Row],[Name]], VNCTable[ClientName], VNCTable[IP], ""),
_xlpm.chkk, IF(ITEquipmentTable[[#This Row],[IPv4 Address]] = "N/A", "N/A", _xlpm.look),
IF(ITEquipmentTable[[#This Row],[Name]] = "", "", _xlpm.chkk))</f>
        <v>N/A</v>
      </c>
      <c r="M667" s="1" t="s">
        <v>226</v>
      </c>
      <c r="N667" s="161" t="str">
        <f>_xlfn.LET(_xlpm.emp, IF(_xlfn.XLOOKUP(ITEquipmentTable[[#This Row],[Assigned Employee]], EmployeeTable[name], EmployeeTable[Active], TRUE), "Employee", "Recover"),
IF(ITEquipmentTable[[#This Row],[Storage Location]] = "Assigned to Employee", _xlpm.emp, "N/A"))</f>
        <v>N/A</v>
      </c>
      <c r="O667" s="161" t="str" cm="1">
        <f t="array" ref="O66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6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67" s="1" t="s">
        <v>312</v>
      </c>
    </row>
    <row r="668" spans="1:19" s="1" customFormat="1" hidden="1" x14ac:dyDescent="0.2">
      <c r="A668" s="155">
        <v>883</v>
      </c>
      <c r="B668" s="1" t="s">
        <v>356</v>
      </c>
      <c r="C668" s="1" t="s">
        <v>443</v>
      </c>
      <c r="D668" s="1" t="s">
        <v>444</v>
      </c>
      <c r="E668" s="1" t="s">
        <v>306</v>
      </c>
      <c r="F668" s="195" t="s">
        <v>2083</v>
      </c>
      <c r="G668" s="1" t="str">
        <f>_xlfn.XLOOKUP(ITEquipmentTable[[#This Row],[Name]], IntuneData[Device name], IntuneData[Serial number], "")</f>
        <v/>
      </c>
      <c r="H668" s="1" t="s">
        <v>302</v>
      </c>
      <c r="K668" s="154" t="s">
        <v>226</v>
      </c>
      <c r="L668" s="1" t="str">
        <f>_xlfn.LET(
_xlpm.look, _xlfn.XLOOKUP(ITEquipmentTable[[#This Row],[Name]], VNCTable[ClientName], VNCTable[IP], ""),
_xlpm.chkk, IF(ITEquipmentTable[[#This Row],[IPv4 Address]] = "N/A", "N/A", _xlpm.look),
IF(ITEquipmentTable[[#This Row],[Name]] = "", "", _xlpm.chkk))</f>
        <v>N/A</v>
      </c>
      <c r="M668" s="1" t="s">
        <v>226</v>
      </c>
      <c r="N668" s="161" t="str">
        <f>_xlfn.LET(_xlpm.emp, IF(_xlfn.XLOOKUP(ITEquipmentTable[[#This Row],[Assigned Employee]], EmployeeTable[name], EmployeeTable[Active], TRUE), "Employee", "Recover"),
IF(ITEquipmentTable[[#This Row],[Storage Location]] = "Assigned to Employee", _xlpm.emp, "N/A"))</f>
        <v>N/A</v>
      </c>
      <c r="O668" s="161" t="str" cm="1">
        <f t="array" ref="O66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6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68" s="1" t="s">
        <v>312</v>
      </c>
    </row>
    <row r="669" spans="1:19" s="1" customFormat="1" hidden="1" x14ac:dyDescent="0.2">
      <c r="A669" s="155">
        <v>884</v>
      </c>
      <c r="B669" s="1" t="s">
        <v>356</v>
      </c>
      <c r="C669" s="1" t="s">
        <v>443</v>
      </c>
      <c r="D669" s="1" t="s">
        <v>444</v>
      </c>
      <c r="E669" s="1" t="s">
        <v>306</v>
      </c>
      <c r="F669" s="195" t="s">
        <v>2084</v>
      </c>
      <c r="G669" s="1" t="str">
        <f>_xlfn.XLOOKUP(ITEquipmentTable[[#This Row],[Name]], IntuneData[Device name], IntuneData[Serial number], "")</f>
        <v/>
      </c>
      <c r="H669" s="1" t="s">
        <v>302</v>
      </c>
      <c r="K669" s="154" t="s">
        <v>226</v>
      </c>
      <c r="L669" s="1" t="str">
        <f>_xlfn.LET(
_xlpm.look, _xlfn.XLOOKUP(ITEquipmentTable[[#This Row],[Name]], VNCTable[ClientName], VNCTable[IP], ""),
_xlpm.chkk, IF(ITEquipmentTable[[#This Row],[IPv4 Address]] = "N/A", "N/A", _xlpm.look),
IF(ITEquipmentTable[[#This Row],[Name]] = "", "", _xlpm.chkk))</f>
        <v>N/A</v>
      </c>
      <c r="M669" s="1" t="s">
        <v>226</v>
      </c>
      <c r="N669" s="161" t="str">
        <f>_xlfn.LET(_xlpm.emp, IF(_xlfn.XLOOKUP(ITEquipmentTable[[#This Row],[Assigned Employee]], EmployeeTable[name], EmployeeTable[Active], TRUE), "Employee", "Recover"),
IF(ITEquipmentTable[[#This Row],[Storage Location]] = "Assigned to Employee", _xlpm.emp, "N/A"))</f>
        <v>N/A</v>
      </c>
      <c r="O669" s="161" t="str" cm="1">
        <f t="array" ref="O66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6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69" s="1" t="s">
        <v>312</v>
      </c>
    </row>
    <row r="670" spans="1:19" s="1" customFormat="1" hidden="1" x14ac:dyDescent="0.2">
      <c r="A670" s="155">
        <v>885</v>
      </c>
      <c r="B670" s="1" t="s">
        <v>356</v>
      </c>
      <c r="C670" s="1" t="s">
        <v>403</v>
      </c>
      <c r="D670" s="1" t="s">
        <v>645</v>
      </c>
      <c r="E670" s="1" t="s">
        <v>306</v>
      </c>
      <c r="F670" s="195" t="s">
        <v>2085</v>
      </c>
      <c r="G670" s="1" t="str">
        <f>_xlfn.XLOOKUP(ITEquipmentTable[[#This Row],[Name]], IntuneData[Device name], IntuneData[Serial number], "")</f>
        <v/>
      </c>
      <c r="H670" s="1" t="s">
        <v>302</v>
      </c>
      <c r="K670" s="154" t="s">
        <v>226</v>
      </c>
      <c r="L670" s="1" t="str">
        <f>_xlfn.LET(
_xlpm.look, _xlfn.XLOOKUP(ITEquipmentTable[[#This Row],[Name]], VNCTable[ClientName], VNCTable[IP], ""),
_xlpm.chkk, IF(ITEquipmentTable[[#This Row],[IPv4 Address]] = "N/A", "N/A", _xlpm.look),
IF(ITEquipmentTable[[#This Row],[Name]] = "", "", _xlpm.chkk))</f>
        <v>N/A</v>
      </c>
      <c r="M670" s="1" t="s">
        <v>226</v>
      </c>
      <c r="N670" s="161" t="str">
        <f>_xlfn.LET(_xlpm.emp, IF(_xlfn.XLOOKUP(ITEquipmentTable[[#This Row],[Assigned Employee]], EmployeeTable[name], EmployeeTable[Active], TRUE), "Employee", "Recover"),
IF(ITEquipmentTable[[#This Row],[Storage Location]] = "Assigned to Employee", _xlpm.emp, "N/A"))</f>
        <v>N/A</v>
      </c>
      <c r="O670" s="161" t="str" cm="1">
        <f t="array" ref="O67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7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70" s="1" t="s">
        <v>312</v>
      </c>
    </row>
    <row r="671" spans="1:19" s="1" customFormat="1" hidden="1" x14ac:dyDescent="0.2">
      <c r="A671" s="155">
        <v>886</v>
      </c>
      <c r="B671" s="1" t="s">
        <v>356</v>
      </c>
      <c r="C671" s="1" t="s">
        <v>403</v>
      </c>
      <c r="D671" s="1" t="s">
        <v>645</v>
      </c>
      <c r="E671" s="1" t="s">
        <v>306</v>
      </c>
      <c r="F671" s="195" t="s">
        <v>2086</v>
      </c>
      <c r="G671" s="1" t="str">
        <f>_xlfn.XLOOKUP(ITEquipmentTable[[#This Row],[Name]], IntuneData[Device name], IntuneData[Serial number], "")</f>
        <v/>
      </c>
      <c r="H671" s="1" t="s">
        <v>302</v>
      </c>
      <c r="K671" s="154" t="s">
        <v>226</v>
      </c>
      <c r="L671" s="1" t="str">
        <f>_xlfn.LET(
_xlpm.look, _xlfn.XLOOKUP(ITEquipmentTable[[#This Row],[Name]], VNCTable[ClientName], VNCTable[IP], ""),
_xlpm.chkk, IF(ITEquipmentTable[[#This Row],[IPv4 Address]] = "N/A", "N/A", _xlpm.look),
IF(ITEquipmentTable[[#This Row],[Name]] = "", "", _xlpm.chkk))</f>
        <v>N/A</v>
      </c>
      <c r="M671" s="1" t="s">
        <v>226</v>
      </c>
      <c r="N671" s="161" t="str">
        <f>_xlfn.LET(_xlpm.emp, IF(_xlfn.XLOOKUP(ITEquipmentTable[[#This Row],[Assigned Employee]], EmployeeTable[name], EmployeeTable[Active], TRUE), "Employee", "Recover"),
IF(ITEquipmentTable[[#This Row],[Storage Location]] = "Assigned to Employee", _xlpm.emp, "N/A"))</f>
        <v>N/A</v>
      </c>
      <c r="O671" s="161" t="str" cm="1">
        <f t="array" ref="O67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7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71" s="1" t="s">
        <v>312</v>
      </c>
    </row>
    <row r="672" spans="1:19" s="1" customFormat="1" hidden="1" x14ac:dyDescent="0.2">
      <c r="A672" s="155">
        <v>887</v>
      </c>
      <c r="B672" s="1" t="s">
        <v>356</v>
      </c>
      <c r="C672" s="1" t="s">
        <v>403</v>
      </c>
      <c r="D672" s="1" t="s">
        <v>645</v>
      </c>
      <c r="E672" s="1" t="s">
        <v>306</v>
      </c>
      <c r="F672" s="195" t="s">
        <v>2087</v>
      </c>
      <c r="G672" s="1" t="str">
        <f>_xlfn.XLOOKUP(ITEquipmentTable[[#This Row],[Name]], IntuneData[Device name], IntuneData[Serial number], "")</f>
        <v/>
      </c>
      <c r="H672" s="1" t="s">
        <v>302</v>
      </c>
      <c r="K672" s="154" t="s">
        <v>226</v>
      </c>
      <c r="L672" s="1" t="str">
        <f>_xlfn.LET(
_xlpm.look, _xlfn.XLOOKUP(ITEquipmentTable[[#This Row],[Name]], VNCTable[ClientName], VNCTable[IP], ""),
_xlpm.chkk, IF(ITEquipmentTable[[#This Row],[IPv4 Address]] = "N/A", "N/A", _xlpm.look),
IF(ITEquipmentTable[[#This Row],[Name]] = "", "", _xlpm.chkk))</f>
        <v>N/A</v>
      </c>
      <c r="M672" s="1" t="s">
        <v>226</v>
      </c>
      <c r="N672" s="161" t="str">
        <f>_xlfn.LET(_xlpm.emp, IF(_xlfn.XLOOKUP(ITEquipmentTable[[#This Row],[Assigned Employee]], EmployeeTable[name], EmployeeTable[Active], TRUE), "Employee", "Recover"),
IF(ITEquipmentTable[[#This Row],[Storage Location]] = "Assigned to Employee", _xlpm.emp, "N/A"))</f>
        <v>N/A</v>
      </c>
      <c r="O672" s="161" t="str" cm="1">
        <f t="array" ref="O67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7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72" s="1" t="s">
        <v>312</v>
      </c>
    </row>
    <row r="673" spans="1:19" s="1" customFormat="1" hidden="1" x14ac:dyDescent="0.2">
      <c r="A673" s="155">
        <v>888</v>
      </c>
      <c r="B673" s="1" t="s">
        <v>356</v>
      </c>
      <c r="C673" s="1" t="s">
        <v>403</v>
      </c>
      <c r="D673" s="1" t="s">
        <v>645</v>
      </c>
      <c r="E673" s="1" t="s">
        <v>306</v>
      </c>
      <c r="F673" s="195" t="s">
        <v>2088</v>
      </c>
      <c r="G673" s="1" t="str">
        <f>_xlfn.XLOOKUP(ITEquipmentTable[[#This Row],[Name]], IntuneData[Device name], IntuneData[Serial number], "")</f>
        <v/>
      </c>
      <c r="H673" s="1" t="s">
        <v>302</v>
      </c>
      <c r="K673" s="154" t="s">
        <v>226</v>
      </c>
      <c r="L673" s="1" t="str">
        <f>_xlfn.LET(
_xlpm.look, _xlfn.XLOOKUP(ITEquipmentTable[[#This Row],[Name]], VNCTable[ClientName], VNCTable[IP], ""),
_xlpm.chkk, IF(ITEquipmentTable[[#This Row],[IPv4 Address]] = "N/A", "N/A", _xlpm.look),
IF(ITEquipmentTable[[#This Row],[Name]] = "", "", _xlpm.chkk))</f>
        <v>N/A</v>
      </c>
      <c r="M673" s="1" t="s">
        <v>226</v>
      </c>
      <c r="N673" s="161" t="str">
        <f>_xlfn.LET(_xlpm.emp, IF(_xlfn.XLOOKUP(ITEquipmentTable[[#This Row],[Assigned Employee]], EmployeeTable[name], EmployeeTable[Active], TRUE), "Employee", "Recover"),
IF(ITEquipmentTable[[#This Row],[Storage Location]] = "Assigned to Employee", _xlpm.emp, "N/A"))</f>
        <v>N/A</v>
      </c>
      <c r="O673" s="161" t="str" cm="1">
        <f t="array" ref="O67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7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73" s="1" t="s">
        <v>312</v>
      </c>
    </row>
    <row r="674" spans="1:19" s="1" customFormat="1" hidden="1" x14ac:dyDescent="0.2">
      <c r="A674" s="155">
        <v>889</v>
      </c>
      <c r="B674" s="1" t="s">
        <v>356</v>
      </c>
      <c r="C674" s="1" t="s">
        <v>403</v>
      </c>
      <c r="D674" s="1" t="s">
        <v>645</v>
      </c>
      <c r="E674" s="1" t="s">
        <v>306</v>
      </c>
      <c r="F674" s="195" t="s">
        <v>2089</v>
      </c>
      <c r="G674" s="1" t="str">
        <f>_xlfn.XLOOKUP(ITEquipmentTable[[#This Row],[Name]], IntuneData[Device name], IntuneData[Serial number], "")</f>
        <v/>
      </c>
      <c r="H674" s="1" t="s">
        <v>302</v>
      </c>
      <c r="K674" s="154" t="s">
        <v>226</v>
      </c>
      <c r="L674" s="1" t="str">
        <f>_xlfn.LET(
_xlpm.look, _xlfn.XLOOKUP(ITEquipmentTable[[#This Row],[Name]], VNCTable[ClientName], VNCTable[IP], ""),
_xlpm.chkk, IF(ITEquipmentTable[[#This Row],[IPv4 Address]] = "N/A", "N/A", _xlpm.look),
IF(ITEquipmentTable[[#This Row],[Name]] = "", "", _xlpm.chkk))</f>
        <v>N/A</v>
      </c>
      <c r="M674" s="1" t="s">
        <v>226</v>
      </c>
      <c r="N674" s="161" t="str">
        <f>_xlfn.LET(_xlpm.emp, IF(_xlfn.XLOOKUP(ITEquipmentTable[[#This Row],[Assigned Employee]], EmployeeTable[name], EmployeeTable[Active], TRUE), "Employee", "Recover"),
IF(ITEquipmentTable[[#This Row],[Storage Location]] = "Assigned to Employee", _xlpm.emp, "N/A"))</f>
        <v>N/A</v>
      </c>
      <c r="O674" s="161" t="str" cm="1">
        <f t="array" ref="O67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7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74" s="1" t="s">
        <v>312</v>
      </c>
    </row>
    <row r="675" spans="1:19" s="1" customFormat="1" hidden="1" x14ac:dyDescent="0.2">
      <c r="A675" s="155">
        <v>890</v>
      </c>
      <c r="B675" s="1" t="s">
        <v>356</v>
      </c>
      <c r="C675" s="1" t="s">
        <v>403</v>
      </c>
      <c r="D675" s="1" t="s">
        <v>645</v>
      </c>
      <c r="E675" s="1" t="s">
        <v>306</v>
      </c>
      <c r="F675" s="195" t="s">
        <v>2090</v>
      </c>
      <c r="G675" s="1" t="str">
        <f>_xlfn.XLOOKUP(ITEquipmentTable[[#This Row],[Name]], IntuneData[Device name], IntuneData[Serial number], "")</f>
        <v/>
      </c>
      <c r="H675" s="1" t="s">
        <v>302</v>
      </c>
      <c r="K675" s="154" t="s">
        <v>226</v>
      </c>
      <c r="L675" s="1" t="str">
        <f>_xlfn.LET(
_xlpm.look, _xlfn.XLOOKUP(ITEquipmentTable[[#This Row],[Name]], VNCTable[ClientName], VNCTable[IP], ""),
_xlpm.chkk, IF(ITEquipmentTable[[#This Row],[IPv4 Address]] = "N/A", "N/A", _xlpm.look),
IF(ITEquipmentTable[[#This Row],[Name]] = "", "", _xlpm.chkk))</f>
        <v>N/A</v>
      </c>
      <c r="M675" s="1" t="s">
        <v>226</v>
      </c>
      <c r="N675" s="161" t="str">
        <f>_xlfn.LET(_xlpm.emp, IF(_xlfn.XLOOKUP(ITEquipmentTable[[#This Row],[Assigned Employee]], EmployeeTable[name], EmployeeTable[Active], TRUE), "Employee", "Recover"),
IF(ITEquipmentTable[[#This Row],[Storage Location]] = "Assigned to Employee", _xlpm.emp, "N/A"))</f>
        <v>N/A</v>
      </c>
      <c r="O675" s="161" t="str" cm="1">
        <f t="array" ref="O67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7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75" s="1" t="s">
        <v>312</v>
      </c>
    </row>
    <row r="676" spans="1:19" s="1" customFormat="1" hidden="1" x14ac:dyDescent="0.2">
      <c r="A676" s="155">
        <v>891</v>
      </c>
      <c r="B676" s="1" t="s">
        <v>356</v>
      </c>
      <c r="C676" s="1" t="s">
        <v>403</v>
      </c>
      <c r="D676" s="1" t="s">
        <v>645</v>
      </c>
      <c r="E676" s="1" t="s">
        <v>306</v>
      </c>
      <c r="F676" s="195" t="s">
        <v>2091</v>
      </c>
      <c r="G676" s="1" t="str">
        <f>_xlfn.XLOOKUP(ITEquipmentTable[[#This Row],[Name]], IntuneData[Device name], IntuneData[Serial number], "")</f>
        <v/>
      </c>
      <c r="H676" s="1" t="s">
        <v>302</v>
      </c>
      <c r="K676" s="154" t="s">
        <v>226</v>
      </c>
      <c r="L676" s="1" t="str">
        <f>_xlfn.LET(
_xlpm.look, _xlfn.XLOOKUP(ITEquipmentTable[[#This Row],[Name]], VNCTable[ClientName], VNCTable[IP], ""),
_xlpm.chkk, IF(ITEquipmentTable[[#This Row],[IPv4 Address]] = "N/A", "N/A", _xlpm.look),
IF(ITEquipmentTable[[#This Row],[Name]] = "", "", _xlpm.chkk))</f>
        <v>N/A</v>
      </c>
      <c r="M676" s="1" t="s">
        <v>226</v>
      </c>
      <c r="N676" s="161" t="str">
        <f>_xlfn.LET(_xlpm.emp, IF(_xlfn.XLOOKUP(ITEquipmentTable[[#This Row],[Assigned Employee]], EmployeeTable[name], EmployeeTable[Active], TRUE), "Employee", "Recover"),
IF(ITEquipmentTable[[#This Row],[Storage Location]] = "Assigned to Employee", _xlpm.emp, "N/A"))</f>
        <v>N/A</v>
      </c>
      <c r="O676" s="161" t="str" cm="1">
        <f t="array" ref="O67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7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76" s="1" t="s">
        <v>312</v>
      </c>
    </row>
    <row r="677" spans="1:19" s="1" customFormat="1" hidden="1" x14ac:dyDescent="0.2">
      <c r="A677" s="155">
        <v>892</v>
      </c>
      <c r="B677" s="1" t="s">
        <v>356</v>
      </c>
      <c r="C677" s="1" t="s">
        <v>403</v>
      </c>
      <c r="D677" s="1" t="s">
        <v>645</v>
      </c>
      <c r="E677" s="1" t="s">
        <v>306</v>
      </c>
      <c r="F677" s="195" t="s">
        <v>2092</v>
      </c>
      <c r="G677" s="1" t="str">
        <f>_xlfn.XLOOKUP(ITEquipmentTable[[#This Row],[Name]], IntuneData[Device name], IntuneData[Serial number], "")</f>
        <v/>
      </c>
      <c r="H677" s="1" t="s">
        <v>302</v>
      </c>
      <c r="K677" s="154" t="s">
        <v>226</v>
      </c>
      <c r="L677" s="1" t="str">
        <f>_xlfn.LET(
_xlpm.look, _xlfn.XLOOKUP(ITEquipmentTable[[#This Row],[Name]], VNCTable[ClientName], VNCTable[IP], ""),
_xlpm.chkk, IF(ITEquipmentTable[[#This Row],[IPv4 Address]] = "N/A", "N/A", _xlpm.look),
IF(ITEquipmentTable[[#This Row],[Name]] = "", "", _xlpm.chkk))</f>
        <v>N/A</v>
      </c>
      <c r="M677" s="1" t="s">
        <v>226</v>
      </c>
      <c r="N677" s="161" t="str">
        <f>_xlfn.LET(_xlpm.emp, IF(_xlfn.XLOOKUP(ITEquipmentTable[[#This Row],[Assigned Employee]], EmployeeTable[name], EmployeeTable[Active], TRUE), "Employee", "Recover"),
IF(ITEquipmentTable[[#This Row],[Storage Location]] = "Assigned to Employee", _xlpm.emp, "N/A"))</f>
        <v>N/A</v>
      </c>
      <c r="O677" s="161" t="str" cm="1">
        <f t="array" ref="O67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7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77" s="1" t="s">
        <v>312</v>
      </c>
    </row>
    <row r="678" spans="1:19" s="1" customFormat="1" hidden="1" x14ac:dyDescent="0.2">
      <c r="A678" s="155">
        <v>893</v>
      </c>
      <c r="B678" s="1" t="s">
        <v>356</v>
      </c>
      <c r="C678" s="1" t="s">
        <v>403</v>
      </c>
      <c r="D678" s="1" t="s">
        <v>2093</v>
      </c>
      <c r="E678" s="1" t="s">
        <v>306</v>
      </c>
      <c r="F678" s="195" t="s">
        <v>2094</v>
      </c>
      <c r="G678" s="1" t="str">
        <f>_xlfn.XLOOKUP(ITEquipmentTable[[#This Row],[Name]], IntuneData[Device name], IntuneData[Serial number], "")</f>
        <v/>
      </c>
      <c r="H678" s="1" t="s">
        <v>302</v>
      </c>
      <c r="K678" s="154" t="s">
        <v>226</v>
      </c>
      <c r="L678" s="1" t="str">
        <f>_xlfn.LET(
_xlpm.look, _xlfn.XLOOKUP(ITEquipmentTable[[#This Row],[Name]], VNCTable[ClientName], VNCTable[IP], ""),
_xlpm.chkk, IF(ITEquipmentTable[[#This Row],[IPv4 Address]] = "N/A", "N/A", _xlpm.look),
IF(ITEquipmentTable[[#This Row],[Name]] = "", "", _xlpm.chkk))</f>
        <v>N/A</v>
      </c>
      <c r="M678" s="1" t="s">
        <v>226</v>
      </c>
      <c r="N678" s="161" t="str">
        <f>_xlfn.LET(_xlpm.emp, IF(_xlfn.XLOOKUP(ITEquipmentTable[[#This Row],[Assigned Employee]], EmployeeTable[name], EmployeeTable[Active], TRUE), "Employee", "Recover"),
IF(ITEquipmentTable[[#This Row],[Storage Location]] = "Assigned to Employee", _xlpm.emp, "N/A"))</f>
        <v>N/A</v>
      </c>
      <c r="O678" s="161" t="str" cm="1">
        <f t="array" ref="O67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7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78" s="1" t="s">
        <v>312</v>
      </c>
    </row>
    <row r="679" spans="1:19" s="1" customFormat="1" hidden="1" x14ac:dyDescent="0.2">
      <c r="A679" s="155">
        <v>897</v>
      </c>
      <c r="B679" s="1" t="s">
        <v>294</v>
      </c>
      <c r="C679" s="1" t="s">
        <v>403</v>
      </c>
      <c r="D679" s="1" t="s">
        <v>2095</v>
      </c>
      <c r="E679" s="1" t="s">
        <v>306</v>
      </c>
      <c r="F679" s="195" t="s">
        <v>2096</v>
      </c>
      <c r="G679" s="1" t="str">
        <f>_xlfn.XLOOKUP(ITEquipmentTable[[#This Row],[Name]], IntuneData[Device name], IntuneData[Serial number], "")</f>
        <v/>
      </c>
      <c r="H679" s="1" t="s">
        <v>348</v>
      </c>
      <c r="K679" s="154" t="s">
        <v>226</v>
      </c>
      <c r="L679" s="1" t="str">
        <f>_xlfn.LET(
_xlpm.look, _xlfn.XLOOKUP(ITEquipmentTable[[#This Row],[Name]], VNCTable[ClientName], VNCTable[IP], ""),
_xlpm.chkk, IF(ITEquipmentTable[[#This Row],[IPv4 Address]] = "N/A", "N/A", _xlpm.look),
IF(ITEquipmentTable[[#This Row],[Name]] = "", "", _xlpm.chkk))</f>
        <v>N/A</v>
      </c>
      <c r="M679" s="1" t="s">
        <v>226</v>
      </c>
      <c r="N679" s="161" t="str">
        <f>_xlfn.LET(_xlpm.emp, IF(_xlfn.XLOOKUP(ITEquipmentTable[[#This Row],[Assigned Employee]], EmployeeTable[name], EmployeeTable[Active], TRUE), "Employee", "Recover"),
IF(ITEquipmentTable[[#This Row],[Storage Location]] = "Assigned to Employee", _xlpm.emp, "N/A"))</f>
        <v>N/A</v>
      </c>
      <c r="O679" s="161" t="str" cm="1">
        <f t="array" ref="O67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7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row>
    <row r="680" spans="1:19" s="1" customFormat="1" hidden="1" x14ac:dyDescent="0.2">
      <c r="A680" s="155">
        <v>900</v>
      </c>
      <c r="B680" s="1" t="s">
        <v>350</v>
      </c>
      <c r="C680" s="1" t="s">
        <v>519</v>
      </c>
      <c r="D680" s="1" t="s">
        <v>520</v>
      </c>
      <c r="E680" s="1" t="s">
        <v>306</v>
      </c>
      <c r="F680" s="195" t="s">
        <v>2097</v>
      </c>
      <c r="G680" s="1" t="str">
        <f>_xlfn.XLOOKUP(ITEquipmentTable[[#This Row],[Name]], IntuneData[Device name], IntuneData[Serial number], "")</f>
        <v/>
      </c>
      <c r="H680" s="1" t="s">
        <v>302</v>
      </c>
      <c r="K680" s="154" t="s">
        <v>226</v>
      </c>
      <c r="L680" s="1" t="str">
        <f>_xlfn.LET(
_xlpm.look, _xlfn.XLOOKUP(ITEquipmentTable[[#This Row],[Name]], VNCTable[ClientName], VNCTable[IP], ""),
_xlpm.chkk, IF(ITEquipmentTable[[#This Row],[IPv4 Address]] = "N/A", "N/A", _xlpm.look),
IF(ITEquipmentTable[[#This Row],[Name]] = "", "", _xlpm.chkk))</f>
        <v>N/A</v>
      </c>
      <c r="M680" s="1" t="s">
        <v>226</v>
      </c>
      <c r="N680" s="161" t="str">
        <f>_xlfn.LET(_xlpm.emp, IF(_xlfn.XLOOKUP(ITEquipmentTable[[#This Row],[Assigned Employee]], EmployeeTable[name], EmployeeTable[Active], TRUE), "Employee", "Recover"),
IF(ITEquipmentTable[[#This Row],[Storage Location]] = "Assigned to Employee", _xlpm.emp, "N/A"))</f>
        <v>N/A</v>
      </c>
      <c r="O680" s="161" t="str" cm="1">
        <f t="array" ref="O68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8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80" s="1" t="s">
        <v>2098</v>
      </c>
      <c r="R680" s="1" t="s">
        <v>312</v>
      </c>
    </row>
    <row r="681" spans="1:19" s="1" customFormat="1" hidden="1" x14ac:dyDescent="0.2">
      <c r="A681" s="155">
        <v>901</v>
      </c>
      <c r="B681" s="1" t="s">
        <v>379</v>
      </c>
      <c r="C681" s="1" t="s">
        <v>450</v>
      </c>
      <c r="D681" s="1" t="s">
        <v>451</v>
      </c>
      <c r="E681" s="1" t="s">
        <v>306</v>
      </c>
      <c r="F681" s="195" t="s">
        <v>2099</v>
      </c>
      <c r="G681" s="1" t="str">
        <f>_xlfn.XLOOKUP(ITEquipmentTable[[#This Row],[Name]], IntuneData[Device name], IntuneData[Serial number], "")</f>
        <v/>
      </c>
      <c r="H681" s="1" t="s">
        <v>384</v>
      </c>
      <c r="J681" s="1" t="s">
        <v>414</v>
      </c>
      <c r="K681" s="154" t="s">
        <v>226</v>
      </c>
      <c r="L681" s="1" t="str">
        <f>_xlfn.LET(
_xlpm.look, _xlfn.XLOOKUP(ITEquipmentTable[[#This Row],[Name]], VNCTable[ClientName], VNCTable[IP], ""),
_xlpm.chkk, IF(ITEquipmentTable[[#This Row],[IPv4 Address]] = "N/A", "N/A", _xlpm.look),
IF(ITEquipmentTable[[#This Row],[Name]] = "", "", _xlpm.chkk))</f>
        <v>N/A</v>
      </c>
      <c r="M681" s="1" t="s">
        <v>226</v>
      </c>
      <c r="N681" s="161" t="str">
        <f>_xlfn.LET(_xlpm.emp, IF(_xlfn.XLOOKUP(ITEquipmentTable[[#This Row],[Assigned Employee]], EmployeeTable[name], EmployeeTable[Active], TRUE), "Employee", "Recover"),
IF(ITEquipmentTable[[#This Row],[Storage Location]] = "Assigned to Employee", _xlpm.emp, "N/A"))</f>
        <v>Employee</v>
      </c>
      <c r="O681" s="161" t="str" cm="1">
        <f t="array" ref="O68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8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81" s="1" t="s">
        <v>312</v>
      </c>
    </row>
    <row r="682" spans="1:19" s="1" customFormat="1" hidden="1" x14ac:dyDescent="0.2">
      <c r="A682" s="155">
        <v>907</v>
      </c>
      <c r="B682" s="1" t="s">
        <v>386</v>
      </c>
      <c r="C682" s="1" t="s">
        <v>514</v>
      </c>
      <c r="D682" s="1" t="s">
        <v>515</v>
      </c>
      <c r="E682" s="1" t="s">
        <v>306</v>
      </c>
      <c r="F682" s="195"/>
      <c r="G682" s="1" t="str">
        <f>_xlfn.XLOOKUP(ITEquipmentTable[[#This Row],[Name]], IntuneData[Device name], IntuneData[Serial number], "")</f>
        <v/>
      </c>
      <c r="H682" s="1" t="s">
        <v>295</v>
      </c>
      <c r="I682" s="1" t="s">
        <v>876</v>
      </c>
      <c r="K682" s="154" t="s">
        <v>226</v>
      </c>
      <c r="L682" s="1" t="str">
        <f>_xlfn.LET(
_xlpm.look, _xlfn.XLOOKUP(ITEquipmentTable[[#This Row],[Name]], VNCTable[ClientName], VNCTable[IP], ""),
_xlpm.chkk, IF(ITEquipmentTable[[#This Row],[IPv4 Address]] = "N/A", "N/A", _xlpm.look),
IF(ITEquipmentTable[[#This Row],[Name]] = "", "", _xlpm.chkk))</f>
        <v>N/A</v>
      </c>
      <c r="M682" s="1" t="s">
        <v>226</v>
      </c>
      <c r="N682" s="159" t="str">
        <f>_xlfn.LET(_xlpm.emp, IF(_xlfn.XLOOKUP(ITEquipmentTable[[#This Row],[Assigned Employee]], EmployeeTable[name], EmployeeTable[Active], TRUE), "Employee", "Recover"),
IF(ITEquipmentTable[[#This Row],[Storage Location]] = "Assigned to Employee", _xlpm.emp, "N/A"))</f>
        <v>N/A</v>
      </c>
      <c r="O682" s="161" t="str" cm="1">
        <f t="array" ref="O68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8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682" s="1" t="s">
        <v>312</v>
      </c>
      <c r="S682" s="1" t="s">
        <v>319</v>
      </c>
    </row>
    <row r="683" spans="1:19" s="1" customFormat="1" hidden="1" x14ac:dyDescent="0.2">
      <c r="A683" s="155">
        <v>915</v>
      </c>
      <c r="B683" s="1" t="s">
        <v>356</v>
      </c>
      <c r="C683" s="1" t="s">
        <v>403</v>
      </c>
      <c r="D683" s="1" t="s">
        <v>645</v>
      </c>
      <c r="E683" s="1" t="s">
        <v>306</v>
      </c>
      <c r="F683" s="195" t="s">
        <v>699</v>
      </c>
      <c r="G683" s="1" t="str">
        <f>_xlfn.XLOOKUP(ITEquipmentTable[[#This Row],[Name]], IntuneData[Device name], IntuneData[Serial number], "")</f>
        <v/>
      </c>
      <c r="H683" s="1" t="s">
        <v>295</v>
      </c>
      <c r="I683" s="1" t="s">
        <v>700</v>
      </c>
      <c r="K683" s="154" t="s">
        <v>226</v>
      </c>
      <c r="L683" s="1" t="str">
        <f>_xlfn.LET(
_xlpm.look, _xlfn.XLOOKUP(ITEquipmentTable[[#This Row],[Name]], VNCTable[ClientName], VNCTable[IP], ""),
_xlpm.chkk, IF(ITEquipmentTable[[#This Row],[IPv4 Address]] = "N/A", "N/A", _xlpm.look),
IF(ITEquipmentTable[[#This Row],[Name]] = "", "", _xlpm.chkk))</f>
        <v>N/A</v>
      </c>
      <c r="M683" s="1" t="s">
        <v>226</v>
      </c>
      <c r="N683" s="161" t="str">
        <f>_xlfn.LET(_xlpm.emp, IF(_xlfn.XLOOKUP(ITEquipmentTable[[#This Row],[Assigned Employee]], EmployeeTable[name], EmployeeTable[Active], TRUE), "Employee", "Recover"),
IF(ITEquipmentTable[[#This Row],[Storage Location]] = "Assigned to Employee", _xlpm.emp, "N/A"))</f>
        <v>N/A</v>
      </c>
      <c r="O683" s="161" t="str" cm="1">
        <f t="array" ref="O68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8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83" s="1" t="s">
        <v>312</v>
      </c>
    </row>
    <row r="684" spans="1:19" s="1" customFormat="1" hidden="1" x14ac:dyDescent="0.2">
      <c r="A684" s="155">
        <v>916</v>
      </c>
      <c r="B684" s="1" t="s">
        <v>356</v>
      </c>
      <c r="C684" s="1" t="s">
        <v>403</v>
      </c>
      <c r="D684" s="1" t="s">
        <v>645</v>
      </c>
      <c r="E684" s="1" t="s">
        <v>306</v>
      </c>
      <c r="F684" s="195" t="s">
        <v>687</v>
      </c>
      <c r="G684" s="1" t="str">
        <f>_xlfn.XLOOKUP(ITEquipmentTable[[#This Row],[Name]], IntuneData[Device name], IntuneData[Serial number], "")</f>
        <v/>
      </c>
      <c r="H684" s="1" t="s">
        <v>295</v>
      </c>
      <c r="I684" s="1" t="s">
        <v>688</v>
      </c>
      <c r="K684" s="154" t="s">
        <v>226</v>
      </c>
      <c r="L684" s="1" t="str">
        <f>_xlfn.LET(
_xlpm.look, _xlfn.XLOOKUP(ITEquipmentTable[[#This Row],[Name]], VNCTable[ClientName], VNCTable[IP], ""),
_xlpm.chkk, IF(ITEquipmentTable[[#This Row],[IPv4 Address]] = "N/A", "N/A", _xlpm.look),
IF(ITEquipmentTable[[#This Row],[Name]] = "", "", _xlpm.chkk))</f>
        <v>N/A</v>
      </c>
      <c r="M684" s="1" t="s">
        <v>226</v>
      </c>
      <c r="N684" s="161" t="str">
        <f>_xlfn.LET(_xlpm.emp, IF(_xlfn.XLOOKUP(ITEquipmentTable[[#This Row],[Assigned Employee]], EmployeeTable[name], EmployeeTable[Active], TRUE), "Employee", "Recover"),
IF(ITEquipmentTable[[#This Row],[Storage Location]] = "Assigned to Employee", _xlpm.emp, "N/A"))</f>
        <v>N/A</v>
      </c>
      <c r="O684" s="161" t="str" cm="1">
        <f t="array" ref="O68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8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84" s="1" t="s">
        <v>312</v>
      </c>
    </row>
    <row r="685" spans="1:19" s="1" customFormat="1" hidden="1" x14ac:dyDescent="0.2">
      <c r="A685" s="155">
        <v>917</v>
      </c>
      <c r="B685" s="1" t="s">
        <v>356</v>
      </c>
      <c r="C685" s="1" t="s">
        <v>403</v>
      </c>
      <c r="D685" s="1" t="s">
        <v>645</v>
      </c>
      <c r="E685" s="1" t="s">
        <v>306</v>
      </c>
      <c r="F685" s="195" t="s">
        <v>684</v>
      </c>
      <c r="G685" s="1" t="str">
        <f>_xlfn.XLOOKUP(ITEquipmentTable[[#This Row],[Name]], IntuneData[Device name], IntuneData[Serial number], "")</f>
        <v/>
      </c>
      <c r="H685" s="1" t="s">
        <v>295</v>
      </c>
      <c r="I685" s="1" t="s">
        <v>685</v>
      </c>
      <c r="K685" s="154" t="s">
        <v>226</v>
      </c>
      <c r="L685" s="1" t="str">
        <f>_xlfn.LET(
_xlpm.look, _xlfn.XLOOKUP(ITEquipmentTable[[#This Row],[Name]], VNCTable[ClientName], VNCTable[IP], ""),
_xlpm.chkk, IF(ITEquipmentTable[[#This Row],[IPv4 Address]] = "N/A", "N/A", _xlpm.look),
IF(ITEquipmentTable[[#This Row],[Name]] = "", "", _xlpm.chkk))</f>
        <v>N/A</v>
      </c>
      <c r="M685" s="1" t="s">
        <v>226</v>
      </c>
      <c r="N685" s="161" t="str">
        <f>_xlfn.LET(_xlpm.emp, IF(_xlfn.XLOOKUP(ITEquipmentTable[[#This Row],[Assigned Employee]], EmployeeTable[name], EmployeeTable[Active], TRUE), "Employee", "Recover"),
IF(ITEquipmentTable[[#This Row],[Storage Location]] = "Assigned to Employee", _xlpm.emp, "N/A"))</f>
        <v>N/A</v>
      </c>
      <c r="O685" s="161" t="str" cm="1">
        <f t="array" ref="O68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8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85" s="1" t="s">
        <v>312</v>
      </c>
    </row>
    <row r="686" spans="1:19" s="1" customFormat="1" hidden="1" x14ac:dyDescent="0.2">
      <c r="A686" s="155">
        <v>919</v>
      </c>
      <c r="B686" s="1" t="s">
        <v>379</v>
      </c>
      <c r="C686" s="1" t="s">
        <v>514</v>
      </c>
      <c r="D686" s="1" t="s">
        <v>693</v>
      </c>
      <c r="E686" s="1" t="s">
        <v>306</v>
      </c>
      <c r="F686" s="195" t="s">
        <v>702</v>
      </c>
      <c r="G686" s="1" t="str">
        <f>_xlfn.XLOOKUP(ITEquipmentTable[[#This Row],[Name]], IntuneData[Device name], IntuneData[Serial number], "")</f>
        <v/>
      </c>
      <c r="H686" s="1" t="s">
        <v>295</v>
      </c>
      <c r="I686" s="1" t="s">
        <v>700</v>
      </c>
      <c r="K686" s="154" t="s">
        <v>226</v>
      </c>
      <c r="L686" s="1" t="str">
        <f>_xlfn.LET(
_xlpm.look, _xlfn.XLOOKUP(ITEquipmentTable[[#This Row],[Name]], VNCTable[ClientName], VNCTable[IP], ""),
_xlpm.chkk, IF(ITEquipmentTable[[#This Row],[IPv4 Address]] = "N/A", "N/A", _xlpm.look),
IF(ITEquipmentTable[[#This Row],[Name]] = "", "", _xlpm.chkk))</f>
        <v>N/A</v>
      </c>
      <c r="M686" s="1" t="s">
        <v>226</v>
      </c>
      <c r="N686" s="161" t="str">
        <f>_xlfn.LET(_xlpm.emp, IF(_xlfn.XLOOKUP(ITEquipmentTable[[#This Row],[Assigned Employee]], EmployeeTable[name], EmployeeTable[Active], TRUE), "Employee", "Recover"),
IF(ITEquipmentTable[[#This Row],[Storage Location]] = "Assigned to Employee", _xlpm.emp, "N/A"))</f>
        <v>N/A</v>
      </c>
      <c r="O686" s="161" t="str" cm="1">
        <f t="array" ref="O68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8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86" s="1" t="s">
        <v>312</v>
      </c>
    </row>
    <row r="687" spans="1:19" s="1" customFormat="1" hidden="1" x14ac:dyDescent="0.2">
      <c r="A687" s="155">
        <v>920</v>
      </c>
      <c r="B687" s="1" t="s">
        <v>340</v>
      </c>
      <c r="C687" s="1" t="s">
        <v>478</v>
      </c>
      <c r="D687" s="1" t="s">
        <v>479</v>
      </c>
      <c r="E687" s="1" t="s">
        <v>306</v>
      </c>
      <c r="F687" s="195" t="s">
        <v>690</v>
      </c>
      <c r="G687" s="1" t="str">
        <f>_xlfn.XLOOKUP(ITEquipmentTable[[#This Row],[Name]], IntuneData[Device name], IntuneData[Serial number], "")</f>
        <v/>
      </c>
      <c r="H687" s="1" t="s">
        <v>295</v>
      </c>
      <c r="I687" s="1" t="s">
        <v>688</v>
      </c>
      <c r="K687" s="154" t="s">
        <v>691</v>
      </c>
      <c r="L687" s="1" t="str">
        <f>_xlfn.LET(
_xlpm.look, _xlfn.XLOOKUP(ITEquipmentTable[[#This Row],[Name]], VNCTable[ClientName], VNCTable[IP], ""),
_xlpm.chkk, IF(ITEquipmentTable[[#This Row],[IPv4 Address]] = "N/A", "N/A", _xlpm.look),
IF(ITEquipmentTable[[#This Row],[Name]] = "", "", _xlpm.chkk))</f>
        <v/>
      </c>
      <c r="M687" s="1" t="s">
        <v>226</v>
      </c>
      <c r="N687" s="161" t="str">
        <f>_xlfn.LET(_xlpm.emp, IF(_xlfn.XLOOKUP(ITEquipmentTable[[#This Row],[Assigned Employee]], EmployeeTable[name], EmployeeTable[Active], TRUE), "Employee", "Recover"),
IF(ITEquipmentTable[[#This Row],[Storage Location]] = "Assigned to Employee", _xlpm.emp, "N/A"))</f>
        <v>N/A</v>
      </c>
      <c r="O687" s="161" t="str" cm="1">
        <f t="array" ref="O68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8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87" s="1" t="s">
        <v>312</v>
      </c>
    </row>
    <row r="688" spans="1:19" s="1" customFormat="1" hidden="1" x14ac:dyDescent="0.2">
      <c r="A688" s="155">
        <v>921</v>
      </c>
      <c r="B688" s="1" t="s">
        <v>379</v>
      </c>
      <c r="C688" s="1" t="s">
        <v>514</v>
      </c>
      <c r="D688" s="1" t="s">
        <v>693</v>
      </c>
      <c r="E688" s="1" t="s">
        <v>306</v>
      </c>
      <c r="F688" s="195" t="s">
        <v>694</v>
      </c>
      <c r="G688" s="1" t="str">
        <f>_xlfn.XLOOKUP(ITEquipmentTable[[#This Row],[Name]], IntuneData[Device name], IntuneData[Serial number], "")</f>
        <v/>
      </c>
      <c r="H688" s="1" t="s">
        <v>295</v>
      </c>
      <c r="I688" s="1" t="s">
        <v>688</v>
      </c>
      <c r="K688" s="154" t="s">
        <v>226</v>
      </c>
      <c r="L688" s="1" t="str">
        <f>_xlfn.LET(
_xlpm.look, _xlfn.XLOOKUP(ITEquipmentTable[[#This Row],[Name]], VNCTable[ClientName], VNCTable[IP], ""),
_xlpm.chkk, IF(ITEquipmentTable[[#This Row],[IPv4 Address]] = "N/A", "N/A", _xlpm.look),
IF(ITEquipmentTable[[#This Row],[Name]] = "", "", _xlpm.chkk))</f>
        <v>N/A</v>
      </c>
      <c r="M688" s="1" t="s">
        <v>226</v>
      </c>
      <c r="N688" s="161" t="str">
        <f>_xlfn.LET(_xlpm.emp, IF(_xlfn.XLOOKUP(ITEquipmentTable[[#This Row],[Assigned Employee]], EmployeeTable[name], EmployeeTable[Active], TRUE), "Employee", "Recover"),
IF(ITEquipmentTable[[#This Row],[Storage Location]] = "Assigned to Employee", _xlpm.emp, "N/A"))</f>
        <v>N/A</v>
      </c>
      <c r="O688" s="161" t="str" cm="1">
        <f t="array" ref="O68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8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88" s="1" t="s">
        <v>312</v>
      </c>
    </row>
    <row r="689" spans="1:19" s="1" customFormat="1" hidden="1" x14ac:dyDescent="0.2">
      <c r="A689" s="155">
        <v>922</v>
      </c>
      <c r="B689" s="1" t="s">
        <v>379</v>
      </c>
      <c r="C689" s="1" t="s">
        <v>514</v>
      </c>
      <c r="D689" s="1" t="s">
        <v>693</v>
      </c>
      <c r="E689" s="1" t="s">
        <v>306</v>
      </c>
      <c r="F689" s="195" t="s">
        <v>696</v>
      </c>
      <c r="G689" s="1" t="str">
        <f>_xlfn.XLOOKUP(ITEquipmentTable[[#This Row],[Name]], IntuneData[Device name], IntuneData[Serial number], "")</f>
        <v/>
      </c>
      <c r="H689" s="1" t="s">
        <v>295</v>
      </c>
      <c r="I689" s="1" t="s">
        <v>688</v>
      </c>
      <c r="K689" s="154" t="s">
        <v>226</v>
      </c>
      <c r="L689" s="1" t="str">
        <f>_xlfn.LET(
_xlpm.look, _xlfn.XLOOKUP(ITEquipmentTable[[#This Row],[Name]], VNCTable[ClientName], VNCTable[IP], ""),
_xlpm.chkk, IF(ITEquipmentTable[[#This Row],[IPv4 Address]] = "N/A", "N/A", _xlpm.look),
IF(ITEquipmentTable[[#This Row],[Name]] = "", "", _xlpm.chkk))</f>
        <v>N/A</v>
      </c>
      <c r="M689" s="1" t="s">
        <v>226</v>
      </c>
      <c r="N689" s="161" t="str">
        <f>_xlfn.LET(_xlpm.emp, IF(_xlfn.XLOOKUP(ITEquipmentTable[[#This Row],[Assigned Employee]], EmployeeTable[name], EmployeeTable[Active], TRUE), "Employee", "Recover"),
IF(ITEquipmentTable[[#This Row],[Storage Location]] = "Assigned to Employee", _xlpm.emp, "N/A"))</f>
        <v>N/A</v>
      </c>
      <c r="O689" s="161" t="str" cm="1">
        <f t="array" ref="O68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8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row>
    <row r="690" spans="1:19" s="1" customFormat="1" hidden="1" x14ac:dyDescent="0.2">
      <c r="A690" s="155">
        <v>931</v>
      </c>
      <c r="B690" s="1" t="s">
        <v>386</v>
      </c>
      <c r="C690" s="1" t="s">
        <v>514</v>
      </c>
      <c r="D690" s="1" t="s">
        <v>515</v>
      </c>
      <c r="E690" s="1" t="s">
        <v>306</v>
      </c>
      <c r="F690" s="195" t="s">
        <v>516</v>
      </c>
      <c r="G690" s="1" t="str">
        <f>_xlfn.XLOOKUP(ITEquipmentTable[[#This Row],[Name]], IntuneData[Device name], IntuneData[Serial number], "")</f>
        <v/>
      </c>
      <c r="H690" s="1" t="s">
        <v>295</v>
      </c>
      <c r="I690" s="1" t="s">
        <v>517</v>
      </c>
      <c r="K690" s="154" t="s">
        <v>226</v>
      </c>
      <c r="L690" s="1" t="str">
        <f>_xlfn.LET(
_xlpm.look, _xlfn.XLOOKUP(ITEquipmentTable[[#This Row],[Name]], VNCTable[ClientName], VNCTable[IP], ""),
_xlpm.chkk, IF(ITEquipmentTable[[#This Row],[IPv4 Address]] = "N/A", "N/A", _xlpm.look),
IF(ITEquipmentTable[[#This Row],[Name]] = "", "", _xlpm.chkk))</f>
        <v>N/A</v>
      </c>
      <c r="M690" s="1" t="s">
        <v>226</v>
      </c>
      <c r="N690" s="161" t="str">
        <f>_xlfn.LET(_xlpm.emp, IF(_xlfn.XLOOKUP(ITEquipmentTable[[#This Row],[Assigned Employee]], EmployeeTable[name], EmployeeTable[Active], TRUE), "Employee", "Recover"),
IF(ITEquipmentTable[[#This Row],[Storage Location]] = "Assigned to Employee", _xlpm.emp, "N/A"))</f>
        <v>N/A</v>
      </c>
      <c r="O690" s="161" t="str" cm="1">
        <f t="array" ref="O69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9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90" s="1" t="s">
        <v>312</v>
      </c>
    </row>
    <row r="691" spans="1:19" s="1" customFormat="1" x14ac:dyDescent="0.2">
      <c r="A691" s="155">
        <v>839</v>
      </c>
      <c r="B691" s="1" t="s">
        <v>304</v>
      </c>
      <c r="C691" s="1" t="s">
        <v>403</v>
      </c>
      <c r="D691" s="1" t="s">
        <v>2112</v>
      </c>
      <c r="E691" s="1" t="s">
        <v>306</v>
      </c>
      <c r="F691" s="195" t="s">
        <v>2117</v>
      </c>
      <c r="G691" s="266" t="str">
        <f>_xlfn.XLOOKUP(ITEquipmentTable[[#This Row],[Name]], IntuneData[Device name], IntuneData[Serial number], "")</f>
        <v/>
      </c>
      <c r="H691" s="1" t="s">
        <v>302</v>
      </c>
      <c r="K691" s="154" t="s">
        <v>226</v>
      </c>
      <c r="L691" s="266" t="str">
        <f>_xlfn.LET(
_xlpm.look, _xlfn.XLOOKUP(ITEquipmentTable[[#This Row],[Name]], VNCTable[ClientName], VNCTable[IP], ""),
_xlpm.chkk, IF(ITEquipmentTable[[#This Row],[IPv4 Address]] = "N/A", "N/A", _xlpm.look),
IF(ITEquipmentTable[[#This Row],[Name]] = "", "", _xlpm.chkk))</f>
        <v>N/A</v>
      </c>
      <c r="M691" s="1" t="s">
        <v>2118</v>
      </c>
      <c r="N691" s="159" t="str">
        <f>_xlfn.LET(_xlpm.emp, IF(_xlfn.XLOOKUP(ITEquipmentTable[[#This Row],[Assigned Employee]], EmployeeTable[name], EmployeeTable[Active], TRUE), "Employee", "Recover"),
IF(ITEquipmentTable[[#This Row],[Storage Location]] = "Assigned to Employee", _xlpm.emp, "N/A"))</f>
        <v>N/A</v>
      </c>
      <c r="O691" s="161" t="str" cm="1">
        <f t="array" ref="O69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69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91" s="189" t="s">
        <v>312</v>
      </c>
    </row>
    <row r="692" spans="1:19" s="1" customFormat="1" x14ac:dyDescent="0.2">
      <c r="A692" s="155">
        <v>840</v>
      </c>
      <c r="B692" s="1" t="s">
        <v>304</v>
      </c>
      <c r="C692" s="1" t="s">
        <v>403</v>
      </c>
      <c r="D692" s="1" t="s">
        <v>2112</v>
      </c>
      <c r="E692" s="1" t="s">
        <v>306</v>
      </c>
      <c r="F692" s="195" t="s">
        <v>2119</v>
      </c>
      <c r="G692" s="266" t="str">
        <f>_xlfn.XLOOKUP(ITEquipmentTable[[#This Row],[Name]], IntuneData[Device name], IntuneData[Serial number], "")</f>
        <v/>
      </c>
      <c r="H692" s="1" t="s">
        <v>302</v>
      </c>
      <c r="K692" s="154" t="s">
        <v>226</v>
      </c>
      <c r="L692" s="266" t="str">
        <f>_xlfn.LET(
_xlpm.look, _xlfn.XLOOKUP(ITEquipmentTable[[#This Row],[Name]], VNCTable[ClientName], VNCTable[IP], ""),
_xlpm.chkk, IF(ITEquipmentTable[[#This Row],[IPv4 Address]] = "N/A", "N/A", _xlpm.look),
IF(ITEquipmentTable[[#This Row],[Name]] = "", "", _xlpm.chkk))</f>
        <v>N/A</v>
      </c>
      <c r="M692" s="1" t="s">
        <v>2120</v>
      </c>
      <c r="N692" s="159" t="str">
        <f>_xlfn.LET(_xlpm.emp, IF(_xlfn.XLOOKUP(ITEquipmentTable[[#This Row],[Assigned Employee]], EmployeeTable[name], EmployeeTable[Active], TRUE), "Employee", "Recover"),
IF(ITEquipmentTable[[#This Row],[Storage Location]] = "Assigned to Employee", _xlpm.emp, "N/A"))</f>
        <v>N/A</v>
      </c>
      <c r="O692" s="161" t="str" cm="1">
        <f t="array" ref="O69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69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92" s="189" t="s">
        <v>312</v>
      </c>
    </row>
    <row r="693" spans="1:19" s="1" customFormat="1" hidden="1" x14ac:dyDescent="0.2">
      <c r="A693" s="155">
        <v>3</v>
      </c>
      <c r="B693" s="1" t="s">
        <v>340</v>
      </c>
      <c r="C693" s="1" t="s">
        <v>478</v>
      </c>
      <c r="D693" s="1" t="s">
        <v>479</v>
      </c>
      <c r="E693" s="1" t="s">
        <v>306</v>
      </c>
      <c r="F693" s="195" t="s">
        <v>634</v>
      </c>
      <c r="G693" s="266" t="str">
        <f>_xlfn.XLOOKUP(ITEquipmentTable[[#This Row],[Name]], IntuneData[Device name], IntuneData[Serial number], "")</f>
        <v/>
      </c>
      <c r="H693" s="1" t="s">
        <v>295</v>
      </c>
      <c r="I693" s="1" t="s">
        <v>635</v>
      </c>
      <c r="K693" s="154" t="s">
        <v>636</v>
      </c>
      <c r="L693" s="266" t="str">
        <f>_xlfn.LET(
_xlpm.look, _xlfn.XLOOKUP(ITEquipmentTable[[#This Row],[Name]], VNCTable[ClientName], VNCTable[IP], ""),
_xlpm.chkk, IF(ITEquipmentTable[[#This Row],[IPv4 Address]] = "N/A", "N/A", _xlpm.look),
IF(ITEquipmentTable[[#This Row],[Name]] = "", "", _xlpm.chkk))</f>
        <v/>
      </c>
      <c r="M693" s="1" t="s">
        <v>637</v>
      </c>
      <c r="N693" s="159" t="str">
        <f>_xlfn.LET(_xlpm.emp, IF(_xlfn.XLOOKUP(ITEquipmentTable[[#This Row],[Assigned Employee]], EmployeeTable[name], EmployeeTable[Active], TRUE), "Employee", "Recover"),
IF(ITEquipmentTable[[#This Row],[Storage Location]] = "Assigned to Employee", _xlpm.emp, "N/A"))</f>
        <v>N/A</v>
      </c>
      <c r="O693" s="159" t="str" cm="1">
        <f t="array" ref="O69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93"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93" s="189" t="s">
        <v>312</v>
      </c>
    </row>
    <row r="694" spans="1:19" s="1" customFormat="1" hidden="1" x14ac:dyDescent="0.2">
      <c r="A694" s="155">
        <v>407</v>
      </c>
      <c r="B694" s="189" t="s">
        <v>340</v>
      </c>
      <c r="C694" s="189" t="s">
        <v>679</v>
      </c>
      <c r="D694" s="189" t="s">
        <v>680</v>
      </c>
      <c r="E694" s="189" t="s">
        <v>325</v>
      </c>
      <c r="F694" s="201" t="s">
        <v>2103</v>
      </c>
      <c r="G694" s="159" t="str">
        <f>_xlfn.XLOOKUP(ITEquipmentTable[[#This Row],[Name]], IntuneData[Device name], IntuneData[Serial number], "")</f>
        <v/>
      </c>
      <c r="H694" s="1" t="s">
        <v>315</v>
      </c>
      <c r="I694" s="189"/>
      <c r="J694" s="189"/>
      <c r="K694" s="219" t="s">
        <v>226</v>
      </c>
      <c r="L694" s="159" t="str">
        <f>_xlfn.LET(
_xlpm.look, _xlfn.XLOOKUP(ITEquipmentTable[[#This Row],[Name]], VNCTable[ClientName], VNCTable[IP], ""),
_xlpm.chkk, IF(ITEquipmentTable[[#This Row],[IPv4 Address]] = "N/A", "N/A", _xlpm.look),
IF(ITEquipmentTable[[#This Row],[Name]] = "", "", _xlpm.chkk))</f>
        <v>N/A</v>
      </c>
      <c r="M694" s="189" t="s">
        <v>2104</v>
      </c>
      <c r="N694" s="159" t="str">
        <f>_xlfn.LET(_xlpm.emp, IF(_xlfn.XLOOKUP(ITEquipmentTable[[#This Row],[Assigned Employee]], EmployeeTable[name], EmployeeTable[Active], TRUE), "Employee", "Recover"),
IF(ITEquipmentTable[[#This Row],[Storage Location]] = "Assigned to Employee", _xlpm.emp, "N/A"))</f>
        <v>N/A</v>
      </c>
      <c r="O694" s="159" t="str" cm="1">
        <f t="array" ref="O69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9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94" s="189"/>
      <c r="R694" s="189" t="s">
        <v>312</v>
      </c>
      <c r="S694" s="189"/>
    </row>
    <row r="695" spans="1:19" s="1" customFormat="1" hidden="1" x14ac:dyDescent="0.2">
      <c r="A695" s="155">
        <v>408</v>
      </c>
      <c r="B695" s="189" t="s">
        <v>340</v>
      </c>
      <c r="C695" s="189" t="s">
        <v>679</v>
      </c>
      <c r="D695" s="189" t="s">
        <v>680</v>
      </c>
      <c r="E695" s="189" t="s">
        <v>325</v>
      </c>
      <c r="F695" s="195" t="s">
        <v>2105</v>
      </c>
      <c r="G695" s="159" t="str">
        <f>_xlfn.XLOOKUP(ITEquipmentTable[[#This Row],[Name]], IntuneData[Device name], IntuneData[Serial number], "")</f>
        <v/>
      </c>
      <c r="H695" s="189" t="s">
        <v>315</v>
      </c>
      <c r="I695" s="189"/>
      <c r="J695" s="189"/>
      <c r="K695" s="219" t="s">
        <v>226</v>
      </c>
      <c r="L695" s="159" t="str">
        <f>_xlfn.LET(
_xlpm.look, _xlfn.XLOOKUP(ITEquipmentTable[[#This Row],[Name]], VNCTable[ClientName], VNCTable[IP], ""),
_xlpm.chkk, IF(ITEquipmentTable[[#This Row],[IPv4 Address]] = "N/A", "N/A", _xlpm.look),
IF(ITEquipmentTable[[#This Row],[Name]] = "", "", _xlpm.chkk))</f>
        <v>N/A</v>
      </c>
      <c r="M695" s="189" t="s">
        <v>2106</v>
      </c>
      <c r="N695" s="159" t="str">
        <f>_xlfn.LET(_xlpm.emp, IF(_xlfn.XLOOKUP(ITEquipmentTable[[#This Row],[Assigned Employee]], EmployeeTable[name], EmployeeTable[Active], TRUE), "Employee", "Recover"),
IF(ITEquipmentTable[[#This Row],[Storage Location]] = "Assigned to Employee", _xlpm.emp, "N/A"))</f>
        <v>N/A</v>
      </c>
      <c r="O695" s="159" t="str" cm="1">
        <f t="array" ref="O69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69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95" s="189"/>
      <c r="R695" s="189" t="s">
        <v>312</v>
      </c>
      <c r="S695" s="189"/>
    </row>
    <row r="696" spans="1:19" s="1" customFormat="1" hidden="1" x14ac:dyDescent="0.2">
      <c r="A696" s="155">
        <v>104</v>
      </c>
      <c r="B696" s="189" t="s">
        <v>304</v>
      </c>
      <c r="C696" s="1" t="s">
        <v>308</v>
      </c>
      <c r="D696" s="1" t="s">
        <v>416</v>
      </c>
      <c r="E696" s="1" t="s">
        <v>310</v>
      </c>
      <c r="F696" s="195" t="s">
        <v>2121</v>
      </c>
      <c r="G696" s="159" t="str">
        <f>_xlfn.XLOOKUP(ITEquipmentTable[[#This Row],[Name]], IntuneData[Device name], IntuneData[Serial number], "")</f>
        <v/>
      </c>
      <c r="H696" s="189" t="s">
        <v>295</v>
      </c>
      <c r="I696" s="189" t="s">
        <v>2122</v>
      </c>
      <c r="J696" s="189"/>
      <c r="K696" s="219" t="s">
        <v>226</v>
      </c>
      <c r="L696" s="266" t="str">
        <f>_xlfn.LET(
_xlpm.look, _xlfn.XLOOKUP(ITEquipmentTable[[#This Row],[Name]], VNCTable[ClientName], VNCTable[IP], ""),
_xlpm.chkk, IF(ITEquipmentTable[[#This Row],[IPv4 Address]] = "N/A", "N/A", _xlpm.look),
IF(ITEquipmentTable[[#This Row],[Name]] = "", "", _xlpm.chkk))</f>
        <v>N/A</v>
      </c>
      <c r="M696" s="189" t="s">
        <v>2123</v>
      </c>
      <c r="N696" s="159" t="str">
        <f>_xlfn.LET(_xlpm.emp, IF(_xlfn.XLOOKUP(ITEquipmentTable[[#This Row],[Assigned Employee]], EmployeeTable[name], EmployeeTable[Active], TRUE), "Employee", "Recover"),
IF(ITEquipmentTable[[#This Row],[Storage Location]] = "Assigned to Employee", _xlpm.emp, "N/A"))</f>
        <v>N/A</v>
      </c>
      <c r="O696" s="159" t="str" cm="1">
        <f t="array" ref="O69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69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96" s="189" t="s">
        <v>441</v>
      </c>
      <c r="R696" s="189" t="s">
        <v>312</v>
      </c>
      <c r="S696" s="189"/>
    </row>
    <row r="697" spans="1:19" s="1" customFormat="1" hidden="1" x14ac:dyDescent="0.2">
      <c r="A697" s="155">
        <v>40</v>
      </c>
      <c r="B697" s="1" t="s">
        <v>294</v>
      </c>
      <c r="C697" s="1" t="s">
        <v>403</v>
      </c>
      <c r="D697" s="1" t="s">
        <v>1170</v>
      </c>
      <c r="E697" s="1" t="s">
        <v>306</v>
      </c>
      <c r="F697" s="195" t="s">
        <v>2108</v>
      </c>
      <c r="G697" s="266" t="str">
        <f>_xlfn.XLOOKUP(ITEquipmentTable[[#This Row],[Name]], IntuneData[Device name], IntuneData[Serial number], "")</f>
        <v/>
      </c>
      <c r="H697" s="168" t="s">
        <v>318</v>
      </c>
      <c r="I697" s="168"/>
      <c r="J697" s="168"/>
      <c r="K697" s="154" t="s">
        <v>508</v>
      </c>
      <c r="L697" s="266" t="str">
        <f>_xlfn.LET(
_xlpm.look, _xlfn.XLOOKUP(ITEquipmentTable[[#This Row],[Name]], VNCTable[ClientName], VNCTable[IP], ""),
_xlpm.chkk, IF(ITEquipmentTable[[#This Row],[IPv4 Address]] = "N/A", "N/A", _xlpm.look),
IF(ITEquipmentTable[[#This Row],[Name]] = "", "", _xlpm.chkk))</f>
        <v/>
      </c>
      <c r="M697" s="168"/>
      <c r="N697" s="161" t="str">
        <f>_xlfn.LET(_xlpm.emp, IF(_xlfn.XLOOKUP(ITEquipmentTable[[#This Row],[Assigned Employee]], EmployeeTable[name], EmployeeTable[Active], TRUE), "Employee", "Recover"),
IF(ITEquipmentTable[[#This Row],[Storage Location]] = "Assigned to Employee", _xlpm.emp, "N/A"))</f>
        <v>N/A</v>
      </c>
      <c r="O697" s="161" t="str" cm="1">
        <f t="array" ref="O69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69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697" s="168" t="s">
        <v>2109</v>
      </c>
      <c r="R697" s="168" t="s">
        <v>351</v>
      </c>
    </row>
    <row r="698" spans="1:19" s="1" customFormat="1" hidden="1" x14ac:dyDescent="0.2">
      <c r="A698" s="155">
        <v>44</v>
      </c>
      <c r="B698" s="189" t="s">
        <v>304</v>
      </c>
      <c r="C698" s="189" t="s">
        <v>308</v>
      </c>
      <c r="D698" s="189" t="s">
        <v>427</v>
      </c>
      <c r="E698" s="189" t="s">
        <v>310</v>
      </c>
      <c r="F698" s="201" t="s">
        <v>428</v>
      </c>
      <c r="G698" s="159" t="str">
        <f>_xlfn.XLOOKUP(ITEquipmentTable[[#This Row],[Name]], IntuneData[Device name], IntuneData[Serial number], "")</f>
        <v/>
      </c>
      <c r="H698" s="189" t="s">
        <v>295</v>
      </c>
      <c r="I698" s="1" t="s">
        <v>429</v>
      </c>
      <c r="K698" s="154" t="s">
        <v>430</v>
      </c>
      <c r="L698" s="266" t="str">
        <f>_xlfn.LET(
_xlpm.look, _xlfn.XLOOKUP(ITEquipmentTable[[#This Row],[Name]], VNCTable[ClientName], VNCTable[IP], ""),
_xlpm.chkk, IF(ITEquipmentTable[[#This Row],[IPv4 Address]] = "N/A", "N/A", _xlpm.look),
IF(ITEquipmentTable[[#This Row],[Name]] = "", "", _xlpm.chkk))</f>
        <v>10.68.134.67</v>
      </c>
      <c r="M698" s="1" t="s">
        <v>431</v>
      </c>
      <c r="N698" s="159" t="str">
        <f>_xlfn.LET(_xlpm.emp, IF(_xlfn.XLOOKUP(ITEquipmentTable[[#This Row],[Assigned Employee]], EmployeeTable[name], EmployeeTable[Active], TRUE), "Employee", "Recover"),
IF(ITEquipmentTable[[#This Row],[Storage Location]] = "Assigned to Employee", _xlpm.emp, "N/A"))</f>
        <v>N/A</v>
      </c>
      <c r="O698" s="159" t="str" cm="1">
        <f t="array" ref="O69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69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98" s="189" t="s">
        <v>312</v>
      </c>
    </row>
    <row r="699" spans="1:19" s="1" customFormat="1" hidden="1" x14ac:dyDescent="0.2">
      <c r="A699" s="155">
        <v>103</v>
      </c>
      <c r="B699" s="1" t="s">
        <v>304</v>
      </c>
      <c r="C699" s="1" t="s">
        <v>308</v>
      </c>
      <c r="D699" s="1" t="s">
        <v>416</v>
      </c>
      <c r="E699" s="1" t="s">
        <v>310</v>
      </c>
      <c r="F699" s="195" t="s">
        <v>417</v>
      </c>
      <c r="G699" s="159" t="str">
        <f>_xlfn.XLOOKUP(ITEquipmentTable[[#This Row],[Name]], IntuneData[Device name], IntuneData[Serial number], "")</f>
        <v/>
      </c>
      <c r="H699" s="1" t="s">
        <v>295</v>
      </c>
      <c r="I699" s="1" t="s">
        <v>418</v>
      </c>
      <c r="K699" s="154" t="s">
        <v>2923</v>
      </c>
      <c r="L699" s="266" t="str">
        <f>_xlfn.LET(
_xlpm.look, _xlfn.XLOOKUP(ITEquipmentTable[[#This Row],[Name]], VNCTable[ClientName], VNCTable[IP], ""),
_xlpm.chkk, IF(ITEquipmentTable[[#This Row],[IPv4 Address]] = "N/A", "N/A", _xlpm.look),
IF(ITEquipmentTable[[#This Row],[Name]] = "", "", _xlpm.chkk))</f>
        <v>172.18.74.37</v>
      </c>
      <c r="M699" s="1" t="s">
        <v>420</v>
      </c>
      <c r="N699" s="159" t="str">
        <f>_xlfn.LET(_xlpm.emp, IF(_xlfn.XLOOKUP(ITEquipmentTable[[#This Row],[Assigned Employee]], EmployeeTable[name], EmployeeTable[Active], TRUE), "Employee", "Recover"),
IF(ITEquipmentTable[[#This Row],[Storage Location]] = "Assigned to Employee", _xlpm.emp, "N/A"))</f>
        <v>N/A</v>
      </c>
      <c r="O699" s="159" t="str" cm="1">
        <f t="array" ref="O69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69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699" s="189" t="s">
        <v>312</v>
      </c>
    </row>
    <row r="700" spans="1:19" s="1" customFormat="1" hidden="1" x14ac:dyDescent="0.2">
      <c r="A700" s="155">
        <v>419</v>
      </c>
      <c r="B700" s="1" t="s">
        <v>304</v>
      </c>
      <c r="C700" s="1" t="s">
        <v>308</v>
      </c>
      <c r="D700" s="1" t="s">
        <v>416</v>
      </c>
      <c r="E700" s="1" t="s">
        <v>310</v>
      </c>
      <c r="F700" s="195" t="s">
        <v>1687</v>
      </c>
      <c r="G700" s="159" t="str">
        <f>_xlfn.XLOOKUP(ITEquipmentTable[[#This Row],[Name]], IntuneData[Device name], IntuneData[Serial number], "")</f>
        <v/>
      </c>
      <c r="H700" s="189"/>
      <c r="I700" s="168"/>
      <c r="J700" s="168"/>
      <c r="K700" s="223"/>
      <c r="L700" s="266" t="str">
        <f>_xlfn.LET(
_xlpm.look, _xlfn.XLOOKUP(ITEquipmentTable[[#This Row],[Name]], VNCTable[ClientName], VNCTable[IP], ""),
_xlpm.chkk, IF(ITEquipmentTable[[#This Row],[IPv4 Address]] = "N/A", "N/A", _xlpm.look),
IF(ITEquipmentTable[[#This Row],[Name]] = "", "", _xlpm.chkk))</f>
        <v/>
      </c>
      <c r="M700" s="168"/>
      <c r="N700" s="161" t="str">
        <f>_xlfn.LET(_xlpm.emp, IF(_xlfn.XLOOKUP(ITEquipmentTable[[#This Row],[Assigned Employee]], EmployeeTable[name], EmployeeTable[Active], TRUE), "Employee", "Recover"),
IF(ITEquipmentTable[[#This Row],[Storage Location]] = "Assigned to Employee", _xlpm.emp, "N/A"))</f>
        <v>N/A</v>
      </c>
      <c r="O700" s="161" t="str" cm="1">
        <f t="array" ref="O70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0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700" s="168"/>
      <c r="R700" s="168"/>
      <c r="S700" s="1" t="s">
        <v>405</v>
      </c>
    </row>
    <row r="701" spans="1:19" s="1" customFormat="1" hidden="1" x14ac:dyDescent="0.2">
      <c r="A701" s="155">
        <v>109</v>
      </c>
      <c r="B701" s="189" t="s">
        <v>304</v>
      </c>
      <c r="C701" s="189" t="s">
        <v>308</v>
      </c>
      <c r="D701" s="1" t="s">
        <v>309</v>
      </c>
      <c r="E701" s="189" t="s">
        <v>310</v>
      </c>
      <c r="F701" s="201" t="s">
        <v>853</v>
      </c>
      <c r="G701" s="159" t="str">
        <f>_xlfn.XLOOKUP(ITEquipmentTable[[#This Row],[Name]], IntuneData[Device name], IntuneData[Serial number], "")</f>
        <v/>
      </c>
      <c r="H701" s="189" t="s">
        <v>318</v>
      </c>
      <c r="I701" s="189"/>
      <c r="J701" s="189"/>
      <c r="K701" s="154" t="s">
        <v>226</v>
      </c>
      <c r="L701" s="266" t="str">
        <f>_xlfn.LET(
_xlpm.look, _xlfn.XLOOKUP(ITEquipmentTable[[#This Row],[Name]], VNCTable[ClientName], VNCTable[IP], ""),
_xlpm.chkk, IF(ITEquipmentTable[[#This Row],[IPv4 Address]] = "N/A", "N/A", _xlpm.look),
IF(ITEquipmentTable[[#This Row],[Name]] = "", "", _xlpm.chkk))</f>
        <v/>
      </c>
      <c r="M701" s="189"/>
      <c r="N701" s="159" t="str">
        <f>_xlfn.LET(_xlpm.emp, IF(_xlfn.XLOOKUP(ITEquipmentTable[[#This Row],[Assigned Employee]], EmployeeTable[name], EmployeeTable[Active], TRUE), "Employee", "Recover"),
IF(ITEquipmentTable[[#This Row],[Storage Location]] = "Assigned to Employee", _xlpm.emp, "N/A"))</f>
        <v>N/A</v>
      </c>
      <c r="O701" s="159" t="str" cm="1">
        <f t="array" ref="O70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0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701" s="189"/>
      <c r="R701" s="189"/>
      <c r="S701" s="189"/>
    </row>
    <row r="702" spans="1:19" s="1" customFormat="1" hidden="1" x14ac:dyDescent="0.2">
      <c r="A702" s="155">
        <v>73</v>
      </c>
      <c r="B702" s="1" t="s">
        <v>304</v>
      </c>
      <c r="C702" s="1" t="s">
        <v>308</v>
      </c>
      <c r="D702" s="1" t="s">
        <v>309</v>
      </c>
      <c r="E702" s="1" t="s">
        <v>310</v>
      </c>
      <c r="F702" s="195" t="s">
        <v>653</v>
      </c>
      <c r="G702" s="159" t="str">
        <f>_xlfn.XLOOKUP(ITEquipmentTable[[#This Row],[Name]], IntuneData[Device name], IntuneData[Serial number], "")</f>
        <v/>
      </c>
      <c r="K702" s="154" t="s">
        <v>226</v>
      </c>
      <c r="L702" s="266" t="str">
        <f>_xlfn.LET(
_xlpm.look, _xlfn.XLOOKUP(ITEquipmentTable[[#This Row],[Name]], VNCTable[ClientName], VNCTable[IP], ""),
_xlpm.chkk, IF(ITEquipmentTable[[#This Row],[IPv4 Address]] = "N/A", "N/A", _xlpm.look),
IF(ITEquipmentTable[[#This Row],[Name]] = "", "", _xlpm.chkk))</f>
        <v>N/A</v>
      </c>
      <c r="M702" s="1" t="s">
        <v>654</v>
      </c>
      <c r="N702" s="159" t="str">
        <f>_xlfn.LET(_xlpm.emp, IF(_xlfn.XLOOKUP(ITEquipmentTable[[#This Row],[Assigned Employee]], EmployeeTable[name], EmployeeTable[Active], TRUE), "Employee", "Recover"),
IF(ITEquipmentTable[[#This Row],[Storage Location]] = "Assigned to Employee", _xlpm.emp, "N/A"))</f>
        <v>N/A</v>
      </c>
      <c r="O702" s="159" t="str" cm="1">
        <f t="array" ref="O70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70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row>
    <row r="703" spans="1:19" s="1" customFormat="1" hidden="1" x14ac:dyDescent="0.2">
      <c r="A703" s="155">
        <v>240</v>
      </c>
      <c r="B703" s="1" t="s">
        <v>304</v>
      </c>
      <c r="C703" s="1" t="s">
        <v>308</v>
      </c>
      <c r="D703" s="1" t="s">
        <v>309</v>
      </c>
      <c r="E703" s="1" t="s">
        <v>310</v>
      </c>
      <c r="F703" s="195" t="s">
        <v>986</v>
      </c>
      <c r="G703" s="159" t="str">
        <f>_xlfn.XLOOKUP(ITEquipmentTable[[#This Row],[Name]], IntuneData[Device name], IntuneData[Serial number], "")</f>
        <v/>
      </c>
      <c r="H703" s="168"/>
      <c r="I703" s="168"/>
      <c r="J703" s="168"/>
      <c r="K703" s="223"/>
      <c r="L703" s="266" t="str">
        <f>_xlfn.LET(
_xlpm.look, _xlfn.XLOOKUP(ITEquipmentTable[[#This Row],[Name]], VNCTable[ClientName], VNCTable[IP], ""),
_xlpm.chkk, IF(ITEquipmentTable[[#This Row],[IPv4 Address]] = "N/A", "N/A", _xlpm.look),
IF(ITEquipmentTable[[#This Row],[Name]] = "", "", _xlpm.chkk))</f>
        <v/>
      </c>
      <c r="M703" s="168"/>
      <c r="N703" s="161" t="str">
        <f>_xlfn.LET(_xlpm.emp, IF(_xlfn.XLOOKUP(ITEquipmentTable[[#This Row],[Assigned Employee]], EmployeeTable[name], EmployeeTable[Active], TRUE), "Employee", "Recover"),
IF(ITEquipmentTable[[#This Row],[Storage Location]] = "Assigned to Employee", _xlpm.emp, "N/A"))</f>
        <v>N/A</v>
      </c>
      <c r="O703" s="161" t="str" cm="1">
        <f t="array" ref="O70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0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703" s="168"/>
      <c r="R703" s="168"/>
      <c r="S703" s="1" t="s">
        <v>405</v>
      </c>
    </row>
    <row r="704" spans="1:19" s="1" customFormat="1" hidden="1" x14ac:dyDescent="0.2">
      <c r="A704" s="155">
        <v>17</v>
      </c>
      <c r="B704" s="189" t="s">
        <v>304</v>
      </c>
      <c r="C704" s="189" t="s">
        <v>308</v>
      </c>
      <c r="D704" s="1" t="s">
        <v>309</v>
      </c>
      <c r="E704" s="189" t="s">
        <v>310</v>
      </c>
      <c r="F704" s="201" t="s">
        <v>311</v>
      </c>
      <c r="G704" s="159" t="str">
        <f>_xlfn.XLOOKUP(ITEquipmentTable[[#This Row],[Name]], IntuneData[Device name], IntuneData[Serial number], "")</f>
        <v/>
      </c>
      <c r="H704" s="189" t="s">
        <v>318</v>
      </c>
      <c r="I704" s="189"/>
      <c r="J704" s="189"/>
      <c r="K704" s="219" t="s">
        <v>226</v>
      </c>
      <c r="L704" s="266" t="str">
        <f>_xlfn.LET(
_xlpm.look, _xlfn.XLOOKUP(ITEquipmentTable[[#This Row],[Name]], VNCTable[ClientName], VNCTable[IP], ""),
_xlpm.chkk, IF(ITEquipmentTable[[#This Row],[IPv4 Address]] = "N/A", "N/A", _xlpm.look),
IF(ITEquipmentTable[[#This Row],[Name]] = "", "", _xlpm.chkk))</f>
        <v/>
      </c>
      <c r="M704" s="189"/>
      <c r="N704" s="159" t="str">
        <f>_xlfn.LET(_xlpm.emp, IF(_xlfn.XLOOKUP(ITEquipmentTable[[#This Row],[Assigned Employee]], EmployeeTable[name], EmployeeTable[Active], TRUE), "Employee", "Recover"),
IF(ITEquipmentTable[[#This Row],[Storage Location]] = "Assigned to Employee", _xlpm.emp, "N/A"))</f>
        <v>N/A</v>
      </c>
      <c r="O704" s="159" t="str" cm="1">
        <f t="array" ref="O70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04"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704" s="189"/>
      <c r="R704" s="189" t="s">
        <v>312</v>
      </c>
      <c r="S704" s="189"/>
    </row>
    <row r="705" spans="1:19" s="1" customFormat="1" hidden="1" x14ac:dyDescent="0.2">
      <c r="A705" s="155">
        <v>51</v>
      </c>
      <c r="B705" s="1" t="s">
        <v>304</v>
      </c>
      <c r="C705" s="1" t="s">
        <v>308</v>
      </c>
      <c r="D705" s="1" t="s">
        <v>309</v>
      </c>
      <c r="E705" s="1" t="s">
        <v>310</v>
      </c>
      <c r="F705" s="195" t="s">
        <v>462</v>
      </c>
      <c r="G705" s="159" t="str">
        <f>_xlfn.XLOOKUP(ITEquipmentTable[[#This Row],[Name]], IntuneData[Device name], IntuneData[Serial number], "")</f>
        <v/>
      </c>
      <c r="I705" s="189" t="s">
        <v>463</v>
      </c>
      <c r="J705" s="189"/>
      <c r="K705" s="219"/>
      <c r="L705" s="266" t="str">
        <f>_xlfn.LET(
_xlpm.look, _xlfn.XLOOKUP(ITEquipmentTable[[#This Row],[Name]], VNCTable[ClientName], VNCTable[IP], ""),
_xlpm.chkk, IF(ITEquipmentTable[[#This Row],[IPv4 Address]] = "N/A", "N/A", _xlpm.look),
IF(ITEquipmentTable[[#This Row],[Name]] = "", "", _xlpm.chkk))</f>
        <v/>
      </c>
      <c r="N705" s="159" t="str">
        <f>_xlfn.LET(_xlpm.emp, IF(_xlfn.XLOOKUP(ITEquipmentTable[[#This Row],[Assigned Employee]], EmployeeTable[name], EmployeeTable[Active], TRUE), "Employee", "Recover"),
IF(ITEquipmentTable[[#This Row],[Storage Location]] = "Assigned to Employee", _xlpm.emp, "N/A"))</f>
        <v>N/A</v>
      </c>
      <c r="O705" s="159" t="str" cm="1">
        <f t="array" ref="O70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0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05" s="1" t="s">
        <v>312</v>
      </c>
    </row>
    <row r="706" spans="1:19" s="1" customFormat="1" hidden="1" x14ac:dyDescent="0.2">
      <c r="A706" s="155">
        <v>94</v>
      </c>
      <c r="B706" s="1" t="s">
        <v>304</v>
      </c>
      <c r="C706" s="1" t="s">
        <v>308</v>
      </c>
      <c r="D706" s="1" t="s">
        <v>416</v>
      </c>
      <c r="E706" s="1" t="s">
        <v>310</v>
      </c>
      <c r="F706" s="195" t="s">
        <v>794</v>
      </c>
      <c r="G706" s="159" t="str">
        <f>_xlfn.XLOOKUP(ITEquipmentTable[[#This Row],[Name]], IntuneData[Device name], IntuneData[Serial number], "")</f>
        <v/>
      </c>
      <c r="H706" s="1" t="s">
        <v>295</v>
      </c>
      <c r="I706" s="1" t="s">
        <v>409</v>
      </c>
      <c r="K706" s="154" t="s">
        <v>3550</v>
      </c>
      <c r="L706" s="266" t="str">
        <f>_xlfn.LET(
_xlpm.look, _xlfn.XLOOKUP(ITEquipmentTable[[#This Row],[Name]], VNCTable[ClientName], VNCTable[IP], ""),
_xlpm.chkk, IF(ITEquipmentTable[[#This Row],[IPv4 Address]] = "N/A", "N/A", _xlpm.look),
IF(ITEquipmentTable[[#This Row],[Name]] = "", "", _xlpm.chkk))</f>
        <v>10.68.134.83</v>
      </c>
      <c r="M706" s="1" t="s">
        <v>795</v>
      </c>
      <c r="N706" s="159" t="str">
        <f>_xlfn.LET(_xlpm.emp, IF(_xlfn.XLOOKUP(ITEquipmentTable[[#This Row],[Assigned Employee]], EmployeeTable[name], EmployeeTable[Active], TRUE), "Employee", "Recover"),
IF(ITEquipmentTable[[#This Row],[Storage Location]] = "Assigned to Employee", _xlpm.emp, "N/A"))</f>
        <v>N/A</v>
      </c>
      <c r="O706" s="159" t="str" cm="1">
        <f t="array" ref="O70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10 22H2</v>
      </c>
      <c r="P70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706" s="189" t="s">
        <v>312</v>
      </c>
    </row>
    <row r="707" spans="1:19" s="1" customFormat="1" hidden="1" x14ac:dyDescent="0.2">
      <c r="A707" s="155">
        <v>908</v>
      </c>
      <c r="B707" s="189" t="s">
        <v>304</v>
      </c>
      <c r="C707" s="189" t="s">
        <v>308</v>
      </c>
      <c r="D707" s="1" t="s">
        <v>416</v>
      </c>
      <c r="E707" s="189" t="s">
        <v>310</v>
      </c>
      <c r="F707" s="201" t="s">
        <v>1778</v>
      </c>
      <c r="G707" s="159" t="str">
        <f>_xlfn.XLOOKUP(ITEquipmentTable[[#This Row],[Name]], IntuneData[Device name], IntuneData[Serial number], "")</f>
        <v/>
      </c>
      <c r="H707" s="189" t="s">
        <v>318</v>
      </c>
      <c r="I707" s="189"/>
      <c r="J707" s="189"/>
      <c r="K707" s="154" t="s">
        <v>226</v>
      </c>
      <c r="L707" s="266" t="str">
        <f>_xlfn.LET(
_xlpm.look, _xlfn.XLOOKUP(ITEquipmentTable[[#This Row],[Name]], VNCTable[ClientName], VNCTable[IP], ""),
_xlpm.chkk, IF(ITEquipmentTable[[#This Row],[IPv4 Address]] = "N/A", "N/A", _xlpm.look),
IF(ITEquipmentTable[[#This Row],[Name]] = "", "", _xlpm.chkk))</f>
        <v/>
      </c>
      <c r="M707" s="189"/>
      <c r="N707" s="161" t="str">
        <f>_xlfn.LET(_xlpm.emp, IF(_xlfn.XLOOKUP(ITEquipmentTable[[#This Row],[Assigned Employee]], EmployeeTable[name], EmployeeTable[Active], TRUE), "Employee", "Recover"),
IF(ITEquipmentTable[[#This Row],[Storage Location]] = "Assigned to Employee", _xlpm.emp, "N/A"))</f>
        <v>N/A</v>
      </c>
      <c r="O707" s="161" t="str" cm="1">
        <f t="array" ref="O70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0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707" s="189" t="s">
        <v>441</v>
      </c>
      <c r="R707" s="189" t="s">
        <v>312</v>
      </c>
      <c r="S707" s="189"/>
    </row>
    <row r="708" spans="1:19" s="1" customFormat="1" hidden="1" x14ac:dyDescent="0.2">
      <c r="A708" s="155">
        <v>21</v>
      </c>
      <c r="B708" s="189" t="s">
        <v>304</v>
      </c>
      <c r="C708" s="1" t="s">
        <v>308</v>
      </c>
      <c r="E708" s="1" t="s">
        <v>310</v>
      </c>
      <c r="F708" s="195"/>
      <c r="G708" s="159" t="str">
        <f>_xlfn.XLOOKUP(ITEquipmentTable[[#This Row],[Name]], IntuneData[Device name], IntuneData[Serial number], "")</f>
        <v/>
      </c>
      <c r="H708" s="189" t="s">
        <v>318</v>
      </c>
      <c r="I708" s="189"/>
      <c r="J708" s="189"/>
      <c r="K708" s="219" t="s">
        <v>226</v>
      </c>
      <c r="L708" s="266" t="str">
        <f>_xlfn.LET(
_xlpm.look, _xlfn.XLOOKUP(ITEquipmentTable[[#This Row],[Name]], VNCTable[ClientName], VNCTable[IP], ""),
_xlpm.chkk, IF(ITEquipmentTable[[#This Row],[IPv4 Address]] = "N/A", "N/A", _xlpm.look),
IF(ITEquipmentTable[[#This Row],[Name]] = "", "", _xlpm.chkk))</f>
        <v/>
      </c>
      <c r="M708" s="189"/>
      <c r="N708" s="159" t="str">
        <f>_xlfn.LET(_xlpm.emp, IF(_xlfn.XLOOKUP(ITEquipmentTable[[#This Row],[Assigned Employee]], EmployeeTable[name], EmployeeTable[Active], TRUE), "Employee", "Recover"),
IF(ITEquipmentTable[[#This Row],[Storage Location]] = "Assigned to Employee", _xlpm.emp, "N/A"))</f>
        <v>N/A</v>
      </c>
      <c r="O708" s="159" t="str" cm="1">
        <f t="array" ref="O70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0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708" s="193"/>
      <c r="R708" s="189" t="s">
        <v>312</v>
      </c>
      <c r="S708" s="189" t="s">
        <v>313</v>
      </c>
    </row>
    <row r="709" spans="1:19" s="1" customFormat="1" hidden="1" x14ac:dyDescent="0.2">
      <c r="A709" s="155">
        <v>22</v>
      </c>
      <c r="B709" s="189" t="s">
        <v>304</v>
      </c>
      <c r="C709" s="1" t="s">
        <v>308</v>
      </c>
      <c r="E709" s="1" t="s">
        <v>310</v>
      </c>
      <c r="F709" s="195"/>
      <c r="G709" s="159" t="str">
        <f>_xlfn.XLOOKUP(ITEquipmentTable[[#This Row],[Name]], IntuneData[Device name], IntuneData[Serial number], "")</f>
        <v/>
      </c>
      <c r="H709" s="189" t="s">
        <v>318</v>
      </c>
      <c r="I709" s="189"/>
      <c r="J709" s="189"/>
      <c r="K709" s="219" t="s">
        <v>226</v>
      </c>
      <c r="L709" s="266" t="str">
        <f>_xlfn.LET(
_xlpm.look, _xlfn.XLOOKUP(ITEquipmentTable[[#This Row],[Name]], VNCTable[ClientName], VNCTable[IP], ""),
_xlpm.chkk, IF(ITEquipmentTable[[#This Row],[IPv4 Address]] = "N/A", "N/A", _xlpm.look),
IF(ITEquipmentTable[[#This Row],[Name]] = "", "", _xlpm.chkk))</f>
        <v/>
      </c>
      <c r="M709" s="189"/>
      <c r="N709" s="159" t="str">
        <f>_xlfn.LET(_xlpm.emp, IF(_xlfn.XLOOKUP(ITEquipmentTable[[#This Row],[Assigned Employee]], EmployeeTable[name], EmployeeTable[Active], TRUE), "Employee", "Recover"),
IF(ITEquipmentTable[[#This Row],[Storage Location]] = "Assigned to Employee", _xlpm.emp, "N/A"))</f>
        <v>N/A</v>
      </c>
      <c r="O709" s="159" t="str" cm="1">
        <f t="array" ref="O70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0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709" s="193"/>
      <c r="R709" s="189" t="s">
        <v>312</v>
      </c>
      <c r="S709" s="189" t="s">
        <v>313</v>
      </c>
    </row>
    <row r="710" spans="1:19" s="1" customFormat="1" hidden="1" x14ac:dyDescent="0.2">
      <c r="A710" s="217">
        <v>43</v>
      </c>
      <c r="B710" s="189" t="s">
        <v>304</v>
      </c>
      <c r="C710" s="189" t="s">
        <v>308</v>
      </c>
      <c r="E710" s="189" t="s">
        <v>310</v>
      </c>
      <c r="F710" s="195"/>
      <c r="G710" s="159" t="str">
        <f>_xlfn.XLOOKUP(ITEquipmentTable[[#This Row],[Name]], IntuneData[Device name], IntuneData[Serial number], "")</f>
        <v/>
      </c>
      <c r="H710" s="189" t="s">
        <v>295</v>
      </c>
      <c r="I710" s="189" t="s">
        <v>423</v>
      </c>
      <c r="J710" s="189"/>
      <c r="K710" s="219" t="s">
        <v>2776</v>
      </c>
      <c r="L710" s="266" t="str">
        <f>_xlfn.LET(
_xlpm.look, _xlfn.XLOOKUP(ITEquipmentTable[[#This Row],[Name]], VNCTable[ClientName], VNCTable[IP], ""),
_xlpm.chkk, IF(ITEquipmentTable[[#This Row],[IPv4 Address]] = "N/A", "N/A", _xlpm.look),
IF(ITEquipmentTable[[#This Row],[Name]] = "", "", _xlpm.chkk))</f>
        <v>10.68.134.207</v>
      </c>
      <c r="M710" s="189" t="s">
        <v>424</v>
      </c>
      <c r="N710" s="159" t="str">
        <f>_xlfn.LET(_xlpm.emp, IF(_xlfn.XLOOKUP(ITEquipmentTable[[#This Row],[Assigned Employee]], EmployeeTable[name], EmployeeTable[Active], TRUE), "Employee", "Recover"),
IF(ITEquipmentTable[[#This Row],[Storage Location]] = "Assigned to Employee", _xlpm.emp, "N/A"))</f>
        <v>N/A</v>
      </c>
      <c r="O710" s="159" t="str" cm="1">
        <f t="array" ref="O71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71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710" s="189"/>
      <c r="R710" s="189" t="s">
        <v>312</v>
      </c>
      <c r="S710" s="189" t="s">
        <v>313</v>
      </c>
    </row>
    <row r="711" spans="1:19" s="1" customFormat="1" hidden="1" x14ac:dyDescent="0.2">
      <c r="A711" s="155">
        <v>590</v>
      </c>
      <c r="B711" s="1" t="s">
        <v>304</v>
      </c>
      <c r="C711" s="1" t="s">
        <v>308</v>
      </c>
      <c r="E711" s="1" t="s">
        <v>310</v>
      </c>
      <c r="F711" s="195"/>
      <c r="G711" s="159" t="str">
        <f>_xlfn.XLOOKUP(ITEquipmentTable[[#This Row],[Name]], IntuneData[Device name], IntuneData[Serial number], "")</f>
        <v/>
      </c>
      <c r="H711" s="1" t="s">
        <v>295</v>
      </c>
      <c r="I711" s="1" t="s">
        <v>815</v>
      </c>
      <c r="K711" s="154" t="s">
        <v>816</v>
      </c>
      <c r="L711" s="266" t="str">
        <f>_xlfn.LET(
_xlpm.look, _xlfn.XLOOKUP(ITEquipmentTable[[#This Row],[Name]], VNCTable[ClientName], VNCTable[IP], ""),
_xlpm.chkk, IF(ITEquipmentTable[[#This Row],[IPv4 Address]] = "N/A", "N/A", _xlpm.look),
IF(ITEquipmentTable[[#This Row],[Name]] = "", "", _xlpm.chkk))</f>
        <v>10.68.89.79</v>
      </c>
      <c r="M711" s="1" t="s">
        <v>817</v>
      </c>
      <c r="N711" s="159" t="str">
        <f>_xlfn.LET(_xlpm.emp, IF(_xlfn.XLOOKUP(ITEquipmentTable[[#This Row],[Assigned Employee]], EmployeeTable[name], EmployeeTable[Active], TRUE), "Employee", "Recover"),
IF(ITEquipmentTable[[#This Row],[Storage Location]] = "Assigned to Employee", _xlpm.emp, "N/A"))</f>
        <v>N/A</v>
      </c>
      <c r="O711" s="159" t="str" cm="1">
        <f t="array" ref="O71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71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11" s="189" t="s">
        <v>312</v>
      </c>
    </row>
    <row r="712" spans="1:19" s="1" customFormat="1" hidden="1" x14ac:dyDescent="0.2">
      <c r="A712" s="155">
        <v>667</v>
      </c>
      <c r="B712" s="1" t="s">
        <v>304</v>
      </c>
      <c r="C712" s="1" t="s">
        <v>308</v>
      </c>
      <c r="D712" s="1" t="s">
        <v>309</v>
      </c>
      <c r="E712" s="1" t="s">
        <v>310</v>
      </c>
      <c r="F712" s="195"/>
      <c r="G712" s="159" t="str">
        <f>_xlfn.XLOOKUP(ITEquipmentTable[[#This Row],[Name]], IntuneData[Device name], IntuneData[Serial number], "")</f>
        <v/>
      </c>
      <c r="H712" s="1" t="s">
        <v>295</v>
      </c>
      <c r="I712" s="1" t="s">
        <v>1883</v>
      </c>
      <c r="K712" s="154" t="s">
        <v>2906</v>
      </c>
      <c r="L712" s="266" t="str">
        <f>_xlfn.LET(
_xlpm.look, _xlfn.XLOOKUP(ITEquipmentTable[[#This Row],[Name]], VNCTable[ClientName], VNCTable[IP], ""),
_xlpm.chkk, IF(ITEquipmentTable[[#This Row],[IPv4 Address]] = "N/A", "N/A", _xlpm.look),
IF(ITEquipmentTable[[#This Row],[Name]] = "", "", _xlpm.chkk))</f>
        <v/>
      </c>
      <c r="M712" s="1" t="s">
        <v>1884</v>
      </c>
      <c r="N712" s="159" t="str">
        <f>_xlfn.LET(_xlpm.emp, IF(_xlfn.XLOOKUP(ITEquipmentTable[[#This Row],[Assigned Employee]], EmployeeTable[name], EmployeeTable[Active], TRUE), "Employee", "Recover"),
IF(ITEquipmentTable[[#This Row],[Storage Location]] = "Assigned to Employee", _xlpm.emp, "N/A"))</f>
        <v>N/A</v>
      </c>
      <c r="O712" s="161" t="str" cm="1">
        <f t="array" ref="O71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71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12" s="1" t="s">
        <v>312</v>
      </c>
    </row>
    <row r="713" spans="1:19" s="1" customFormat="1" hidden="1" x14ac:dyDescent="0.2">
      <c r="A713" s="155">
        <v>668</v>
      </c>
      <c r="B713" s="1" t="s">
        <v>304</v>
      </c>
      <c r="C713" s="1" t="s">
        <v>308</v>
      </c>
      <c r="D713" s="1" t="s">
        <v>309</v>
      </c>
      <c r="E713" s="1" t="s">
        <v>310</v>
      </c>
      <c r="F713" s="195"/>
      <c r="G713" s="159" t="str">
        <f>_xlfn.XLOOKUP(ITEquipmentTable[[#This Row],[Name]], IntuneData[Device name], IntuneData[Serial number], "")</f>
        <v/>
      </c>
      <c r="H713" s="1" t="s">
        <v>295</v>
      </c>
      <c r="I713" s="1" t="s">
        <v>1885</v>
      </c>
      <c r="K713" s="154" t="s">
        <v>2908</v>
      </c>
      <c r="L713" s="266" t="str">
        <f>_xlfn.LET(
_xlpm.look, _xlfn.XLOOKUP(ITEquipmentTable[[#This Row],[Name]], VNCTable[ClientName], VNCTable[IP], ""),
_xlpm.chkk, IF(ITEquipmentTable[[#This Row],[IPv4 Address]] = "N/A", "N/A", _xlpm.look),
IF(ITEquipmentTable[[#This Row],[Name]] = "", "", _xlpm.chkk))</f>
        <v/>
      </c>
      <c r="M713" s="1" t="s">
        <v>1886</v>
      </c>
      <c r="N713" s="159" t="str">
        <f>_xlfn.LET(_xlpm.emp, IF(_xlfn.XLOOKUP(ITEquipmentTable[[#This Row],[Assigned Employee]], EmployeeTable[name], EmployeeTable[Active], TRUE), "Employee", "Recover"),
IF(ITEquipmentTable[[#This Row],[Storage Location]] = "Assigned to Employee", _xlpm.emp, "N/A"))</f>
        <v>N/A</v>
      </c>
      <c r="O713" s="161" t="str" cm="1">
        <f t="array" ref="O71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71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13" s="1" t="s">
        <v>312</v>
      </c>
    </row>
    <row r="714" spans="1:19" s="1" customFormat="1" hidden="1" x14ac:dyDescent="0.2">
      <c r="A714" s="155">
        <v>669</v>
      </c>
      <c r="B714" s="1" t="s">
        <v>304</v>
      </c>
      <c r="C714" s="1" t="s">
        <v>308</v>
      </c>
      <c r="D714" s="1" t="s">
        <v>309</v>
      </c>
      <c r="E714" s="1" t="s">
        <v>310</v>
      </c>
      <c r="F714" s="195"/>
      <c r="G714" s="159" t="str">
        <f>_xlfn.XLOOKUP(ITEquipmentTable[[#This Row],[Name]], IntuneData[Device name], IntuneData[Serial number], "")</f>
        <v/>
      </c>
      <c r="H714" s="1" t="s">
        <v>295</v>
      </c>
      <c r="I714" s="1" t="s">
        <v>1887</v>
      </c>
      <c r="K714" s="154" t="s">
        <v>2910</v>
      </c>
      <c r="L714" s="266" t="str">
        <f>_xlfn.LET(
_xlpm.look, _xlfn.XLOOKUP(ITEquipmentTable[[#This Row],[Name]], VNCTable[ClientName], VNCTable[IP], ""),
_xlpm.chkk, IF(ITEquipmentTable[[#This Row],[IPv4 Address]] = "N/A", "N/A", _xlpm.look),
IF(ITEquipmentTable[[#This Row],[Name]] = "", "", _xlpm.chkk))</f>
        <v/>
      </c>
      <c r="M714" s="1" t="s">
        <v>1888</v>
      </c>
      <c r="N714" s="159" t="str">
        <f>_xlfn.LET(_xlpm.emp, IF(_xlfn.XLOOKUP(ITEquipmentTable[[#This Row],[Assigned Employee]], EmployeeTable[name], EmployeeTable[Active], TRUE), "Employee", "Recover"),
IF(ITEquipmentTable[[#This Row],[Storage Location]] = "Assigned to Employee", _xlpm.emp, "N/A"))</f>
        <v>N/A</v>
      </c>
      <c r="O714" s="161" t="str" cm="1">
        <f t="array" ref="O71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71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14" s="1" t="s">
        <v>312</v>
      </c>
    </row>
    <row r="715" spans="1:19" s="1" customFormat="1" x14ac:dyDescent="0.2">
      <c r="A715" s="155">
        <v>278</v>
      </c>
      <c r="B715" s="189" t="s">
        <v>304</v>
      </c>
      <c r="C715" s="189" t="s">
        <v>403</v>
      </c>
      <c r="D715" s="189" t="s">
        <v>568</v>
      </c>
      <c r="E715" s="189" t="s">
        <v>306</v>
      </c>
      <c r="F715" s="195" t="s">
        <v>1132</v>
      </c>
      <c r="G715" s="266" t="str">
        <f>_xlfn.XLOOKUP(ITEquipmentTable[[#This Row],[Name]], IntuneData[Device name], IntuneData[Serial number], "")</f>
        <v/>
      </c>
      <c r="H715" s="189" t="s">
        <v>318</v>
      </c>
      <c r="I715" s="189"/>
      <c r="J715" s="189"/>
      <c r="K715" s="219" t="s">
        <v>226</v>
      </c>
      <c r="L715" s="266" t="str">
        <f>_xlfn.LET(
_xlpm.look, _xlfn.XLOOKUP(ITEquipmentTable[[#This Row],[Name]], VNCTable[ClientName], VNCTable[IP], ""),
_xlpm.chkk, IF(ITEquipmentTable[[#This Row],[IPv4 Address]] = "N/A", "N/A", _xlpm.look),
IF(ITEquipmentTable[[#This Row],[Name]] = "", "", _xlpm.chkk))</f>
        <v/>
      </c>
      <c r="M715" s="189"/>
      <c r="N715" s="159" t="str">
        <f>_xlfn.LET(_xlpm.emp, IF(_xlfn.XLOOKUP(ITEquipmentTable[[#This Row],[Assigned Employee]], EmployeeTable[name], EmployeeTable[Active], TRUE), "Employee", "Recover"),
IF(ITEquipmentTable[[#This Row],[Storage Location]] = "Assigned to Employee", _xlpm.emp, "N/A"))</f>
        <v>N/A</v>
      </c>
      <c r="O715" s="159" t="str" cm="1">
        <f t="array" ref="O71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1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715" s="189" t="s">
        <v>454</v>
      </c>
      <c r="R715" s="189" t="s">
        <v>312</v>
      </c>
      <c r="S715" s="189"/>
    </row>
    <row r="716" spans="1:19" s="1" customFormat="1" x14ac:dyDescent="0.2">
      <c r="A716" s="155">
        <v>279</v>
      </c>
      <c r="B716" s="189" t="s">
        <v>304</v>
      </c>
      <c r="C716" s="189" t="s">
        <v>403</v>
      </c>
      <c r="D716" s="189" t="s">
        <v>568</v>
      </c>
      <c r="E716" s="189" t="s">
        <v>306</v>
      </c>
      <c r="F716" s="195" t="s">
        <v>1134</v>
      </c>
      <c r="G716" s="266" t="str">
        <f>_xlfn.XLOOKUP(ITEquipmentTable[[#This Row],[Name]], IntuneData[Device name], IntuneData[Serial number], "")</f>
        <v/>
      </c>
      <c r="H716" s="189" t="s">
        <v>318</v>
      </c>
      <c r="I716" s="189"/>
      <c r="J716" s="189"/>
      <c r="K716" s="219" t="s">
        <v>226</v>
      </c>
      <c r="L716" s="266" t="str">
        <f>_xlfn.LET(
_xlpm.look, _xlfn.XLOOKUP(ITEquipmentTable[[#This Row],[Name]], VNCTable[ClientName], VNCTable[IP], ""),
_xlpm.chkk, IF(ITEquipmentTable[[#This Row],[IPv4 Address]] = "N/A", "N/A", _xlpm.look),
IF(ITEquipmentTable[[#This Row],[Name]] = "", "", _xlpm.chkk))</f>
        <v/>
      </c>
      <c r="M716" s="189"/>
      <c r="N716" s="159" t="str">
        <f>_xlfn.LET(_xlpm.emp, IF(_xlfn.XLOOKUP(ITEquipmentTable[[#This Row],[Assigned Employee]], EmployeeTable[name], EmployeeTable[Active], TRUE), "Employee", "Recover"),
IF(ITEquipmentTable[[#This Row],[Storage Location]] = "Assigned to Employee", _xlpm.emp, "N/A"))</f>
        <v>N/A</v>
      </c>
      <c r="O716" s="159" t="str" cm="1">
        <f t="array" ref="O71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1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716" s="189" t="s">
        <v>441</v>
      </c>
      <c r="R716" s="189" t="s">
        <v>312</v>
      </c>
      <c r="S716" s="189"/>
    </row>
    <row r="717" spans="1:19" s="1" customFormat="1" x14ac:dyDescent="0.2">
      <c r="A717" s="155">
        <v>280</v>
      </c>
      <c r="B717" s="189" t="s">
        <v>304</v>
      </c>
      <c r="C717" s="189" t="s">
        <v>403</v>
      </c>
      <c r="D717" s="189" t="s">
        <v>568</v>
      </c>
      <c r="E717" s="189" t="s">
        <v>306</v>
      </c>
      <c r="F717" s="195"/>
      <c r="G717" s="266" t="str">
        <f>_xlfn.XLOOKUP(ITEquipmentTable[[#This Row],[Name]], IntuneData[Device name], IntuneData[Serial number], "")</f>
        <v/>
      </c>
      <c r="H717" s="189" t="s">
        <v>318</v>
      </c>
      <c r="I717" s="189"/>
      <c r="J717" s="189"/>
      <c r="K717" s="219" t="s">
        <v>226</v>
      </c>
      <c r="L717" s="266" t="str">
        <f>_xlfn.LET(
_xlpm.look, _xlfn.XLOOKUP(ITEquipmentTable[[#This Row],[Name]], VNCTable[ClientName], VNCTable[IP], ""),
_xlpm.chkk, IF(ITEquipmentTable[[#This Row],[IPv4 Address]] = "N/A", "N/A", _xlpm.look),
IF(ITEquipmentTable[[#This Row],[Name]] = "", "", _xlpm.chkk))</f>
        <v/>
      </c>
      <c r="M717" s="189"/>
      <c r="N717" s="159" t="str">
        <f>_xlfn.LET(_xlpm.emp, IF(_xlfn.XLOOKUP(ITEquipmentTable[[#This Row],[Assigned Employee]], EmployeeTable[name], EmployeeTable[Active], TRUE), "Employee", "Recover"),
IF(ITEquipmentTable[[#This Row],[Storage Location]] = "Assigned to Employee", _xlpm.emp, "N/A"))</f>
        <v>N/A</v>
      </c>
      <c r="O717" s="159" t="str" cm="1">
        <f t="array" ref="O71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1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717" s="189"/>
      <c r="R717" s="189" t="s">
        <v>312</v>
      </c>
      <c r="S717" s="189" t="s">
        <v>319</v>
      </c>
    </row>
    <row r="718" spans="1:19" s="1" customFormat="1" x14ac:dyDescent="0.2">
      <c r="A718" s="155">
        <v>283</v>
      </c>
      <c r="B718" s="189" t="s">
        <v>304</v>
      </c>
      <c r="C718" s="189" t="s">
        <v>403</v>
      </c>
      <c r="D718" s="189" t="s">
        <v>568</v>
      </c>
      <c r="E718" s="189" t="s">
        <v>306</v>
      </c>
      <c r="F718" s="220" t="s">
        <v>1143</v>
      </c>
      <c r="G718" s="266" t="str">
        <f>_xlfn.XLOOKUP(ITEquipmentTable[[#This Row],[Name]], IntuneData[Device name], IntuneData[Serial number], "")</f>
        <v/>
      </c>
      <c r="H718" s="189" t="s">
        <v>318</v>
      </c>
      <c r="I718" s="221"/>
      <c r="J718" s="221"/>
      <c r="K718" s="222" t="s">
        <v>226</v>
      </c>
      <c r="L718" s="266" t="str">
        <f>_xlfn.LET(
_xlpm.look, _xlfn.XLOOKUP(ITEquipmentTable[[#This Row],[Name]], VNCTable[ClientName], VNCTable[IP], ""),
_xlpm.chkk, IF(ITEquipmentTable[[#This Row],[IPv4 Address]] = "N/A", "N/A", _xlpm.look),
IF(ITEquipmentTable[[#This Row],[Name]] = "", "", _xlpm.chkk))</f>
        <v/>
      </c>
      <c r="M718" s="189"/>
      <c r="N718" s="159" t="str">
        <f>_xlfn.LET(_xlpm.emp, IF(_xlfn.XLOOKUP(ITEquipmentTable[[#This Row],[Assigned Employee]], EmployeeTable[name], EmployeeTable[Active], TRUE), "Employee", "Recover"),
IF(ITEquipmentTable[[#This Row],[Storage Location]] = "Assigned to Employee", _xlpm.emp, "N/A"))</f>
        <v>N/A</v>
      </c>
      <c r="O718" s="159" t="str" cm="1">
        <f t="array" ref="O71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1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718" s="189" t="s">
        <v>441</v>
      </c>
      <c r="R718" s="189" t="s">
        <v>312</v>
      </c>
      <c r="S718" s="189"/>
    </row>
    <row r="719" spans="1:19" s="1" customFormat="1" x14ac:dyDescent="0.2">
      <c r="A719" s="155">
        <v>284</v>
      </c>
      <c r="B719" s="189" t="s">
        <v>304</v>
      </c>
      <c r="C719" s="189" t="s">
        <v>403</v>
      </c>
      <c r="D719" s="189" t="s">
        <v>568</v>
      </c>
      <c r="E719" s="189" t="s">
        <v>306</v>
      </c>
      <c r="G719" s="266" t="str">
        <f>_xlfn.XLOOKUP(ITEquipmentTable[[#This Row],[Name]], IntuneData[Device name], IntuneData[Serial number], "")</f>
        <v/>
      </c>
      <c r="H719" s="189" t="s">
        <v>318</v>
      </c>
      <c r="I719" s="221"/>
      <c r="J719" s="221"/>
      <c r="K719" s="222" t="s">
        <v>226</v>
      </c>
      <c r="L719" s="266" t="str">
        <f>_xlfn.LET(
_xlpm.look, _xlfn.XLOOKUP(ITEquipmentTable[[#This Row],[Name]], VNCTable[ClientName], VNCTable[IP], ""),
_xlpm.chkk, IF(ITEquipmentTable[[#This Row],[IPv4 Address]] = "N/A", "N/A", _xlpm.look),
IF(ITEquipmentTable[[#This Row],[Name]] = "", "", _xlpm.chkk))</f>
        <v/>
      </c>
      <c r="M719" s="189"/>
      <c r="N719" s="159" t="str">
        <f>_xlfn.LET(_xlpm.emp, IF(_xlfn.XLOOKUP(ITEquipmentTable[[#This Row],[Assigned Employee]], EmployeeTable[name], EmployeeTable[Active], TRUE), "Employee", "Recover"),
IF(ITEquipmentTable[[#This Row],[Storage Location]] = "Assigned to Employee", _xlpm.emp, "N/A"))</f>
        <v>N/A</v>
      </c>
      <c r="O719" s="159" t="str" cm="1">
        <f t="array" ref="O71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1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719" s="189" t="s">
        <v>1145</v>
      </c>
      <c r="R719" s="189" t="s">
        <v>351</v>
      </c>
      <c r="S719" s="189"/>
    </row>
    <row r="720" spans="1:19" s="1" customFormat="1" x14ac:dyDescent="0.2">
      <c r="A720" s="155">
        <v>297</v>
      </c>
      <c r="B720" s="189" t="s">
        <v>304</v>
      </c>
      <c r="C720" s="189" t="s">
        <v>403</v>
      </c>
      <c r="D720" s="189" t="s">
        <v>568</v>
      </c>
      <c r="E720" s="189" t="s">
        <v>306</v>
      </c>
      <c r="F720" s="195" t="s">
        <v>1305</v>
      </c>
      <c r="G720" s="266" t="str">
        <f>_xlfn.XLOOKUP(ITEquipmentTable[[#This Row],[Name]], IntuneData[Device name], IntuneData[Serial number], "")</f>
        <v/>
      </c>
      <c r="H720" s="189" t="s">
        <v>318</v>
      </c>
      <c r="I720" s="189"/>
      <c r="J720" s="189"/>
      <c r="K720" s="219" t="s">
        <v>226</v>
      </c>
      <c r="L720" s="266" t="str">
        <f>_xlfn.LET(
_xlpm.look, _xlfn.XLOOKUP(ITEquipmentTable[[#This Row],[Name]], VNCTable[ClientName], VNCTable[IP], ""),
_xlpm.chkk, IF(ITEquipmentTable[[#This Row],[IPv4 Address]] = "N/A", "N/A", _xlpm.look),
IF(ITEquipmentTable[[#This Row],[Name]] = "", "", _xlpm.chkk))</f>
        <v/>
      </c>
      <c r="M720" s="189"/>
      <c r="N720" s="159" t="str">
        <f>_xlfn.LET(_xlpm.emp, IF(_xlfn.XLOOKUP(ITEquipmentTable[[#This Row],[Assigned Employee]], EmployeeTable[name], EmployeeTable[Active], TRUE), "Employee", "Recover"),
IF(ITEquipmentTable[[#This Row],[Storage Location]] = "Assigned to Employee", _xlpm.emp, "N/A"))</f>
        <v>N/A</v>
      </c>
      <c r="O720" s="159" t="str" cm="1">
        <f t="array" ref="O72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2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720" s="189"/>
      <c r="R720" s="193" t="s">
        <v>312</v>
      </c>
      <c r="S720" s="189"/>
    </row>
    <row r="721" spans="1:19" s="1" customFormat="1" x14ac:dyDescent="0.2">
      <c r="A721" s="155">
        <v>305</v>
      </c>
      <c r="B721" s="189" t="s">
        <v>304</v>
      </c>
      <c r="C721" s="189" t="s">
        <v>403</v>
      </c>
      <c r="D721" s="189" t="s">
        <v>568</v>
      </c>
      <c r="E721" s="189" t="s">
        <v>306</v>
      </c>
      <c r="F721" s="195" t="s">
        <v>1331</v>
      </c>
      <c r="G721" s="266" t="str">
        <f>_xlfn.XLOOKUP(ITEquipmentTable[[#This Row],[Name]], IntuneData[Device name], IntuneData[Serial number], "")</f>
        <v/>
      </c>
      <c r="H721" s="189" t="s">
        <v>318</v>
      </c>
      <c r="I721" s="189"/>
      <c r="J721" s="189"/>
      <c r="K721" s="154" t="s">
        <v>226</v>
      </c>
      <c r="L721" s="266" t="str">
        <f>_xlfn.LET(
_xlpm.look, _xlfn.XLOOKUP(ITEquipmentTable[[#This Row],[Name]], VNCTable[ClientName], VNCTable[IP], ""),
_xlpm.chkk, IF(ITEquipmentTable[[#This Row],[IPv4 Address]] = "N/A", "N/A", _xlpm.look),
IF(ITEquipmentTable[[#This Row],[Name]] = "", "", _xlpm.chkk))</f>
        <v/>
      </c>
      <c r="M721" s="189"/>
      <c r="N721" s="159" t="str">
        <f>_xlfn.LET(_xlpm.emp, IF(_xlfn.XLOOKUP(ITEquipmentTable[[#This Row],[Assigned Employee]], EmployeeTable[name], EmployeeTable[Active], TRUE), "Employee", "Recover"),
IF(ITEquipmentTable[[#This Row],[Storage Location]] = "Assigned to Employee", _xlpm.emp, "N/A"))</f>
        <v>N/A</v>
      </c>
      <c r="O721" s="159" t="str" cm="1">
        <f t="array" ref="O72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2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721" s="193" t="s">
        <v>441</v>
      </c>
      <c r="R721" s="193" t="s">
        <v>312</v>
      </c>
      <c r="S721" s="189"/>
    </row>
    <row r="722" spans="1:19" s="1" customFormat="1" x14ac:dyDescent="0.2">
      <c r="A722" s="155">
        <v>307</v>
      </c>
      <c r="B722" s="189" t="s">
        <v>304</v>
      </c>
      <c r="C722" s="189" t="s">
        <v>403</v>
      </c>
      <c r="D722" s="189" t="s">
        <v>568</v>
      </c>
      <c r="E722" s="189" t="s">
        <v>306</v>
      </c>
      <c r="F722" s="195" t="s">
        <v>1336</v>
      </c>
      <c r="G722" s="266" t="str">
        <f>_xlfn.XLOOKUP(ITEquipmentTable[[#This Row],[Name]], IntuneData[Device name], IntuneData[Serial number], "")</f>
        <v/>
      </c>
      <c r="H722" s="189" t="s">
        <v>318</v>
      </c>
      <c r="I722" s="189"/>
      <c r="J722" s="189"/>
      <c r="K722" s="219" t="s">
        <v>226</v>
      </c>
      <c r="L722" s="266" t="str">
        <f>_xlfn.LET(
_xlpm.look, _xlfn.XLOOKUP(ITEquipmentTable[[#This Row],[Name]], VNCTable[ClientName], VNCTable[IP], ""),
_xlpm.chkk, IF(ITEquipmentTable[[#This Row],[IPv4 Address]] = "N/A", "N/A", _xlpm.look),
IF(ITEquipmentTable[[#This Row],[Name]] = "", "", _xlpm.chkk))</f>
        <v/>
      </c>
      <c r="M722" s="189"/>
      <c r="N722" s="159" t="str">
        <f>_xlfn.LET(_xlpm.emp, IF(_xlfn.XLOOKUP(ITEquipmentTable[[#This Row],[Assigned Employee]], EmployeeTable[name], EmployeeTable[Active], TRUE), "Employee", "Recover"),
IF(ITEquipmentTable[[#This Row],[Storage Location]] = "Assigned to Employee", _xlpm.emp, "N/A"))</f>
        <v>N/A</v>
      </c>
      <c r="O722" s="159" t="str" cm="1">
        <f t="array" ref="O72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2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722" s="193" t="s">
        <v>454</v>
      </c>
      <c r="R722" s="193" t="s">
        <v>312</v>
      </c>
      <c r="S722" s="189"/>
    </row>
    <row r="723" spans="1:19" s="1" customFormat="1" x14ac:dyDescent="0.2">
      <c r="A723" s="155">
        <v>308</v>
      </c>
      <c r="B723" s="189" t="s">
        <v>304</v>
      </c>
      <c r="C723" s="189" t="s">
        <v>403</v>
      </c>
      <c r="D723" s="189" t="s">
        <v>568</v>
      </c>
      <c r="E723" s="189" t="s">
        <v>306</v>
      </c>
      <c r="F723" s="195" t="s">
        <v>1338</v>
      </c>
      <c r="G723" s="266" t="str">
        <f>_xlfn.XLOOKUP(ITEquipmentTable[[#This Row],[Name]], IntuneData[Device name], IntuneData[Serial number], "")</f>
        <v/>
      </c>
      <c r="H723" s="189" t="s">
        <v>318</v>
      </c>
      <c r="I723" s="189"/>
      <c r="J723" s="189"/>
      <c r="K723" s="219" t="s">
        <v>226</v>
      </c>
      <c r="L723" s="266" t="str">
        <f>_xlfn.LET(
_xlpm.look, _xlfn.XLOOKUP(ITEquipmentTable[[#This Row],[Name]], VNCTable[ClientName], VNCTable[IP], ""),
_xlpm.chkk, IF(ITEquipmentTable[[#This Row],[IPv4 Address]] = "N/A", "N/A", _xlpm.look),
IF(ITEquipmentTable[[#This Row],[Name]] = "", "", _xlpm.chkk))</f>
        <v/>
      </c>
      <c r="M723" s="189"/>
      <c r="N723" s="159" t="str">
        <f>_xlfn.LET(_xlpm.emp, IF(_xlfn.XLOOKUP(ITEquipmentTable[[#This Row],[Assigned Employee]], EmployeeTable[name], EmployeeTable[Active], TRUE), "Employee", "Recover"),
IF(ITEquipmentTable[[#This Row],[Storage Location]] = "Assigned to Employee", _xlpm.emp, "N/A"))</f>
        <v>N/A</v>
      </c>
      <c r="O723" s="159" t="str" cm="1">
        <f t="array" ref="O72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2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723" s="193" t="s">
        <v>454</v>
      </c>
      <c r="R723" s="193" t="s">
        <v>312</v>
      </c>
      <c r="S723" s="189"/>
    </row>
    <row r="724" spans="1:19" s="1" customFormat="1" x14ac:dyDescent="0.2">
      <c r="A724" s="155">
        <v>314</v>
      </c>
      <c r="B724" s="189" t="s">
        <v>304</v>
      </c>
      <c r="C724" s="189" t="s">
        <v>403</v>
      </c>
      <c r="D724" s="189" t="s">
        <v>1356</v>
      </c>
      <c r="E724" s="189" t="s">
        <v>306</v>
      </c>
      <c r="F724" s="195" t="s">
        <v>1357</v>
      </c>
      <c r="G724" s="266" t="str">
        <f>_xlfn.XLOOKUP(ITEquipmentTable[[#This Row],[Name]], IntuneData[Device name], IntuneData[Serial number], "")</f>
        <v/>
      </c>
      <c r="H724" s="189" t="s">
        <v>318</v>
      </c>
      <c r="I724" s="189"/>
      <c r="J724" s="189"/>
      <c r="K724" s="219" t="s">
        <v>226</v>
      </c>
      <c r="L724" s="266" t="str">
        <f>_xlfn.LET(
_xlpm.look, _xlfn.XLOOKUP(ITEquipmentTable[[#This Row],[Name]], VNCTable[ClientName], VNCTable[IP], ""),
_xlpm.chkk, IF(ITEquipmentTable[[#This Row],[IPv4 Address]] = "N/A", "N/A", _xlpm.look),
IF(ITEquipmentTable[[#This Row],[Name]] = "", "", _xlpm.chkk))</f>
        <v/>
      </c>
      <c r="M724" s="189"/>
      <c r="N724" s="159" t="str">
        <f>_xlfn.LET(_xlpm.emp, IF(_xlfn.XLOOKUP(ITEquipmentTable[[#This Row],[Assigned Employee]], EmployeeTable[name], EmployeeTable[Active], TRUE), "Employee", "Recover"),
IF(ITEquipmentTable[[#This Row],[Storage Location]] = "Assigned to Employee", _xlpm.emp, "N/A"))</f>
        <v>N/A</v>
      </c>
      <c r="O724" s="159" t="str" cm="1">
        <f t="array" ref="O72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2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724" s="193" t="s">
        <v>454</v>
      </c>
      <c r="R724" s="193" t="s">
        <v>312</v>
      </c>
      <c r="S724" s="189"/>
    </row>
    <row r="725" spans="1:19" s="1" customFormat="1" x14ac:dyDescent="0.2">
      <c r="A725" s="155">
        <v>318</v>
      </c>
      <c r="B725" s="189" t="s">
        <v>304</v>
      </c>
      <c r="C725" s="189" t="s">
        <v>403</v>
      </c>
      <c r="D725" s="189" t="s">
        <v>568</v>
      </c>
      <c r="E725" s="189" t="s">
        <v>306</v>
      </c>
      <c r="F725" s="195" t="s">
        <v>1397</v>
      </c>
      <c r="G725" s="266" t="str">
        <f>_xlfn.XLOOKUP(ITEquipmentTable[[#This Row],[Name]], IntuneData[Device name], IntuneData[Serial number], "")</f>
        <v/>
      </c>
      <c r="H725" s="189" t="s">
        <v>318</v>
      </c>
      <c r="I725" s="189"/>
      <c r="J725" s="189"/>
      <c r="K725" s="219" t="s">
        <v>226</v>
      </c>
      <c r="L725" s="266" t="str">
        <f>_xlfn.LET(
_xlpm.look, _xlfn.XLOOKUP(ITEquipmentTable[[#This Row],[Name]], VNCTable[ClientName], VNCTable[IP], ""),
_xlpm.chkk, IF(ITEquipmentTable[[#This Row],[IPv4 Address]] = "N/A", "N/A", _xlpm.look),
IF(ITEquipmentTable[[#This Row],[Name]] = "", "", _xlpm.chkk))</f>
        <v/>
      </c>
      <c r="M725" s="189"/>
      <c r="N725" s="159" t="str">
        <f>_xlfn.LET(_xlpm.emp, IF(_xlfn.XLOOKUP(ITEquipmentTable[[#This Row],[Assigned Employee]], EmployeeTable[name], EmployeeTable[Active], TRUE), "Employee", "Recover"),
IF(ITEquipmentTable[[#This Row],[Storage Location]] = "Assigned to Employee", _xlpm.emp, "N/A"))</f>
        <v>N/A</v>
      </c>
      <c r="O725" s="159" t="str" cm="1">
        <f t="array" ref="O72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25"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725" s="189"/>
      <c r="R725" s="193" t="s">
        <v>312</v>
      </c>
      <c r="S725" s="189"/>
    </row>
    <row r="726" spans="1:19" s="1" customFormat="1" hidden="1" x14ac:dyDescent="0.2">
      <c r="A726" s="155">
        <v>323</v>
      </c>
      <c r="B726" s="1" t="s">
        <v>340</v>
      </c>
      <c r="C726" s="1" t="s">
        <v>514</v>
      </c>
      <c r="D726" s="1" t="s">
        <v>671</v>
      </c>
      <c r="E726" s="1" t="s">
        <v>306</v>
      </c>
      <c r="F726" s="195" t="s">
        <v>672</v>
      </c>
      <c r="G726" s="266" t="str">
        <f>_xlfn.XLOOKUP(ITEquipmentTable[[#This Row],[Name]], IntuneData[Device name], IntuneData[Serial number], "")</f>
        <v/>
      </c>
      <c r="H726" s="1" t="s">
        <v>295</v>
      </c>
      <c r="I726" s="1" t="s">
        <v>673</v>
      </c>
      <c r="K726" s="154"/>
      <c r="L726" s="266" t="str">
        <f>_xlfn.LET(
_xlpm.look, _xlfn.XLOOKUP(ITEquipmentTable[[#This Row],[Name]], VNCTable[ClientName], VNCTable[IP], ""),
_xlpm.chkk, IF(ITEquipmentTable[[#This Row],[IPv4 Address]] = "N/A", "N/A", _xlpm.look),
IF(ITEquipmentTable[[#This Row],[Name]] = "", "", _xlpm.chkk))</f>
        <v/>
      </c>
      <c r="N726" s="159" t="str">
        <f>_xlfn.LET(_xlpm.emp, IF(_xlfn.XLOOKUP(ITEquipmentTable[[#This Row],[Assigned Employee]], EmployeeTable[name], EmployeeTable[Active], TRUE), "Employee", "Recover"),
IF(ITEquipmentTable[[#This Row],[Storage Location]] = "Assigned to Employee", _xlpm.emp, "N/A"))</f>
        <v>N/A</v>
      </c>
      <c r="O726" s="159" t="str" cm="1">
        <f t="array" ref="O72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26"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726" s="189" t="s">
        <v>312</v>
      </c>
    </row>
    <row r="727" spans="1:19" s="1" customFormat="1" hidden="1" x14ac:dyDescent="0.2">
      <c r="A727" s="155">
        <v>324</v>
      </c>
      <c r="B727" s="189" t="s">
        <v>340</v>
      </c>
      <c r="C727" s="189" t="s">
        <v>478</v>
      </c>
      <c r="D727" s="189" t="s">
        <v>479</v>
      </c>
      <c r="E727" s="189" t="s">
        <v>306</v>
      </c>
      <c r="F727" s="201" t="s">
        <v>711</v>
      </c>
      <c r="G727" s="266" t="str">
        <f>_xlfn.XLOOKUP(ITEquipmentTable[[#This Row],[Name]], IntuneData[Device name], IntuneData[Serial number], "")</f>
        <v/>
      </c>
      <c r="H727" s="1" t="s">
        <v>295</v>
      </c>
      <c r="I727" s="189" t="s">
        <v>712</v>
      </c>
      <c r="J727" s="189"/>
      <c r="K727" s="219"/>
      <c r="L727" s="266" t="str">
        <f>_xlfn.LET(
_xlpm.look, _xlfn.XLOOKUP(ITEquipmentTable[[#This Row],[Name]], VNCTable[ClientName], VNCTable[IP], ""),
_xlpm.chkk, IF(ITEquipmentTable[[#This Row],[IPv4 Address]] = "N/A", "N/A", _xlpm.look),
IF(ITEquipmentTable[[#This Row],[Name]] = "", "", _xlpm.chkk))</f>
        <v/>
      </c>
      <c r="M727" s="189"/>
      <c r="N727" s="159" t="str">
        <f>_xlfn.LET(_xlpm.emp, IF(_xlfn.XLOOKUP(ITEquipmentTable[[#This Row],[Assigned Employee]], EmployeeTable[name], EmployeeTable[Active], TRUE), "Employee", "Recover"),
IF(ITEquipmentTable[[#This Row],[Storage Location]] = "Assigned to Employee", _xlpm.emp, "N/A"))</f>
        <v>N/A</v>
      </c>
      <c r="O727" s="159" t="str" cm="1">
        <f t="array" ref="O72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27"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727" s="189"/>
      <c r="R727" s="189" t="s">
        <v>312</v>
      </c>
      <c r="S727" s="189"/>
    </row>
    <row r="728" spans="1:19" s="1" customFormat="1" hidden="1" x14ac:dyDescent="0.2">
      <c r="A728" s="155">
        <v>325</v>
      </c>
      <c r="B728" s="189" t="s">
        <v>340</v>
      </c>
      <c r="C728" s="189" t="s">
        <v>478</v>
      </c>
      <c r="D728" s="189" t="s">
        <v>479</v>
      </c>
      <c r="E728" s="189" t="s">
        <v>306</v>
      </c>
      <c r="F728" s="201" t="s">
        <v>714</v>
      </c>
      <c r="G728" s="266" t="str">
        <f>_xlfn.XLOOKUP(ITEquipmentTable[[#This Row],[Name]], IntuneData[Device name], IntuneData[Serial number], "")</f>
        <v/>
      </c>
      <c r="H728" s="1" t="s">
        <v>295</v>
      </c>
      <c r="I728" s="189" t="s">
        <v>712</v>
      </c>
      <c r="J728" s="189"/>
      <c r="K728" s="219"/>
      <c r="L728" s="266" t="str">
        <f>_xlfn.LET(
_xlpm.look, _xlfn.XLOOKUP(ITEquipmentTable[[#This Row],[Name]], VNCTable[ClientName], VNCTable[IP], ""),
_xlpm.chkk, IF(ITEquipmentTable[[#This Row],[IPv4 Address]] = "N/A", "N/A", _xlpm.look),
IF(ITEquipmentTable[[#This Row],[Name]] = "", "", _xlpm.chkk))</f>
        <v/>
      </c>
      <c r="M728" s="189"/>
      <c r="N728" s="159" t="str">
        <f>_xlfn.LET(_xlpm.emp, IF(_xlfn.XLOOKUP(ITEquipmentTable[[#This Row],[Assigned Employee]], EmployeeTable[name], EmployeeTable[Active], TRUE), "Employee", "Recover"),
IF(ITEquipmentTable[[#This Row],[Storage Location]] = "Assigned to Employee", _xlpm.emp, "N/A"))</f>
        <v>N/A</v>
      </c>
      <c r="O728" s="159" t="str" cm="1">
        <f t="array" ref="O72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28"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728" s="189"/>
      <c r="R728" s="189" t="s">
        <v>312</v>
      </c>
      <c r="S728" s="189"/>
    </row>
    <row r="729" spans="1:19" s="1" customFormat="1" hidden="1" x14ac:dyDescent="0.2">
      <c r="A729" s="155">
        <v>326</v>
      </c>
      <c r="B729" s="1" t="s">
        <v>340</v>
      </c>
      <c r="C729" s="1" t="s">
        <v>478</v>
      </c>
      <c r="D729" s="1" t="s">
        <v>479</v>
      </c>
      <c r="E729" s="1" t="s">
        <v>306</v>
      </c>
      <c r="F729" s="195" t="s">
        <v>716</v>
      </c>
      <c r="G729" s="266" t="str">
        <f>_xlfn.XLOOKUP(ITEquipmentTable[[#This Row],[Name]], IntuneData[Device name], IntuneData[Serial number], "")</f>
        <v/>
      </c>
      <c r="H729" s="1" t="s">
        <v>295</v>
      </c>
      <c r="I729" s="189" t="s">
        <v>712</v>
      </c>
      <c r="J729" s="189"/>
      <c r="K729" s="219"/>
      <c r="L729" s="266" t="str">
        <f>_xlfn.LET(
_xlpm.look, _xlfn.XLOOKUP(ITEquipmentTable[[#This Row],[Name]], VNCTable[ClientName], VNCTable[IP], ""),
_xlpm.chkk, IF(ITEquipmentTable[[#This Row],[IPv4 Address]] = "N/A", "N/A", _xlpm.look),
IF(ITEquipmentTable[[#This Row],[Name]] = "", "", _xlpm.chkk))</f>
        <v/>
      </c>
      <c r="N729" s="159" t="str">
        <f>_xlfn.LET(_xlpm.emp, IF(_xlfn.XLOOKUP(ITEquipmentTable[[#This Row],[Assigned Employee]], EmployeeTable[name], EmployeeTable[Active], TRUE), "Employee", "Recover"),
IF(ITEquipmentTable[[#This Row],[Storage Location]] = "Assigned to Employee", _xlpm.emp, "N/A"))</f>
        <v>N/A</v>
      </c>
      <c r="O729" s="159" t="str" cm="1">
        <f t="array" ref="O72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29"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729" s="189" t="s">
        <v>312</v>
      </c>
    </row>
    <row r="730" spans="1:19" s="1" customFormat="1" hidden="1" x14ac:dyDescent="0.2">
      <c r="A730" s="155">
        <v>327</v>
      </c>
      <c r="B730" s="189" t="s">
        <v>340</v>
      </c>
      <c r="C730" s="189" t="s">
        <v>478</v>
      </c>
      <c r="D730" s="189" t="s">
        <v>479</v>
      </c>
      <c r="E730" s="189" t="s">
        <v>306</v>
      </c>
      <c r="F730" s="201" t="s">
        <v>718</v>
      </c>
      <c r="G730" s="266" t="str">
        <f>_xlfn.XLOOKUP(ITEquipmentTable[[#This Row],[Name]], IntuneData[Device name], IntuneData[Serial number], "")</f>
        <v/>
      </c>
      <c r="H730" s="1" t="s">
        <v>295</v>
      </c>
      <c r="I730" s="189" t="s">
        <v>712</v>
      </c>
      <c r="J730" s="189"/>
      <c r="K730" s="219"/>
      <c r="L730" s="266" t="str">
        <f>_xlfn.LET(
_xlpm.look, _xlfn.XLOOKUP(ITEquipmentTable[[#This Row],[Name]], VNCTable[ClientName], VNCTable[IP], ""),
_xlpm.chkk, IF(ITEquipmentTable[[#This Row],[IPv4 Address]] = "N/A", "N/A", _xlpm.look),
IF(ITEquipmentTable[[#This Row],[Name]] = "", "", _xlpm.chkk))</f>
        <v/>
      </c>
      <c r="M730" s="189"/>
      <c r="N730" s="159" t="str">
        <f>_xlfn.LET(_xlpm.emp, IF(_xlfn.XLOOKUP(ITEquipmentTable[[#This Row],[Assigned Employee]], EmployeeTable[name], EmployeeTable[Active], TRUE), "Employee", "Recover"),
IF(ITEquipmentTable[[#This Row],[Storage Location]] = "Assigned to Employee", _xlpm.emp, "N/A"))</f>
        <v>N/A</v>
      </c>
      <c r="O730" s="159" t="str" cm="1">
        <f t="array" ref="O73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30"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730" s="189"/>
      <c r="R730" s="189" t="s">
        <v>312</v>
      </c>
      <c r="S730" s="189"/>
    </row>
    <row r="731" spans="1:19" s="1" customFormat="1" hidden="1" x14ac:dyDescent="0.2">
      <c r="A731" s="155">
        <v>328</v>
      </c>
      <c r="B731" s="189" t="s">
        <v>340</v>
      </c>
      <c r="C731" s="189" t="s">
        <v>478</v>
      </c>
      <c r="D731" s="189" t="s">
        <v>479</v>
      </c>
      <c r="E731" s="189" t="s">
        <v>306</v>
      </c>
      <c r="F731" s="201" t="s">
        <v>720</v>
      </c>
      <c r="G731" s="266" t="str">
        <f>_xlfn.XLOOKUP(ITEquipmentTable[[#This Row],[Name]], IntuneData[Device name], IntuneData[Serial number], "")</f>
        <v/>
      </c>
      <c r="H731" s="1" t="s">
        <v>295</v>
      </c>
      <c r="I731" s="189" t="s">
        <v>712</v>
      </c>
      <c r="J731" s="189"/>
      <c r="K731" s="219"/>
      <c r="L731" s="266" t="str">
        <f>_xlfn.LET(
_xlpm.look, _xlfn.XLOOKUP(ITEquipmentTable[[#This Row],[Name]], VNCTable[ClientName], VNCTable[IP], ""),
_xlpm.chkk, IF(ITEquipmentTable[[#This Row],[IPv4 Address]] = "N/A", "N/A", _xlpm.look),
IF(ITEquipmentTable[[#This Row],[Name]] = "", "", _xlpm.chkk))</f>
        <v/>
      </c>
      <c r="M731" s="189"/>
      <c r="N731" s="159" t="str">
        <f>_xlfn.LET(_xlpm.emp, IF(_xlfn.XLOOKUP(ITEquipmentTable[[#This Row],[Assigned Employee]], EmployeeTable[name], EmployeeTable[Active], TRUE), "Employee", "Recover"),
IF(ITEquipmentTable[[#This Row],[Storage Location]] = "Assigned to Employee", _xlpm.emp, "N/A"))</f>
        <v>N/A</v>
      </c>
      <c r="O731" s="159" t="str" cm="1">
        <f t="array" ref="O73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31"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731" s="189"/>
      <c r="R731" s="189" t="s">
        <v>312</v>
      </c>
      <c r="S731" s="189"/>
    </row>
    <row r="732" spans="1:19" s="1" customFormat="1" hidden="1" x14ac:dyDescent="0.2">
      <c r="A732" s="155">
        <v>329</v>
      </c>
      <c r="B732" s="1" t="s">
        <v>340</v>
      </c>
      <c r="C732" s="1" t="s">
        <v>478</v>
      </c>
      <c r="D732" s="1" t="s">
        <v>479</v>
      </c>
      <c r="E732" s="1" t="s">
        <v>306</v>
      </c>
      <c r="F732" s="195" t="s">
        <v>722</v>
      </c>
      <c r="G732" s="266" t="str">
        <f>_xlfn.XLOOKUP(ITEquipmentTable[[#This Row],[Name]], IntuneData[Device name], IntuneData[Serial number], "")</f>
        <v/>
      </c>
      <c r="H732" s="1" t="s">
        <v>295</v>
      </c>
      <c r="I732" s="189" t="s">
        <v>712</v>
      </c>
      <c r="J732" s="189"/>
      <c r="K732" s="219"/>
      <c r="L732" s="266" t="str">
        <f>_xlfn.LET(
_xlpm.look, _xlfn.XLOOKUP(ITEquipmentTable[[#This Row],[Name]], VNCTable[ClientName], VNCTable[IP], ""),
_xlpm.chkk, IF(ITEquipmentTable[[#This Row],[IPv4 Address]] = "N/A", "N/A", _xlpm.look),
IF(ITEquipmentTable[[#This Row],[Name]] = "", "", _xlpm.chkk))</f>
        <v/>
      </c>
      <c r="N732" s="159" t="str">
        <f>_xlfn.LET(_xlpm.emp, IF(_xlfn.XLOOKUP(ITEquipmentTable[[#This Row],[Assigned Employee]], EmployeeTable[name], EmployeeTable[Active], TRUE), "Employee", "Recover"),
IF(ITEquipmentTable[[#This Row],[Storage Location]] = "Assigned to Employee", _xlpm.emp, "N/A"))</f>
        <v>N/A</v>
      </c>
      <c r="O732" s="159" t="str" cm="1">
        <f t="array" ref="O73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32" s="159"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732" s="189" t="s">
        <v>312</v>
      </c>
    </row>
    <row r="733" spans="1:19" s="1" customFormat="1" x14ac:dyDescent="0.2">
      <c r="A733" s="155">
        <v>405</v>
      </c>
      <c r="B733" s="1" t="s">
        <v>304</v>
      </c>
      <c r="C733" s="1" t="s">
        <v>403</v>
      </c>
      <c r="D733" s="1" t="s">
        <v>568</v>
      </c>
      <c r="E733" s="1" t="s">
        <v>306</v>
      </c>
      <c r="F733" s="195" t="s">
        <v>1494</v>
      </c>
      <c r="G733" s="266" t="str">
        <f>_xlfn.XLOOKUP(ITEquipmentTable[[#This Row],[Name]], IntuneData[Device name], IntuneData[Serial number], "")</f>
        <v/>
      </c>
      <c r="H733" s="189"/>
      <c r="I733" s="168"/>
      <c r="J733" s="168"/>
      <c r="K733" s="223"/>
      <c r="L733" s="266" t="str">
        <f>_xlfn.LET(
_xlpm.look, _xlfn.XLOOKUP(ITEquipmentTable[[#This Row],[Name]], VNCTable[ClientName], VNCTable[IP], ""),
_xlpm.chkk, IF(ITEquipmentTable[[#This Row],[IPv4 Address]] = "N/A", "N/A", _xlpm.look),
IF(ITEquipmentTable[[#This Row],[Name]] = "", "", _xlpm.chkk))</f>
        <v/>
      </c>
      <c r="M733" s="168"/>
      <c r="N733" s="161" t="str">
        <f>_xlfn.LET(_xlpm.emp, IF(_xlfn.XLOOKUP(ITEquipmentTable[[#This Row],[Assigned Employee]], EmployeeTable[name], EmployeeTable[Active], TRUE), "Employee", "Recover"),
IF(ITEquipmentTable[[#This Row],[Storage Location]] = "Assigned to Employee", _xlpm.emp, "N/A"))</f>
        <v>N/A</v>
      </c>
      <c r="O733" s="161" t="str" cm="1">
        <f t="array" ref="O73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3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733" s="168"/>
      <c r="R733" s="168"/>
      <c r="S733" s="1" t="s">
        <v>405</v>
      </c>
    </row>
    <row r="734" spans="1:19" s="1" customFormat="1" hidden="1" x14ac:dyDescent="0.2">
      <c r="A734" s="155">
        <v>671</v>
      </c>
      <c r="B734" s="1" t="s">
        <v>304</v>
      </c>
      <c r="C734" s="1" t="s">
        <v>308</v>
      </c>
      <c r="D734" s="1" t="s">
        <v>309</v>
      </c>
      <c r="E734" s="1" t="s">
        <v>310</v>
      </c>
      <c r="F734" s="195"/>
      <c r="G734" s="159" t="str">
        <f>_xlfn.XLOOKUP(ITEquipmentTable[[#This Row],[Name]], IntuneData[Device name], IntuneData[Serial number], "")</f>
        <v/>
      </c>
      <c r="H734" s="1" t="s">
        <v>295</v>
      </c>
      <c r="I734" s="1" t="s">
        <v>1889</v>
      </c>
      <c r="K734" s="154"/>
      <c r="L734" s="266" t="str">
        <f>_xlfn.LET(
_xlpm.look, _xlfn.XLOOKUP(ITEquipmentTable[[#This Row],[Name]], VNCTable[ClientName], VNCTable[IP], ""),
_xlpm.chkk, IF(ITEquipmentTable[[#This Row],[IPv4 Address]] = "N/A", "N/A", _xlpm.look),
IF(ITEquipmentTable[[#This Row],[Name]] = "", "", _xlpm.chkk))</f>
        <v/>
      </c>
      <c r="M734" s="1" t="s">
        <v>1890</v>
      </c>
      <c r="N734" s="159" t="str">
        <f>_xlfn.LET(_xlpm.emp, IF(_xlfn.XLOOKUP(ITEquipmentTable[[#This Row],[Assigned Employee]], EmployeeTable[name], EmployeeTable[Active], TRUE), "Employee", "Recover"),
IF(ITEquipmentTable[[#This Row],[Storage Location]] = "Assigned to Employee", _xlpm.emp, "N/A"))</f>
        <v>N/A</v>
      </c>
      <c r="O734" s="161" t="str" cm="1">
        <f t="array" ref="O73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73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34" s="1" t="s">
        <v>312</v>
      </c>
    </row>
    <row r="735" spans="1:19" s="1" customFormat="1" hidden="1" x14ac:dyDescent="0.2">
      <c r="A735" s="155">
        <v>672</v>
      </c>
      <c r="B735" s="1" t="s">
        <v>304</v>
      </c>
      <c r="C735" s="1" t="s">
        <v>308</v>
      </c>
      <c r="D735" s="1" t="s">
        <v>309</v>
      </c>
      <c r="E735" s="1" t="s">
        <v>310</v>
      </c>
      <c r="F735" s="195"/>
      <c r="G735" s="159" t="str">
        <f>_xlfn.XLOOKUP(ITEquipmentTable[[#This Row],[Name]], IntuneData[Device name], IntuneData[Serial number], "")</f>
        <v/>
      </c>
      <c r="H735" s="1" t="s">
        <v>295</v>
      </c>
      <c r="I735" s="1" t="s">
        <v>1891</v>
      </c>
      <c r="K735" s="154"/>
      <c r="L735" s="266" t="str">
        <f>_xlfn.LET(
_xlpm.look, _xlfn.XLOOKUP(ITEquipmentTable[[#This Row],[Name]], VNCTable[ClientName], VNCTable[IP], ""),
_xlpm.chkk, IF(ITEquipmentTable[[#This Row],[IPv4 Address]] = "N/A", "N/A", _xlpm.look),
IF(ITEquipmentTable[[#This Row],[Name]] = "", "", _xlpm.chkk))</f>
        <v/>
      </c>
      <c r="M735" s="1" t="s">
        <v>1892</v>
      </c>
      <c r="N735" s="159" t="str">
        <f>_xlfn.LET(_xlpm.emp, IF(_xlfn.XLOOKUP(ITEquipmentTable[[#This Row],[Assigned Employee]], EmployeeTable[name], EmployeeTable[Active], TRUE), "Employee", "Recover"),
IF(ITEquipmentTable[[#This Row],[Storage Location]] = "Assigned to Employee", _xlpm.emp, "N/A"))</f>
        <v>N/A</v>
      </c>
      <c r="O735" s="161" t="str" cm="1">
        <f t="array" ref="O73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Win 11 25H2</v>
      </c>
      <c r="P73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35" s="1" t="s">
        <v>312</v>
      </c>
    </row>
    <row r="736" spans="1:19" s="1" customFormat="1" hidden="1" x14ac:dyDescent="0.2">
      <c r="A736" s="155">
        <v>251</v>
      </c>
      <c r="B736" s="189" t="s">
        <v>304</v>
      </c>
      <c r="C736" s="1" t="s">
        <v>308</v>
      </c>
      <c r="D736" s="1" t="s">
        <v>416</v>
      </c>
      <c r="E736" s="1" t="s">
        <v>310</v>
      </c>
      <c r="F736" s="195"/>
      <c r="G736" s="159" t="str">
        <f>_xlfn.XLOOKUP(ITEquipmentTable[[#This Row],[Name]], IntuneData[Device name], IntuneData[Serial number], "")</f>
        <v/>
      </c>
      <c r="H736" s="189" t="s">
        <v>295</v>
      </c>
      <c r="I736" s="189" t="s">
        <v>919</v>
      </c>
      <c r="J736" s="189"/>
      <c r="K736" s="154" t="s">
        <v>1023</v>
      </c>
      <c r="L736" s="266" t="str">
        <f>_xlfn.LET(
_xlpm.look, _xlfn.XLOOKUP(ITEquipmentTable[[#This Row],[Name]], VNCTable[ClientName], VNCTable[IP], ""),
_xlpm.chkk, IF(ITEquipmentTable[[#This Row],[IPv4 Address]] = "N/A", "N/A", _xlpm.look),
IF(ITEquipmentTable[[#This Row],[Name]] = "", "", _xlpm.chkk))</f>
        <v/>
      </c>
      <c r="M736" s="189" t="s">
        <v>1024</v>
      </c>
      <c r="N736" s="159" t="str">
        <f>_xlfn.LET(_xlpm.emp, IF(_xlfn.XLOOKUP(ITEquipmentTable[[#This Row],[Assigned Employee]], EmployeeTable[name], EmployeeTable[Active], TRUE), "Employee", "Recover"),
IF(ITEquipmentTable[[#This Row],[Storage Location]] = "Assigned to Employee", _xlpm.emp, "N/A"))</f>
        <v>N/A</v>
      </c>
      <c r="O736" s="159" t="str" cm="1">
        <f t="array" ref="O73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73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736" s="193"/>
      <c r="R736" s="189" t="s">
        <v>312</v>
      </c>
      <c r="S736" s="189" t="s">
        <v>319</v>
      </c>
    </row>
    <row r="737" spans="1:19" s="1" customFormat="1" hidden="1" x14ac:dyDescent="0.2">
      <c r="A737" s="155">
        <v>254</v>
      </c>
      <c r="B737" s="189" t="s">
        <v>304</v>
      </c>
      <c r="C737" s="1" t="s">
        <v>308</v>
      </c>
      <c r="E737" s="189" t="s">
        <v>310</v>
      </c>
      <c r="F737" s="195"/>
      <c r="G737" s="159" t="str">
        <f>_xlfn.XLOOKUP(ITEquipmentTable[[#This Row],[Name]], IntuneData[Device name], IntuneData[Serial number], "")</f>
        <v/>
      </c>
      <c r="H737" s="189"/>
      <c r="I737" s="189"/>
      <c r="J737" s="189"/>
      <c r="K737" s="219"/>
      <c r="L737" s="266" t="str">
        <f>_xlfn.LET(
_xlpm.look, _xlfn.XLOOKUP(ITEquipmentTable[[#This Row],[Name]], VNCTable[ClientName], VNCTable[IP], ""),
_xlpm.chkk, IF(ITEquipmentTable[[#This Row],[IPv4 Address]] = "N/A", "N/A", _xlpm.look),
IF(ITEquipmentTable[[#This Row],[Name]] = "", "", _xlpm.chkk))</f>
        <v/>
      </c>
      <c r="M737" s="189"/>
      <c r="N737" s="159" t="str">
        <f>_xlfn.LET(_xlpm.emp, IF(_xlfn.XLOOKUP(ITEquipmentTable[[#This Row],[Assigned Employee]], EmployeeTable[name], EmployeeTable[Active], TRUE), "Employee", "Recover"),
IF(ITEquipmentTable[[#This Row],[Storage Location]] = "Assigned to Employee", _xlpm.emp, "N/A"))</f>
        <v>N/A</v>
      </c>
      <c r="O737" s="159" t="str" cm="1">
        <f t="array" ref="O73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3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737" s="193"/>
      <c r="R737" s="189" t="s">
        <v>312</v>
      </c>
      <c r="S737" s="189" t="s">
        <v>299</v>
      </c>
    </row>
    <row r="738" spans="1:19" s="1" customFormat="1" hidden="1" x14ac:dyDescent="0.2">
      <c r="A738" s="155">
        <v>255</v>
      </c>
      <c r="B738" s="189" t="s">
        <v>304</v>
      </c>
      <c r="C738" s="1" t="s">
        <v>308</v>
      </c>
      <c r="E738" s="189" t="s">
        <v>310</v>
      </c>
      <c r="F738" s="195"/>
      <c r="G738" s="159" t="str">
        <f>_xlfn.XLOOKUP(ITEquipmentTable[[#This Row],[Name]], IntuneData[Device name], IntuneData[Serial number], "")</f>
        <v/>
      </c>
      <c r="H738" s="189"/>
      <c r="I738" s="189"/>
      <c r="J738" s="189"/>
      <c r="K738" s="219"/>
      <c r="L738" s="266" t="str">
        <f>_xlfn.LET(
_xlpm.look, _xlfn.XLOOKUP(ITEquipmentTable[[#This Row],[Name]], VNCTable[ClientName], VNCTable[IP], ""),
_xlpm.chkk, IF(ITEquipmentTable[[#This Row],[IPv4 Address]] = "N/A", "N/A", _xlpm.look),
IF(ITEquipmentTable[[#This Row],[Name]] = "", "", _xlpm.chkk))</f>
        <v/>
      </c>
      <c r="M738" s="189"/>
      <c r="N738" s="159" t="str">
        <f>_xlfn.LET(_xlpm.emp, IF(_xlfn.XLOOKUP(ITEquipmentTable[[#This Row],[Assigned Employee]], EmployeeTable[name], EmployeeTable[Active], TRUE), "Employee", "Recover"),
IF(ITEquipmentTable[[#This Row],[Storage Location]] = "Assigned to Employee", _xlpm.emp, "N/A"))</f>
        <v>N/A</v>
      </c>
      <c r="O738" s="159" t="str" cm="1">
        <f t="array" ref="O73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3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738" s="193"/>
      <c r="R738" s="189" t="s">
        <v>312</v>
      </c>
      <c r="S738" s="189" t="s">
        <v>299</v>
      </c>
    </row>
    <row r="739" spans="1:19" s="1" customFormat="1" hidden="1" x14ac:dyDescent="0.2">
      <c r="A739" s="155">
        <v>256</v>
      </c>
      <c r="B739" s="189" t="s">
        <v>304</v>
      </c>
      <c r="C739" s="1" t="s">
        <v>308</v>
      </c>
      <c r="E739" s="189" t="s">
        <v>310</v>
      </c>
      <c r="F739" s="195"/>
      <c r="G739" s="159" t="str">
        <f>_xlfn.XLOOKUP(ITEquipmentTable[[#This Row],[Name]], IntuneData[Device name], IntuneData[Serial number], "")</f>
        <v/>
      </c>
      <c r="H739" s="189" t="s">
        <v>295</v>
      </c>
      <c r="I739" s="189" t="s">
        <v>947</v>
      </c>
      <c r="J739" s="189"/>
      <c r="K739" s="219" t="s">
        <v>1052</v>
      </c>
      <c r="L739" s="266" t="str">
        <f>_xlfn.LET(
_xlpm.look, _xlfn.XLOOKUP(ITEquipmentTable[[#This Row],[Name]], VNCTable[ClientName], VNCTable[IP], ""),
_xlpm.chkk, IF(ITEquipmentTable[[#This Row],[IPv4 Address]] = "N/A", "N/A", _xlpm.look),
IF(ITEquipmentTable[[#This Row],[Name]] = "", "", _xlpm.chkk))</f>
        <v>10.68.134.218</v>
      </c>
      <c r="M739" s="189" t="s">
        <v>1053</v>
      </c>
      <c r="N739" s="159" t="str">
        <f>_xlfn.LET(_xlpm.emp, IF(_xlfn.XLOOKUP(ITEquipmentTable[[#This Row],[Assigned Employee]], EmployeeTable[name], EmployeeTable[Active], TRUE), "Employee", "Recover"),
IF(ITEquipmentTable[[#This Row],[Storage Location]] = "Assigned to Employee", _xlpm.emp, "N/A"))</f>
        <v>N/A</v>
      </c>
      <c r="O739" s="159" t="str" cm="1">
        <f t="array" ref="O73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73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739" s="193"/>
      <c r="R739" s="189" t="s">
        <v>312</v>
      </c>
      <c r="S739" s="189" t="s">
        <v>299</v>
      </c>
    </row>
    <row r="740" spans="1:19" s="1" customFormat="1" hidden="1" x14ac:dyDescent="0.2">
      <c r="A740" s="155">
        <v>257</v>
      </c>
      <c r="B740" s="189" t="s">
        <v>304</v>
      </c>
      <c r="C740" s="1" t="s">
        <v>308</v>
      </c>
      <c r="E740" s="1" t="s">
        <v>310</v>
      </c>
      <c r="F740" s="195"/>
      <c r="G740" s="159" t="str">
        <f>_xlfn.XLOOKUP(ITEquipmentTable[[#This Row],[Name]], IntuneData[Device name], IntuneData[Serial number], "")</f>
        <v/>
      </c>
      <c r="H740" s="189" t="s">
        <v>295</v>
      </c>
      <c r="I740" s="189" t="s">
        <v>1062</v>
      </c>
      <c r="J740" s="189"/>
      <c r="K740" s="219" t="s">
        <v>1063</v>
      </c>
      <c r="L740" s="266" t="str">
        <f>_xlfn.LET(
_xlpm.look, _xlfn.XLOOKUP(ITEquipmentTable[[#This Row],[Name]], VNCTable[ClientName], VNCTable[IP], ""),
_xlpm.chkk, IF(ITEquipmentTable[[#This Row],[IPv4 Address]] = "N/A", "N/A", _xlpm.look),
IF(ITEquipmentTable[[#This Row],[Name]] = "", "", _xlpm.chkk))</f>
        <v>10.68.134.45</v>
      </c>
      <c r="M740" s="189" t="s">
        <v>1064</v>
      </c>
      <c r="N740" s="159" t="str">
        <f>_xlfn.LET(_xlpm.emp, IF(_xlfn.XLOOKUP(ITEquipmentTable[[#This Row],[Assigned Employee]], EmployeeTable[name], EmployeeTable[Active], TRUE), "Employee", "Recover"),
IF(ITEquipmentTable[[#This Row],[Storage Location]] = "Assigned to Employee", _xlpm.emp, "N/A"))</f>
        <v>N/A</v>
      </c>
      <c r="O740" s="159" t="str" cm="1">
        <f t="array" ref="O74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74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740" s="193"/>
      <c r="R740" s="189" t="s">
        <v>312</v>
      </c>
      <c r="S740" s="189" t="s">
        <v>299</v>
      </c>
    </row>
    <row r="741" spans="1:19" s="1" customFormat="1" hidden="1" x14ac:dyDescent="0.2">
      <c r="A741" s="155">
        <v>258</v>
      </c>
      <c r="B741" s="189" t="s">
        <v>304</v>
      </c>
      <c r="C741" s="1" t="s">
        <v>308</v>
      </c>
      <c r="E741" s="1" t="s">
        <v>310</v>
      </c>
      <c r="F741" s="195"/>
      <c r="G741" s="159" t="str">
        <f>_xlfn.XLOOKUP(ITEquipmentTable[[#This Row],[Name]], IntuneData[Device name], IntuneData[Serial number], "")</f>
        <v/>
      </c>
      <c r="H741" s="189" t="s">
        <v>295</v>
      </c>
      <c r="I741" s="189" t="s">
        <v>1071</v>
      </c>
      <c r="J741" s="189"/>
      <c r="K741" s="219" t="s">
        <v>1072</v>
      </c>
      <c r="L741" s="266" t="str">
        <f>_xlfn.LET(
_xlpm.look, _xlfn.XLOOKUP(ITEquipmentTable[[#This Row],[Name]], VNCTable[ClientName], VNCTable[IP], ""),
_xlpm.chkk, IF(ITEquipmentTable[[#This Row],[IPv4 Address]] = "N/A", "N/A", _xlpm.look),
IF(ITEquipmentTable[[#This Row],[Name]] = "", "", _xlpm.chkk))</f>
        <v/>
      </c>
      <c r="M741" s="189" t="s">
        <v>1073</v>
      </c>
      <c r="N741" s="159" t="str">
        <f>_xlfn.LET(_xlpm.emp, IF(_xlfn.XLOOKUP(ITEquipmentTable[[#This Row],[Assigned Employee]], EmployeeTable[name], EmployeeTable[Active], TRUE), "Employee", "Recover"),
IF(ITEquipmentTable[[#This Row],[Storage Location]] = "Assigned to Employee", _xlpm.emp, "N/A"))</f>
        <v>N/A</v>
      </c>
      <c r="O741" s="159" t="str" cm="1">
        <f t="array" ref="O74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&lt;Disconnected&gt;</v>
      </c>
      <c r="P74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Q741" s="193"/>
      <c r="R741" s="189" t="s">
        <v>312</v>
      </c>
      <c r="S741" s="189" t="s">
        <v>299</v>
      </c>
    </row>
    <row r="742" spans="1:19" s="1" customFormat="1" hidden="1" x14ac:dyDescent="0.2">
      <c r="A742" s="155">
        <v>769</v>
      </c>
      <c r="B742" s="1" t="s">
        <v>340</v>
      </c>
      <c r="C742" s="1" t="s">
        <v>679</v>
      </c>
      <c r="D742" s="189" t="s">
        <v>680</v>
      </c>
      <c r="E742" s="189" t="s">
        <v>325</v>
      </c>
      <c r="F742" s="195" t="s">
        <v>2138</v>
      </c>
      <c r="G742" s="1" t="str">
        <f>_xlfn.XLOOKUP(ITEquipmentTable[[#This Row],[Name]], IntuneData[Device name], IntuneData[Serial number], "")</f>
        <v/>
      </c>
      <c r="K742" s="154"/>
      <c r="L742" s="1" t="str">
        <f>_xlfn.LET(
_xlpm.look, _xlfn.XLOOKUP(ITEquipmentTable[[#This Row],[Name]], VNCTable[ClientName], VNCTable[IP], ""),
_xlpm.chkk, IF(ITEquipmentTable[[#This Row],[IPv4 Address]] = "N/A", "N/A", _xlpm.look),
IF(ITEquipmentTable[[#This Row],[Name]] = "", "", _xlpm.chkk))</f>
        <v/>
      </c>
      <c r="N742" s="159" t="str">
        <f>_xlfn.LET(_xlpm.emp, IF(_xlfn.XLOOKUP(ITEquipmentTable[[#This Row],[Assigned Employee]], EmployeeTable[name], EmployeeTable[Active], TRUE), "Employee", "Recover"),
IF(ITEquipmentTable[[#This Row],[Storage Location]] = "Assigned to Employee", _xlpm.emp, "N/A"))</f>
        <v>N/A</v>
      </c>
      <c r="O742" s="161" t="str" cm="1">
        <f t="array" ref="O74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4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42" s="1" t="s">
        <v>312</v>
      </c>
    </row>
    <row r="743" spans="1:19" s="1" customFormat="1" x14ac:dyDescent="0.2">
      <c r="A743" s="155">
        <v>777</v>
      </c>
      <c r="B743" s="1" t="s">
        <v>304</v>
      </c>
      <c r="C743" s="1" t="s">
        <v>403</v>
      </c>
      <c r="E743" s="1" t="s">
        <v>306</v>
      </c>
      <c r="F743" s="195"/>
      <c r="G743" s="266" t="str">
        <f>_xlfn.XLOOKUP(ITEquipmentTable[[#This Row],[Name]], IntuneData[Device name], IntuneData[Serial number], "")</f>
        <v/>
      </c>
      <c r="H743" s="1" t="s">
        <v>295</v>
      </c>
      <c r="I743" s="1" t="s">
        <v>876</v>
      </c>
      <c r="K743" s="154"/>
      <c r="L743" s="266" t="str">
        <f>_xlfn.LET(
_xlpm.look, _xlfn.XLOOKUP(ITEquipmentTable[[#This Row],[Name]], VNCTable[ClientName], VNCTable[IP], ""),
_xlpm.chkk, IF(ITEquipmentTable[[#This Row],[IPv4 Address]] = "N/A", "N/A", _xlpm.look),
IF(ITEquipmentTable[[#This Row],[Name]] = "", "", _xlpm.chkk))</f>
        <v/>
      </c>
      <c r="N743" s="159" t="str">
        <f>_xlfn.LET(_xlpm.emp, IF(_xlfn.XLOOKUP(ITEquipmentTable[[#This Row],[Assigned Employee]], EmployeeTable[name], EmployeeTable[Active], TRUE), "Employee", "Recover"),
IF(ITEquipmentTable[[#This Row],[Storage Location]] = "Assigned to Employee", _xlpm.emp, "N/A"))</f>
        <v>N/A</v>
      </c>
      <c r="O743" s="161" t="str" cm="1">
        <f t="array" ref="O74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4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43" s="1" t="s">
        <v>312</v>
      </c>
      <c r="S743" s="1" t="s">
        <v>313</v>
      </c>
    </row>
    <row r="744" spans="1:19" s="1" customFormat="1" hidden="1" x14ac:dyDescent="0.2">
      <c r="A744" s="155">
        <v>778</v>
      </c>
      <c r="B744" s="1" t="s">
        <v>402</v>
      </c>
      <c r="E744" s="189" t="s">
        <v>306</v>
      </c>
      <c r="F744" s="195"/>
      <c r="G744" s="1" t="str">
        <f>_xlfn.XLOOKUP(ITEquipmentTable[[#This Row],[Name]], IntuneData[Device name], IntuneData[Serial number], "")</f>
        <v/>
      </c>
      <c r="H744" s="1" t="s">
        <v>295</v>
      </c>
      <c r="I744" s="1" t="s">
        <v>876</v>
      </c>
      <c r="K744" s="154"/>
      <c r="L744" s="1" t="str">
        <f>_xlfn.LET(
_xlpm.look, _xlfn.XLOOKUP(ITEquipmentTable[[#This Row],[Name]], VNCTable[ClientName], VNCTable[IP], ""),
_xlpm.chkk, IF(ITEquipmentTable[[#This Row],[IPv4 Address]] = "N/A", "N/A", _xlpm.look),
IF(ITEquipmentTable[[#This Row],[Name]] = "", "", _xlpm.chkk))</f>
        <v/>
      </c>
      <c r="N744" s="159" t="str">
        <f>_xlfn.LET(_xlpm.emp, IF(_xlfn.XLOOKUP(ITEquipmentTable[[#This Row],[Assigned Employee]], EmployeeTable[name], EmployeeTable[Active], TRUE), "Employee", "Recover"),
IF(ITEquipmentTable[[#This Row],[Storage Location]] = "Assigned to Employee", _xlpm.emp, "N/A"))</f>
        <v>N/A</v>
      </c>
      <c r="O744" s="161" t="str" cm="1">
        <f t="array" ref="O74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4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44" s="1" t="s">
        <v>312</v>
      </c>
      <c r="S744" s="1" t="s">
        <v>299</v>
      </c>
    </row>
    <row r="745" spans="1:19" s="1" customFormat="1" hidden="1" x14ac:dyDescent="0.2">
      <c r="A745" s="155">
        <v>699</v>
      </c>
      <c r="B745" s="1" t="s">
        <v>304</v>
      </c>
      <c r="C745" s="1" t="s">
        <v>308</v>
      </c>
      <c r="D745" s="1" t="s">
        <v>309</v>
      </c>
      <c r="E745" s="1" t="s">
        <v>310</v>
      </c>
      <c r="F745" s="195"/>
      <c r="G745" s="159" t="str">
        <f>_xlfn.XLOOKUP(ITEquipmentTable[[#This Row],[Name]], IntuneData[Device name], IntuneData[Serial number], "")</f>
        <v/>
      </c>
      <c r="K745" s="154"/>
      <c r="L745" s="266" t="str">
        <f>_xlfn.LET(
_xlpm.look, _xlfn.XLOOKUP(ITEquipmentTable[[#This Row],[Name]], VNCTable[ClientName], VNCTable[IP], ""),
_xlpm.chkk, IF(ITEquipmentTable[[#This Row],[IPv4 Address]] = "N/A", "N/A", _xlpm.look),
IF(ITEquipmentTable[[#This Row],[Name]] = "", "", _xlpm.chkk))</f>
        <v/>
      </c>
      <c r="N745" s="159" t="str">
        <f>_xlfn.LET(_xlpm.emp, IF(_xlfn.XLOOKUP(ITEquipmentTable[[#This Row],[Assigned Employee]], EmployeeTable[name], EmployeeTable[Active], TRUE), "Employee", "Recover"),
IF(ITEquipmentTable[[#This Row],[Storage Location]] = "Assigned to Employee", _xlpm.emp, "N/A"))</f>
        <v>N/A</v>
      </c>
      <c r="O745" s="161" t="str" cm="1">
        <f t="array" ref="O74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4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45" s="1" t="s">
        <v>312</v>
      </c>
      <c r="S745" s="1" t="s">
        <v>319</v>
      </c>
    </row>
    <row r="746" spans="1:19" s="1" customFormat="1" hidden="1" x14ac:dyDescent="0.2">
      <c r="A746" s="155">
        <v>806</v>
      </c>
      <c r="B746" s="1" t="s">
        <v>340</v>
      </c>
      <c r="C746" s="1" t="s">
        <v>478</v>
      </c>
      <c r="D746" s="1" t="s">
        <v>479</v>
      </c>
      <c r="E746" s="1" t="s">
        <v>306</v>
      </c>
      <c r="F746" s="195"/>
      <c r="G746" s="1" t="str">
        <f>_xlfn.XLOOKUP(ITEquipmentTable[[#This Row],[Name]], IntuneData[Device name], IntuneData[Serial number], "")</f>
        <v/>
      </c>
      <c r="H746" s="1" t="s">
        <v>295</v>
      </c>
      <c r="I746" s="189" t="s">
        <v>919</v>
      </c>
      <c r="K746" s="154" t="s">
        <v>786</v>
      </c>
      <c r="L746" s="1" t="str">
        <f>_xlfn.LET(
_xlpm.look, _xlfn.XLOOKUP(ITEquipmentTable[[#This Row],[Name]], VNCTable[ClientName], VNCTable[IP], ""),
_xlpm.chkk, IF(ITEquipmentTable[[#This Row],[IPv4 Address]] = "N/A", "N/A", _xlpm.look),
IF(ITEquipmentTable[[#This Row],[Name]] = "", "", _xlpm.chkk))</f>
        <v/>
      </c>
      <c r="N746" s="159" t="str">
        <f>_xlfn.LET(_xlpm.emp, IF(_xlfn.XLOOKUP(ITEquipmentTable[[#This Row],[Assigned Employee]], EmployeeTable[name], EmployeeTable[Active], TRUE), "Employee", "Recover"),
IF(ITEquipmentTable[[#This Row],[Storage Location]] = "Assigned to Employee", _xlpm.emp, "N/A"))</f>
        <v>N/A</v>
      </c>
      <c r="O746" s="159" t="str" cm="1">
        <f t="array" ref="O74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4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46" s="1" t="s">
        <v>312</v>
      </c>
      <c r="S746" s="1" t="s">
        <v>319</v>
      </c>
    </row>
    <row r="747" spans="1:19" s="1" customFormat="1" hidden="1" x14ac:dyDescent="0.2">
      <c r="A747" s="155">
        <v>807</v>
      </c>
      <c r="B747" s="1" t="s">
        <v>340</v>
      </c>
      <c r="C747" s="1" t="s">
        <v>478</v>
      </c>
      <c r="D747" s="1" t="s">
        <v>479</v>
      </c>
      <c r="E747" s="1" t="s">
        <v>306</v>
      </c>
      <c r="F747" s="195"/>
      <c r="G747" s="1" t="str">
        <f>_xlfn.XLOOKUP(ITEquipmentTable[[#This Row],[Name]], IntuneData[Device name], IntuneData[Serial number], "")</f>
        <v/>
      </c>
      <c r="H747" s="1" t="s">
        <v>295</v>
      </c>
      <c r="I747" s="189" t="s">
        <v>924</v>
      </c>
      <c r="K747" s="154" t="s">
        <v>786</v>
      </c>
      <c r="L747" s="1" t="str">
        <f>_xlfn.LET(
_xlpm.look, _xlfn.XLOOKUP(ITEquipmentTable[[#This Row],[Name]], VNCTable[ClientName], VNCTable[IP], ""),
_xlpm.chkk, IF(ITEquipmentTable[[#This Row],[IPv4 Address]] = "N/A", "N/A", _xlpm.look),
IF(ITEquipmentTable[[#This Row],[Name]] = "", "", _xlpm.chkk))</f>
        <v/>
      </c>
      <c r="N747" s="159" t="str">
        <f>_xlfn.LET(_xlpm.emp, IF(_xlfn.XLOOKUP(ITEquipmentTable[[#This Row],[Assigned Employee]], EmployeeTable[name], EmployeeTable[Active], TRUE), "Employee", "Recover"),
IF(ITEquipmentTable[[#This Row],[Storage Location]] = "Assigned to Employee", _xlpm.emp, "N/A"))</f>
        <v>N/A</v>
      </c>
      <c r="O747" s="159" t="str" cm="1">
        <f t="array" ref="O74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4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47" s="1" t="s">
        <v>312</v>
      </c>
      <c r="S747" s="1" t="s">
        <v>319</v>
      </c>
    </row>
    <row r="748" spans="1:19" s="1" customFormat="1" hidden="1" x14ac:dyDescent="0.2">
      <c r="A748" s="155">
        <v>808</v>
      </c>
      <c r="B748" s="1" t="s">
        <v>340</v>
      </c>
      <c r="C748" s="1" t="s">
        <v>478</v>
      </c>
      <c r="D748" s="1" t="s">
        <v>479</v>
      </c>
      <c r="E748" s="1" t="s">
        <v>306</v>
      </c>
      <c r="F748" s="195"/>
      <c r="G748" s="1" t="str">
        <f>_xlfn.XLOOKUP(ITEquipmentTable[[#This Row],[Name]], IntuneData[Device name], IntuneData[Serial number], "")</f>
        <v/>
      </c>
      <c r="H748" s="1" t="s">
        <v>295</v>
      </c>
      <c r="I748" s="189" t="s">
        <v>929</v>
      </c>
      <c r="K748" s="154" t="s">
        <v>786</v>
      </c>
      <c r="L748" s="1" t="str">
        <f>_xlfn.LET(
_xlpm.look, _xlfn.XLOOKUP(ITEquipmentTable[[#This Row],[Name]], VNCTable[ClientName], VNCTable[IP], ""),
_xlpm.chkk, IF(ITEquipmentTable[[#This Row],[IPv4 Address]] = "N/A", "N/A", _xlpm.look),
IF(ITEquipmentTable[[#This Row],[Name]] = "", "", _xlpm.chkk))</f>
        <v/>
      </c>
      <c r="N748" s="159" t="str">
        <f>_xlfn.LET(_xlpm.emp, IF(_xlfn.XLOOKUP(ITEquipmentTable[[#This Row],[Assigned Employee]], EmployeeTable[name], EmployeeTable[Active], TRUE), "Employee", "Recover"),
IF(ITEquipmentTable[[#This Row],[Storage Location]] = "Assigned to Employee", _xlpm.emp, "N/A"))</f>
        <v>N/A</v>
      </c>
      <c r="O748" s="159" t="str" cm="1">
        <f t="array" ref="O74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4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48" s="1" t="s">
        <v>312</v>
      </c>
      <c r="S748" s="1" t="s">
        <v>319</v>
      </c>
    </row>
    <row r="749" spans="1:19" s="1" customFormat="1" hidden="1" x14ac:dyDescent="0.2">
      <c r="A749" s="155">
        <v>809</v>
      </c>
      <c r="B749" s="1" t="s">
        <v>340</v>
      </c>
      <c r="C749" s="1" t="s">
        <v>478</v>
      </c>
      <c r="D749" s="1" t="s">
        <v>479</v>
      </c>
      <c r="E749" s="1" t="s">
        <v>306</v>
      </c>
      <c r="F749" s="195"/>
      <c r="G749" s="1" t="str">
        <f>_xlfn.XLOOKUP(ITEquipmentTable[[#This Row],[Name]], IntuneData[Device name], IntuneData[Serial number], "")</f>
        <v/>
      </c>
      <c r="H749" s="1" t="s">
        <v>295</v>
      </c>
      <c r="I749" s="1" t="s">
        <v>947</v>
      </c>
      <c r="K749" s="154" t="s">
        <v>786</v>
      </c>
      <c r="L749" s="1" t="str">
        <f>_xlfn.LET(
_xlpm.look, _xlfn.XLOOKUP(ITEquipmentTable[[#This Row],[Name]], VNCTable[ClientName], VNCTable[IP], ""),
_xlpm.chkk, IF(ITEquipmentTable[[#This Row],[IPv4 Address]] = "N/A", "N/A", _xlpm.look),
IF(ITEquipmentTable[[#This Row],[Name]] = "", "", _xlpm.chkk))</f>
        <v/>
      </c>
      <c r="N749" s="159" t="str">
        <f>_xlfn.LET(_xlpm.emp, IF(_xlfn.XLOOKUP(ITEquipmentTable[[#This Row],[Assigned Employee]], EmployeeTable[name], EmployeeTable[Active], TRUE), "Employee", "Recover"),
IF(ITEquipmentTable[[#This Row],[Storage Location]] = "Assigned to Employee", _xlpm.emp, "N/A"))</f>
        <v>N/A</v>
      </c>
      <c r="O749" s="159" t="str" cm="1">
        <f t="array" ref="O74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4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49" s="1" t="s">
        <v>312</v>
      </c>
      <c r="S749" s="1" t="s">
        <v>319</v>
      </c>
    </row>
    <row r="750" spans="1:19" s="1" customFormat="1" hidden="1" x14ac:dyDescent="0.2">
      <c r="A750" s="155">
        <v>810</v>
      </c>
      <c r="B750" s="1" t="s">
        <v>340</v>
      </c>
      <c r="C750" s="1" t="s">
        <v>478</v>
      </c>
      <c r="D750" s="1" t="s">
        <v>479</v>
      </c>
      <c r="E750" s="1" t="s">
        <v>306</v>
      </c>
      <c r="F750" s="195"/>
      <c r="G750" s="1" t="str">
        <f>_xlfn.XLOOKUP(ITEquipmentTable[[#This Row],[Name]], IntuneData[Device name], IntuneData[Serial number], "")</f>
        <v/>
      </c>
      <c r="H750" s="1" t="s">
        <v>295</v>
      </c>
      <c r="I750" s="1" t="s">
        <v>899</v>
      </c>
      <c r="K750" s="154" t="s">
        <v>900</v>
      </c>
      <c r="L750" s="1" t="str">
        <f>_xlfn.LET(
_xlpm.look, _xlfn.XLOOKUP(ITEquipmentTable[[#This Row],[Name]], VNCTable[ClientName], VNCTable[IP], ""),
_xlpm.chkk, IF(ITEquipmentTable[[#This Row],[IPv4 Address]] = "N/A", "N/A", _xlpm.look),
IF(ITEquipmentTable[[#This Row],[Name]] = "", "", _xlpm.chkk))</f>
        <v/>
      </c>
      <c r="N750" s="159" t="str">
        <f>_xlfn.LET(_xlpm.emp, IF(_xlfn.XLOOKUP(ITEquipmentTable[[#This Row],[Assigned Employee]], EmployeeTable[name], EmployeeTable[Active], TRUE), "Employee", "Recover"),
IF(ITEquipmentTable[[#This Row],[Storage Location]] = "Assigned to Employee", _xlpm.emp, "N/A"))</f>
        <v>N/A</v>
      </c>
      <c r="O750" s="159" t="str" cm="1">
        <f t="array" ref="O75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5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50" s="1" t="s">
        <v>312</v>
      </c>
      <c r="S750" s="1" t="s">
        <v>319</v>
      </c>
    </row>
    <row r="751" spans="1:19" s="1" customFormat="1" hidden="1" x14ac:dyDescent="0.2">
      <c r="A751" s="155">
        <v>811</v>
      </c>
      <c r="B751" s="1" t="s">
        <v>340</v>
      </c>
      <c r="C751" s="1" t="s">
        <v>478</v>
      </c>
      <c r="D751" s="1" t="s">
        <v>479</v>
      </c>
      <c r="E751" s="1" t="s">
        <v>306</v>
      </c>
      <c r="F751" s="195"/>
      <c r="G751" s="1" t="str">
        <f>_xlfn.XLOOKUP(ITEquipmentTable[[#This Row],[Name]], IntuneData[Device name], IntuneData[Serial number], "")</f>
        <v/>
      </c>
      <c r="H751" s="1" t="s">
        <v>295</v>
      </c>
      <c r="I751" s="1" t="s">
        <v>904</v>
      </c>
      <c r="K751" s="154" t="s">
        <v>905</v>
      </c>
      <c r="L751" s="1" t="str">
        <f>_xlfn.LET(
_xlpm.look, _xlfn.XLOOKUP(ITEquipmentTable[[#This Row],[Name]], VNCTable[ClientName], VNCTable[IP], ""),
_xlpm.chkk, IF(ITEquipmentTable[[#This Row],[IPv4 Address]] = "N/A", "N/A", _xlpm.look),
IF(ITEquipmentTable[[#This Row],[Name]] = "", "", _xlpm.chkk))</f>
        <v/>
      </c>
      <c r="N751" s="159" t="str">
        <f>_xlfn.LET(_xlpm.emp, IF(_xlfn.XLOOKUP(ITEquipmentTable[[#This Row],[Assigned Employee]], EmployeeTable[name], EmployeeTable[Active], TRUE), "Employee", "Recover"),
IF(ITEquipmentTable[[#This Row],[Storage Location]] = "Assigned to Employee", _xlpm.emp, "N/A"))</f>
        <v>N/A</v>
      </c>
      <c r="O751" s="159" t="str" cm="1">
        <f t="array" ref="O75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5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51" s="1" t="s">
        <v>312</v>
      </c>
      <c r="S751" s="1" t="s">
        <v>319</v>
      </c>
    </row>
    <row r="752" spans="1:19" s="1" customFormat="1" hidden="1" x14ac:dyDescent="0.2">
      <c r="A752" s="155">
        <v>812</v>
      </c>
      <c r="B752" s="1" t="s">
        <v>340</v>
      </c>
      <c r="C752" s="1" t="s">
        <v>478</v>
      </c>
      <c r="D752" s="1" t="s">
        <v>479</v>
      </c>
      <c r="E752" s="1" t="s">
        <v>306</v>
      </c>
      <c r="F752" s="195"/>
      <c r="G752" s="1" t="str">
        <f>_xlfn.XLOOKUP(ITEquipmentTable[[#This Row],[Name]], IntuneData[Device name], IntuneData[Serial number], "")</f>
        <v/>
      </c>
      <c r="H752" s="1" t="s">
        <v>295</v>
      </c>
      <c r="I752" s="1" t="s">
        <v>911</v>
      </c>
      <c r="K752" s="154" t="s">
        <v>912</v>
      </c>
      <c r="L752" s="1" t="str">
        <f>_xlfn.LET(
_xlpm.look, _xlfn.XLOOKUP(ITEquipmentTable[[#This Row],[Name]], VNCTable[ClientName], VNCTable[IP], ""),
_xlpm.chkk, IF(ITEquipmentTable[[#This Row],[IPv4 Address]] = "N/A", "N/A", _xlpm.look),
IF(ITEquipmentTable[[#This Row],[Name]] = "", "", _xlpm.chkk))</f>
        <v/>
      </c>
      <c r="N752" s="159" t="str">
        <f>_xlfn.LET(_xlpm.emp, IF(_xlfn.XLOOKUP(ITEquipmentTable[[#This Row],[Assigned Employee]], EmployeeTable[name], EmployeeTable[Active], TRUE), "Employee", "Recover"),
IF(ITEquipmentTable[[#This Row],[Storage Location]] = "Assigned to Employee", _xlpm.emp, "N/A"))</f>
        <v>N/A</v>
      </c>
      <c r="O752" s="159" t="str" cm="1">
        <f t="array" ref="O75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5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52" s="1" t="s">
        <v>312</v>
      </c>
      <c r="S752" s="1" t="s">
        <v>319</v>
      </c>
    </row>
    <row r="753" spans="1:19" s="1" customFormat="1" hidden="1" x14ac:dyDescent="0.2">
      <c r="A753" s="155">
        <v>813</v>
      </c>
      <c r="B753" s="1" t="s">
        <v>340</v>
      </c>
      <c r="C753" s="1" t="s">
        <v>478</v>
      </c>
      <c r="D753" s="1" t="s">
        <v>479</v>
      </c>
      <c r="E753" s="1" t="s">
        <v>306</v>
      </c>
      <c r="F753" s="195"/>
      <c r="G753" s="164" t="str">
        <f>_xlfn.XLOOKUP(ITEquipmentTable[[#This Row],[Name]], IntuneData[Device name], IntuneData[Serial number], "")</f>
        <v/>
      </c>
      <c r="H753" s="1" t="s">
        <v>295</v>
      </c>
      <c r="I753" s="1" t="s">
        <v>821</v>
      </c>
      <c r="K753" s="154" t="s">
        <v>822</v>
      </c>
      <c r="L753" s="164" t="str">
        <f>_xlfn.LET(
_xlpm.look, _xlfn.XLOOKUP(ITEquipmentTable[[#This Row],[Name]], VNCTable[ClientName], VNCTable[IP], ""),
_xlpm.chkk, IF(ITEquipmentTable[[#This Row],[IPv4 Address]] = "N/A", "N/A", _xlpm.look),
IF(ITEquipmentTable[[#This Row],[Name]] = "", "", _xlpm.chkk))</f>
        <v/>
      </c>
      <c r="N753" s="159" t="str">
        <f>_xlfn.LET(_xlpm.emp, IF(_xlfn.XLOOKUP(ITEquipmentTable[[#This Row],[Assigned Employee]], EmployeeTable[name], EmployeeTable[Active], TRUE), "Employee", "Recover"),
IF(ITEquipmentTable[[#This Row],[Storage Location]] = "Assigned to Employee", _xlpm.emp, "N/A"))</f>
        <v>N/A</v>
      </c>
      <c r="O753" s="159" t="str" cm="1">
        <f t="array" ref="O75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5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53" s="1" t="s">
        <v>312</v>
      </c>
      <c r="S753" s="1" t="s">
        <v>319</v>
      </c>
    </row>
    <row r="754" spans="1:19" s="1" customFormat="1" hidden="1" x14ac:dyDescent="0.2">
      <c r="A754" s="155">
        <v>814</v>
      </c>
      <c r="B754" s="1" t="s">
        <v>340</v>
      </c>
      <c r="C754" s="1" t="s">
        <v>478</v>
      </c>
      <c r="D754" s="1" t="s">
        <v>479</v>
      </c>
      <c r="E754" s="1" t="s">
        <v>306</v>
      </c>
      <c r="F754" s="195"/>
      <c r="G754" s="164" t="str">
        <f>_xlfn.XLOOKUP(ITEquipmentTable[[#This Row],[Name]], IntuneData[Device name], IntuneData[Serial number], "")</f>
        <v/>
      </c>
      <c r="H754" s="1" t="s">
        <v>295</v>
      </c>
      <c r="I754" s="1" t="s">
        <v>827</v>
      </c>
      <c r="K754" s="154" t="s">
        <v>828</v>
      </c>
      <c r="L754" s="164" t="str">
        <f>_xlfn.LET(
_xlpm.look, _xlfn.XLOOKUP(ITEquipmentTable[[#This Row],[Name]], VNCTable[ClientName], VNCTable[IP], ""),
_xlpm.chkk, IF(ITEquipmentTable[[#This Row],[IPv4 Address]] = "N/A", "N/A", _xlpm.look),
IF(ITEquipmentTable[[#This Row],[Name]] = "", "", _xlpm.chkk))</f>
        <v/>
      </c>
      <c r="N754" s="159" t="str">
        <f>_xlfn.LET(_xlpm.emp, IF(_xlfn.XLOOKUP(ITEquipmentTable[[#This Row],[Assigned Employee]], EmployeeTable[name], EmployeeTable[Active], TRUE), "Employee", "Recover"),
IF(ITEquipmentTable[[#This Row],[Storage Location]] = "Assigned to Employee", _xlpm.emp, "N/A"))</f>
        <v>N/A</v>
      </c>
      <c r="O754" s="159" t="str" cm="1">
        <f t="array" ref="O75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5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54" s="1" t="s">
        <v>312</v>
      </c>
      <c r="S754" s="1" t="s">
        <v>319</v>
      </c>
    </row>
    <row r="755" spans="1:19" s="1" customFormat="1" hidden="1" x14ac:dyDescent="0.2">
      <c r="A755" s="155">
        <v>815</v>
      </c>
      <c r="B755" s="1" t="s">
        <v>340</v>
      </c>
      <c r="C755" s="1" t="s">
        <v>478</v>
      </c>
      <c r="D755" s="1" t="s">
        <v>479</v>
      </c>
      <c r="E755" s="1" t="s">
        <v>306</v>
      </c>
      <c r="F755" s="195" t="s">
        <v>840</v>
      </c>
      <c r="G755" s="164" t="str">
        <f>_xlfn.XLOOKUP(ITEquipmentTable[[#This Row],[Name]], IntuneData[Device name], IntuneData[Serial number], "")</f>
        <v/>
      </c>
      <c r="H755" s="1" t="s">
        <v>295</v>
      </c>
      <c r="I755" s="1" t="s">
        <v>841</v>
      </c>
      <c r="K755" s="154" t="s">
        <v>842</v>
      </c>
      <c r="L755" s="164" t="str">
        <f>_xlfn.LET(
_xlpm.look, _xlfn.XLOOKUP(ITEquipmentTable[[#This Row],[Name]], VNCTable[ClientName], VNCTable[IP], ""),
_xlpm.chkk, IF(ITEquipmentTable[[#This Row],[IPv4 Address]] = "N/A", "N/A", _xlpm.look),
IF(ITEquipmentTable[[#This Row],[Name]] = "", "", _xlpm.chkk))</f>
        <v/>
      </c>
      <c r="N755" s="159" t="str">
        <f>_xlfn.LET(_xlpm.emp, IF(_xlfn.XLOOKUP(ITEquipmentTable[[#This Row],[Assigned Employee]], EmployeeTable[name], EmployeeTable[Active], TRUE), "Employee", "Recover"),
IF(ITEquipmentTable[[#This Row],[Storage Location]] = "Assigned to Employee", _xlpm.emp, "N/A"))</f>
        <v>N/A</v>
      </c>
      <c r="O755" s="159" t="str" cm="1">
        <f t="array" ref="O75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5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755" s="1" t="s">
        <v>312</v>
      </c>
    </row>
    <row r="756" spans="1:19" s="1" customFormat="1" hidden="1" x14ac:dyDescent="0.2">
      <c r="A756" s="155">
        <v>816</v>
      </c>
      <c r="B756" s="1" t="s">
        <v>340</v>
      </c>
      <c r="C756" s="1" t="s">
        <v>478</v>
      </c>
      <c r="D756" s="1" t="s">
        <v>479</v>
      </c>
      <c r="E756" s="1" t="s">
        <v>306</v>
      </c>
      <c r="F756" s="195"/>
      <c r="G756" s="1" t="str">
        <f>_xlfn.XLOOKUP(ITEquipmentTable[[#This Row],[Name]], IntuneData[Device name], IntuneData[Serial number], "")</f>
        <v/>
      </c>
      <c r="H756" s="1" t="s">
        <v>295</v>
      </c>
      <c r="I756" s="1" t="s">
        <v>847</v>
      </c>
      <c r="K756" s="154"/>
      <c r="L756" s="1" t="str">
        <f>_xlfn.LET(
_xlpm.look, _xlfn.XLOOKUP(ITEquipmentTable[[#This Row],[Name]], VNCTable[ClientName], VNCTable[IP], ""),
_xlpm.chkk, IF(ITEquipmentTable[[#This Row],[IPv4 Address]] = "N/A", "N/A", _xlpm.look),
IF(ITEquipmentTable[[#This Row],[Name]] = "", "", _xlpm.chkk))</f>
        <v/>
      </c>
      <c r="N756" s="159" t="str">
        <f>_xlfn.LET(_xlpm.emp, IF(_xlfn.XLOOKUP(ITEquipmentTable[[#This Row],[Assigned Employee]], EmployeeTable[name], EmployeeTable[Active], TRUE), "Employee", "Recover"),
IF(ITEquipmentTable[[#This Row],[Storage Location]] = "Assigned to Employee", _xlpm.emp, "N/A"))</f>
        <v>N/A</v>
      </c>
      <c r="O756" s="159" t="str" cm="1">
        <f t="array" ref="O75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5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56" s="1" t="s">
        <v>312</v>
      </c>
      <c r="S756" s="1" t="s">
        <v>319</v>
      </c>
    </row>
    <row r="757" spans="1:19" s="1" customFormat="1" hidden="1" x14ac:dyDescent="0.2">
      <c r="A757" s="155">
        <v>817</v>
      </c>
      <c r="B757" s="1" t="s">
        <v>340</v>
      </c>
      <c r="C757" s="1" t="s">
        <v>478</v>
      </c>
      <c r="D757" s="1" t="s">
        <v>479</v>
      </c>
      <c r="E757" s="1" t="s">
        <v>306</v>
      </c>
      <c r="F757" s="195"/>
      <c r="G757" s="164" t="str">
        <f>_xlfn.XLOOKUP(ITEquipmentTable[[#This Row],[Name]], IntuneData[Device name], IntuneData[Serial number], "")</f>
        <v/>
      </c>
      <c r="H757" s="1" t="s">
        <v>295</v>
      </c>
      <c r="I757" s="1" t="s">
        <v>849</v>
      </c>
      <c r="K757" s="154"/>
      <c r="L757" s="164" t="str">
        <f>_xlfn.LET(
_xlpm.look, _xlfn.XLOOKUP(ITEquipmentTable[[#This Row],[Name]], VNCTable[ClientName], VNCTable[IP], ""),
_xlpm.chkk, IF(ITEquipmentTable[[#This Row],[IPv4 Address]] = "N/A", "N/A", _xlpm.look),
IF(ITEquipmentTable[[#This Row],[Name]] = "", "", _xlpm.chkk))</f>
        <v/>
      </c>
      <c r="N757" s="159" t="str">
        <f>_xlfn.LET(_xlpm.emp, IF(_xlfn.XLOOKUP(ITEquipmentTable[[#This Row],[Assigned Employee]], EmployeeTable[name], EmployeeTable[Active], TRUE), "Employee", "Recover"),
IF(ITEquipmentTable[[#This Row],[Storage Location]] = "Assigned to Employee", _xlpm.emp, "N/A"))</f>
        <v>N/A</v>
      </c>
      <c r="O757" s="159" t="str" cm="1">
        <f t="array" ref="O75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5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57" s="1" t="s">
        <v>312</v>
      </c>
      <c r="S757" s="1" t="s">
        <v>319</v>
      </c>
    </row>
    <row r="758" spans="1:19" s="1" customFormat="1" hidden="1" x14ac:dyDescent="0.2">
      <c r="A758" s="155">
        <v>818</v>
      </c>
      <c r="B758" s="1" t="s">
        <v>340</v>
      </c>
      <c r="C758" s="1" t="s">
        <v>478</v>
      </c>
      <c r="D758" s="1" t="s">
        <v>479</v>
      </c>
      <c r="E758" s="1" t="s">
        <v>306</v>
      </c>
      <c r="F758" s="195"/>
      <c r="G758" s="164" t="str">
        <f>_xlfn.XLOOKUP(ITEquipmentTable[[#This Row],[Name]], IntuneData[Device name], IntuneData[Serial number], "")</f>
        <v/>
      </c>
      <c r="H758" s="1" t="s">
        <v>295</v>
      </c>
      <c r="I758" s="1" t="s">
        <v>870</v>
      </c>
      <c r="K758" s="154"/>
      <c r="L758" s="164" t="str">
        <f>_xlfn.LET(
_xlpm.look, _xlfn.XLOOKUP(ITEquipmentTable[[#This Row],[Name]], VNCTable[ClientName], VNCTable[IP], ""),
_xlpm.chkk, IF(ITEquipmentTable[[#This Row],[IPv4 Address]] = "N/A", "N/A", _xlpm.look),
IF(ITEquipmentTable[[#This Row],[Name]] = "", "", _xlpm.chkk))</f>
        <v/>
      </c>
      <c r="N758" s="159" t="str">
        <f>_xlfn.LET(_xlpm.emp, IF(_xlfn.XLOOKUP(ITEquipmentTable[[#This Row],[Assigned Employee]], EmployeeTable[name], EmployeeTable[Active], TRUE), "Employee", "Recover"),
IF(ITEquipmentTable[[#This Row],[Storage Location]] = "Assigned to Employee", _xlpm.emp, "N/A"))</f>
        <v>N/A</v>
      </c>
      <c r="O758" s="159" t="str" cm="1">
        <f t="array" ref="O75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5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58" s="1" t="s">
        <v>312</v>
      </c>
      <c r="S758" s="1" t="s">
        <v>319</v>
      </c>
    </row>
    <row r="759" spans="1:19" s="1" customFormat="1" hidden="1" x14ac:dyDescent="0.2">
      <c r="A759" s="155">
        <v>819</v>
      </c>
      <c r="B759" s="1" t="s">
        <v>340</v>
      </c>
      <c r="C759" s="1" t="s">
        <v>478</v>
      </c>
      <c r="D759" s="1" t="s">
        <v>479</v>
      </c>
      <c r="E759" s="1" t="s">
        <v>306</v>
      </c>
      <c r="F759" s="195"/>
      <c r="G759" s="164" t="str">
        <f>_xlfn.XLOOKUP(ITEquipmentTable[[#This Row],[Name]], IntuneData[Device name], IntuneData[Serial number], "")</f>
        <v/>
      </c>
      <c r="H759" s="1" t="s">
        <v>295</v>
      </c>
      <c r="I759" s="1" t="s">
        <v>874</v>
      </c>
      <c r="K759" s="154"/>
      <c r="L759" s="164" t="str">
        <f>_xlfn.LET(
_xlpm.look, _xlfn.XLOOKUP(ITEquipmentTable[[#This Row],[Name]], VNCTable[ClientName], VNCTable[IP], ""),
_xlpm.chkk, IF(ITEquipmentTable[[#This Row],[IPv4 Address]] = "N/A", "N/A", _xlpm.look),
IF(ITEquipmentTable[[#This Row],[Name]] = "", "", _xlpm.chkk))</f>
        <v/>
      </c>
      <c r="N759" s="159" t="str">
        <f>_xlfn.LET(_xlpm.emp, IF(_xlfn.XLOOKUP(ITEquipmentTable[[#This Row],[Assigned Employee]], EmployeeTable[name], EmployeeTable[Active], TRUE), "Employee", "Recover"),
IF(ITEquipmentTable[[#This Row],[Storage Location]] = "Assigned to Employee", _xlpm.emp, "N/A"))</f>
        <v>N/A</v>
      </c>
      <c r="O759" s="159" t="str" cm="1">
        <f t="array" ref="O75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5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59" s="1" t="s">
        <v>312</v>
      </c>
      <c r="S759" s="1" t="s">
        <v>319</v>
      </c>
    </row>
    <row r="760" spans="1:19" s="1" customFormat="1" hidden="1" x14ac:dyDescent="0.2">
      <c r="A760" s="155">
        <v>822</v>
      </c>
      <c r="B760" s="1" t="s">
        <v>340</v>
      </c>
      <c r="C760" s="1" t="s">
        <v>514</v>
      </c>
      <c r="D760" s="1" t="s">
        <v>671</v>
      </c>
      <c r="E760" s="1" t="s">
        <v>306</v>
      </c>
      <c r="F760" s="195" t="s">
        <v>844</v>
      </c>
      <c r="G760" s="164" t="str">
        <f>_xlfn.XLOOKUP(ITEquipmentTable[[#This Row],[Name]], IntuneData[Device name], IntuneData[Serial number], "")</f>
        <v/>
      </c>
      <c r="H760" s="1" t="s">
        <v>295</v>
      </c>
      <c r="I760" s="1" t="s">
        <v>841</v>
      </c>
      <c r="K760" s="154" t="s">
        <v>845</v>
      </c>
      <c r="L760" s="164" t="str">
        <f>_xlfn.LET(
_xlpm.look, _xlfn.XLOOKUP(ITEquipmentTable[[#This Row],[Name]], VNCTable[ClientName], VNCTable[IP], ""),
_xlpm.chkk, IF(ITEquipmentTable[[#This Row],[IPv4 Address]] = "N/A", "N/A", _xlpm.look),
IF(ITEquipmentTable[[#This Row],[Name]] = "", "", _xlpm.chkk))</f>
        <v/>
      </c>
      <c r="N760" s="159" t="str">
        <f>_xlfn.LET(_xlpm.emp, IF(_xlfn.XLOOKUP(ITEquipmentTable[[#This Row],[Assigned Employee]], EmployeeTable[name], EmployeeTable[Active], TRUE), "Employee", "Recover"),
IF(ITEquipmentTable[[#This Row],[Storage Location]] = "Assigned to Employee", _xlpm.emp, "N/A"))</f>
        <v>N/A</v>
      </c>
      <c r="O760" s="161" t="str" cm="1">
        <f t="array" ref="O76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6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760" s="1" t="s">
        <v>312</v>
      </c>
    </row>
    <row r="761" spans="1:19" s="1" customFormat="1" hidden="1" x14ac:dyDescent="0.2">
      <c r="A761" s="155">
        <v>823</v>
      </c>
      <c r="B761" s="1" t="s">
        <v>402</v>
      </c>
      <c r="C761" s="1" t="s">
        <v>403</v>
      </c>
      <c r="D761" s="1" t="s">
        <v>408</v>
      </c>
      <c r="E761" s="1" t="s">
        <v>331</v>
      </c>
      <c r="F761" s="195"/>
      <c r="G761" s="164" t="str">
        <f>_xlfn.XLOOKUP(ITEquipmentTable[[#This Row],[Name]], IntuneData[Device name], IntuneData[Serial number], "")</f>
        <v/>
      </c>
      <c r="H761" s="1" t="s">
        <v>295</v>
      </c>
      <c r="I761" s="1" t="s">
        <v>409</v>
      </c>
      <c r="K761" s="154" t="s">
        <v>410</v>
      </c>
      <c r="L761" s="164" t="str">
        <f>_xlfn.LET(
_xlpm.look, _xlfn.XLOOKUP(ITEquipmentTable[[#This Row],[Name]], VNCTable[ClientName], VNCTable[IP], ""),
_xlpm.chkk, IF(ITEquipmentTable[[#This Row],[IPv4 Address]] = "N/A", "N/A", _xlpm.look),
IF(ITEquipmentTable[[#This Row],[Name]] = "", "", _xlpm.chkk))</f>
        <v/>
      </c>
      <c r="N761" s="159" t="str">
        <f>_xlfn.LET(_xlpm.emp, IF(_xlfn.XLOOKUP(ITEquipmentTable[[#This Row],[Assigned Employee]], EmployeeTable[name], EmployeeTable[Active], TRUE), "Employee", "Recover"),
IF(ITEquipmentTable[[#This Row],[Storage Location]] = "Assigned to Employee", _xlpm.emp, "N/A"))</f>
        <v>N/A</v>
      </c>
      <c r="O761" s="161" t="str" cm="1">
        <f t="array" ref="O76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61"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761" s="1" t="s">
        <v>312</v>
      </c>
    </row>
    <row r="762" spans="1:19" s="1" customFormat="1" hidden="1" x14ac:dyDescent="0.2">
      <c r="A762" s="155">
        <v>824</v>
      </c>
      <c r="B762" s="1" t="s">
        <v>340</v>
      </c>
      <c r="C762" s="1" t="s">
        <v>679</v>
      </c>
      <c r="D762" s="1" t="s">
        <v>680</v>
      </c>
      <c r="E762" s="1" t="s">
        <v>325</v>
      </c>
      <c r="F762" s="195"/>
      <c r="G762" s="1" t="str">
        <f>_xlfn.XLOOKUP(ITEquipmentTable[[#This Row],[Name]], IntuneData[Device name], IntuneData[Serial number], "")</f>
        <v/>
      </c>
      <c r="H762" s="1" t="s">
        <v>295</v>
      </c>
      <c r="I762" s="1" t="s">
        <v>681</v>
      </c>
      <c r="K762" s="154"/>
      <c r="L762" s="1" t="str">
        <f>_xlfn.LET(
_xlpm.look, _xlfn.XLOOKUP(ITEquipmentTable[[#This Row],[Name]], VNCTable[ClientName], VNCTable[IP], ""),
_xlpm.chkk, IF(ITEquipmentTable[[#This Row],[IPv4 Address]] = "N/A", "N/A", _xlpm.look),
IF(ITEquipmentTable[[#This Row],[Name]] = "", "", _xlpm.chkk))</f>
        <v/>
      </c>
      <c r="N762" s="159" t="str">
        <f>_xlfn.LET(_xlpm.emp, IF(_xlfn.XLOOKUP(ITEquipmentTable[[#This Row],[Assigned Employee]], EmployeeTable[name], EmployeeTable[Active], TRUE), "Employee", "Recover"),
IF(ITEquipmentTable[[#This Row],[Storage Location]] = "Assigned to Employee", _xlpm.emp, "N/A"))</f>
        <v>N/A</v>
      </c>
      <c r="O762" s="161" t="str" cm="1">
        <f t="array" ref="O76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62"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62" s="1" t="s">
        <v>312</v>
      </c>
      <c r="S762" s="1" t="s">
        <v>319</v>
      </c>
    </row>
    <row r="763" spans="1:19" s="1" customFormat="1" hidden="1" x14ac:dyDescent="0.2">
      <c r="A763" s="155">
        <v>825</v>
      </c>
      <c r="B763" s="1" t="s">
        <v>340</v>
      </c>
      <c r="C763" s="1" t="s">
        <v>679</v>
      </c>
      <c r="D763" s="1" t="s">
        <v>680</v>
      </c>
      <c r="E763" s="1" t="s">
        <v>325</v>
      </c>
      <c r="F763" s="195"/>
      <c r="G763" s="1" t="str">
        <f>_xlfn.XLOOKUP(ITEquipmentTable[[#This Row],[Name]], IntuneData[Device name], IntuneData[Serial number], "")</f>
        <v/>
      </c>
      <c r="H763" s="1" t="s">
        <v>295</v>
      </c>
      <c r="I763" s="1" t="s">
        <v>681</v>
      </c>
      <c r="K763" s="154"/>
      <c r="L763" s="1" t="str">
        <f>_xlfn.LET(
_xlpm.look, _xlfn.XLOOKUP(ITEquipmentTable[[#This Row],[Name]], VNCTable[ClientName], VNCTable[IP], ""),
_xlpm.chkk, IF(ITEquipmentTable[[#This Row],[IPv4 Address]] = "N/A", "N/A", _xlpm.look),
IF(ITEquipmentTable[[#This Row],[Name]] = "", "", _xlpm.chkk))</f>
        <v/>
      </c>
      <c r="N763" s="159" t="str">
        <f>_xlfn.LET(_xlpm.emp, IF(_xlfn.XLOOKUP(ITEquipmentTable[[#This Row],[Assigned Employee]], EmployeeTable[name], EmployeeTable[Active], TRUE), "Employee", "Recover"),
IF(ITEquipmentTable[[#This Row],[Storage Location]] = "Assigned to Employee", _xlpm.emp, "N/A"))</f>
        <v>N/A</v>
      </c>
      <c r="O763" s="161" t="str" cm="1">
        <f t="array" ref="O763">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63"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63" s="1" t="s">
        <v>312</v>
      </c>
      <c r="S763" s="1" t="s">
        <v>319</v>
      </c>
    </row>
    <row r="764" spans="1:19" s="1" customFormat="1" hidden="1" x14ac:dyDescent="0.2">
      <c r="A764" s="155">
        <v>826</v>
      </c>
      <c r="B764" s="1" t="s">
        <v>340</v>
      </c>
      <c r="C764" s="1" t="s">
        <v>403</v>
      </c>
      <c r="D764" s="1" t="s">
        <v>559</v>
      </c>
      <c r="E764" s="1" t="s">
        <v>306</v>
      </c>
      <c r="F764" s="195"/>
      <c r="G764" s="1" t="str">
        <f>_xlfn.XLOOKUP(ITEquipmentTable[[#This Row],[Name]], IntuneData[Device name], IntuneData[Serial number], "")</f>
        <v/>
      </c>
      <c r="H764" s="1" t="s">
        <v>295</v>
      </c>
      <c r="I764" s="1" t="s">
        <v>560</v>
      </c>
      <c r="K764" s="154"/>
      <c r="L764" s="1" t="str">
        <f>_xlfn.LET(
_xlpm.look, _xlfn.XLOOKUP(ITEquipmentTable[[#This Row],[Name]], VNCTable[ClientName], VNCTable[IP], ""),
_xlpm.chkk, IF(ITEquipmentTable[[#This Row],[IPv4 Address]] = "N/A", "N/A", _xlpm.look),
IF(ITEquipmentTable[[#This Row],[Name]] = "", "", _xlpm.chkk))</f>
        <v/>
      </c>
      <c r="N764" s="159" t="str">
        <f>_xlfn.LET(_xlpm.emp, IF(_xlfn.XLOOKUP(ITEquipmentTable[[#This Row],[Assigned Employee]], EmployeeTable[name], EmployeeTable[Active], TRUE), "Employee", "Recover"),
IF(ITEquipmentTable[[#This Row],[Storage Location]] = "Assigned to Employee", _xlpm.emp, "N/A"))</f>
        <v>N/A</v>
      </c>
      <c r="O764" s="161" t="str" cm="1">
        <f t="array" ref="O764">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64"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64" s="1" t="s">
        <v>324</v>
      </c>
      <c r="S764" s="1" t="s">
        <v>319</v>
      </c>
    </row>
    <row r="765" spans="1:19" s="1" customFormat="1" hidden="1" x14ac:dyDescent="0.2">
      <c r="A765" s="155">
        <v>779</v>
      </c>
      <c r="B765" s="1" t="s">
        <v>304</v>
      </c>
      <c r="C765" s="1" t="s">
        <v>308</v>
      </c>
      <c r="E765" s="1" t="s">
        <v>310</v>
      </c>
      <c r="F765" s="195"/>
      <c r="G765" s="159" t="str">
        <f>_xlfn.XLOOKUP(ITEquipmentTable[[#This Row],[Name]], IntuneData[Device name], IntuneData[Serial number], "")</f>
        <v/>
      </c>
      <c r="H765" s="1" t="s">
        <v>295</v>
      </c>
      <c r="I765" s="1" t="s">
        <v>876</v>
      </c>
      <c r="K765" s="154"/>
      <c r="L765" s="266" t="str">
        <f>_xlfn.LET(
_xlpm.look, _xlfn.XLOOKUP(ITEquipmentTable[[#This Row],[Name]], VNCTable[ClientName], VNCTable[IP], ""),
_xlpm.chkk, IF(ITEquipmentTable[[#This Row],[IPv4 Address]] = "N/A", "N/A", _xlpm.look),
IF(ITEquipmentTable[[#This Row],[Name]] = "", "", _xlpm.chkk))</f>
        <v/>
      </c>
      <c r="N765" s="159" t="str">
        <f>_xlfn.LET(_xlpm.emp, IF(_xlfn.XLOOKUP(ITEquipmentTable[[#This Row],[Assigned Employee]], EmployeeTable[name], EmployeeTable[Active], TRUE), "Employee", "Recover"),
IF(ITEquipmentTable[[#This Row],[Storage Location]] = "Assigned to Employee", _xlpm.emp, "N/A"))</f>
        <v>N/A</v>
      </c>
      <c r="O765" s="161" t="str" cm="1">
        <f t="array" ref="O765">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65"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65" s="1" t="s">
        <v>312</v>
      </c>
      <c r="S765" s="1" t="s">
        <v>313</v>
      </c>
    </row>
    <row r="766" spans="1:19" s="1" customFormat="1" x14ac:dyDescent="0.2">
      <c r="A766" s="155">
        <v>912</v>
      </c>
      <c r="B766" s="1" t="s">
        <v>304</v>
      </c>
      <c r="C766" s="1" t="s">
        <v>403</v>
      </c>
      <c r="D766" s="1" t="s">
        <v>568</v>
      </c>
      <c r="E766" s="1" t="s">
        <v>306</v>
      </c>
      <c r="F766" s="195" t="s">
        <v>1869</v>
      </c>
      <c r="G766" s="266" t="str">
        <f>_xlfn.XLOOKUP(ITEquipmentTable[[#This Row],[Name]], IntuneData[Device name], IntuneData[Serial number], "")</f>
        <v/>
      </c>
      <c r="H766" s="1" t="s">
        <v>318</v>
      </c>
      <c r="K766" s="154" t="s">
        <v>226</v>
      </c>
      <c r="L766" s="266" t="str">
        <f>_xlfn.LET(
_xlpm.look, _xlfn.XLOOKUP(ITEquipmentTable[[#This Row],[Name]], VNCTable[ClientName], VNCTable[IP], ""),
_xlpm.chkk, IF(ITEquipmentTable[[#This Row],[IPv4 Address]] = "N/A", "N/A", _xlpm.look),
IF(ITEquipmentTable[[#This Row],[Name]] = "", "", _xlpm.chkk))</f>
        <v/>
      </c>
      <c r="N766" s="161" t="str">
        <f>_xlfn.LET(_xlpm.emp, IF(_xlfn.XLOOKUP(ITEquipmentTable[[#This Row],[Assigned Employee]], EmployeeTable[name], EmployeeTable[Active], TRUE), "Employee", "Recover"),
IF(ITEquipmentTable[[#This Row],[Storage Location]] = "Assigned to Employee", _xlpm.emp, "N/A"))</f>
        <v>N/A</v>
      </c>
      <c r="O766" s="161" t="str" cm="1">
        <f t="array" ref="O766">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66"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766" s="1" t="s">
        <v>441</v>
      </c>
      <c r="R766" s="1" t="s">
        <v>312</v>
      </c>
    </row>
    <row r="767" spans="1:19" s="1" customFormat="1" x14ac:dyDescent="0.2">
      <c r="A767" s="155">
        <v>929</v>
      </c>
      <c r="B767" s="1" t="s">
        <v>304</v>
      </c>
      <c r="C767" s="1" t="s">
        <v>403</v>
      </c>
      <c r="D767" s="1" t="s">
        <v>2055</v>
      </c>
      <c r="E767" s="1" t="s">
        <v>306</v>
      </c>
      <c r="F767" s="195" t="s">
        <v>2139</v>
      </c>
      <c r="G767" s="266" t="str">
        <f>_xlfn.XLOOKUP(ITEquipmentTable[[#This Row],[Name]], IntuneData[Device name], IntuneData[Serial number], "")</f>
        <v/>
      </c>
      <c r="H767" s="1" t="s">
        <v>318</v>
      </c>
      <c r="K767" s="154" t="s">
        <v>226</v>
      </c>
      <c r="L767" s="266" t="str">
        <f>_xlfn.LET(
_xlpm.look, _xlfn.XLOOKUP(ITEquipmentTable[[#This Row],[Name]], VNCTable[ClientName], VNCTable[IP], ""),
_xlpm.chkk, IF(ITEquipmentTable[[#This Row],[IPv4 Address]] = "N/A", "N/A", _xlpm.look),
IF(ITEquipmentTable[[#This Row],[Name]] = "", "", _xlpm.chkk))</f>
        <v/>
      </c>
      <c r="N767" s="161" t="str">
        <f>_xlfn.LET(_xlpm.emp, IF(_xlfn.XLOOKUP(ITEquipmentTable[[#This Row],[Assigned Employee]], EmployeeTable[name], EmployeeTable[Active], TRUE), "Employee", "Recover"),
IF(ITEquipmentTable[[#This Row],[Storage Location]] = "Assigned to Employee", _xlpm.emp, "N/A"))</f>
        <v>N/A</v>
      </c>
      <c r="O767" s="161" t="str" cm="1">
        <f t="array" ref="O767">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67"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767" s="1" t="s">
        <v>312</v>
      </c>
    </row>
    <row r="768" spans="1:19" s="1" customFormat="1" x14ac:dyDescent="0.2">
      <c r="A768" s="155">
        <v>930</v>
      </c>
      <c r="B768" s="1" t="s">
        <v>304</v>
      </c>
      <c r="C768" s="1" t="s">
        <v>403</v>
      </c>
      <c r="D768" s="1" t="s">
        <v>2055</v>
      </c>
      <c r="E768" s="1" t="s">
        <v>306</v>
      </c>
      <c r="F768" s="195" t="s">
        <v>2140</v>
      </c>
      <c r="G768" s="266" t="str">
        <f>_xlfn.XLOOKUP(ITEquipmentTable[[#This Row],[Name]], IntuneData[Device name], IntuneData[Serial number], "")</f>
        <v/>
      </c>
      <c r="H768" s="1" t="s">
        <v>318</v>
      </c>
      <c r="K768" s="154" t="s">
        <v>226</v>
      </c>
      <c r="L768" s="266" t="str">
        <f>_xlfn.LET(
_xlpm.look, _xlfn.XLOOKUP(ITEquipmentTable[[#This Row],[Name]], VNCTable[ClientName], VNCTable[IP], ""),
_xlpm.chkk, IF(ITEquipmentTable[[#This Row],[IPv4 Address]] = "N/A", "N/A", _xlpm.look),
IF(ITEquipmentTable[[#This Row],[Name]] = "", "", _xlpm.chkk))</f>
        <v/>
      </c>
      <c r="N768" s="161" t="str">
        <f>_xlfn.LET(_xlpm.emp, IF(_xlfn.XLOOKUP(ITEquipmentTable[[#This Row],[Assigned Employee]], EmployeeTable[name], EmployeeTable[Active], TRUE), "Employee", "Recover"),
IF(ITEquipmentTable[[#This Row],[Storage Location]] = "Assigned to Employee", _xlpm.emp, "N/A"))</f>
        <v>N/A</v>
      </c>
      <c r="O768" s="161" t="str" cm="1">
        <f t="array" ref="O768">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68"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768" s="1" t="s">
        <v>312</v>
      </c>
    </row>
    <row r="769" spans="1:19" s="1" customFormat="1" x14ac:dyDescent="0.2">
      <c r="A769" s="155">
        <v>932</v>
      </c>
      <c r="B769" s="1" t="s">
        <v>304</v>
      </c>
      <c r="C769" s="1" t="s">
        <v>403</v>
      </c>
      <c r="D769" s="1" t="s">
        <v>2055</v>
      </c>
      <c r="E769" s="1" t="s">
        <v>306</v>
      </c>
      <c r="F769" s="195" t="s">
        <v>2141</v>
      </c>
      <c r="G769" s="159" t="str">
        <f>_xlfn.XLOOKUP(ITEquipmentTable[[#This Row],[Name]], IntuneData[Device name], IntuneData[Serial number], "")</f>
        <v/>
      </c>
      <c r="H769" s="1" t="s">
        <v>318</v>
      </c>
      <c r="K769" s="154"/>
      <c r="L769" s="159" t="str">
        <f>_xlfn.LET(
_xlpm.look, _xlfn.XLOOKUP(ITEquipmentTable[[#This Row],[Name]], VNCTable[ClientName], VNCTable[IP], ""),
_xlpm.chkk, IF(ITEquipmentTable[[#This Row],[IPv4 Address]] = "N/A", "N/A", _xlpm.look),
IF(ITEquipmentTable[[#This Row],[Name]] = "", "", _xlpm.chkk))</f>
        <v/>
      </c>
      <c r="N769" s="161" t="str">
        <f>_xlfn.LET(_xlpm.emp, IF(_xlfn.XLOOKUP(ITEquipmentTable[[#This Row],[Assigned Employee]], EmployeeTable[name], EmployeeTable[Active], TRUE), "Employee", "Recover"),
IF(ITEquipmentTable[[#This Row],[Storage Location]] = "Assigned to Employee", _xlpm.emp, "N/A"))</f>
        <v>N/A</v>
      </c>
      <c r="O769" s="161" t="str" cm="1">
        <f t="array" ref="O769">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69"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R769" s="1" t="s">
        <v>312</v>
      </c>
    </row>
    <row r="770" spans="1:19" s="1" customFormat="1" x14ac:dyDescent="0.2">
      <c r="A770" s="155">
        <v>933</v>
      </c>
      <c r="B770" s="1" t="s">
        <v>304</v>
      </c>
      <c r="C770" s="1" t="s">
        <v>403</v>
      </c>
      <c r="E770" s="1" t="s">
        <v>306</v>
      </c>
      <c r="F770" s="195" t="s">
        <v>2142</v>
      </c>
      <c r="G770" s="159" t="str">
        <f>_xlfn.XLOOKUP(ITEquipmentTable[[#This Row],[Name]], IntuneData[Device name], IntuneData[Serial number], "")</f>
        <v/>
      </c>
      <c r="H770" s="1" t="s">
        <v>318</v>
      </c>
      <c r="K770" s="154"/>
      <c r="L770" s="159" t="str">
        <f>_xlfn.LET(
_xlpm.look, _xlfn.XLOOKUP(ITEquipmentTable[[#This Row],[Name]], VNCTable[ClientName], VNCTable[IP], ""),
_xlpm.chkk, IF(ITEquipmentTable[[#This Row],[IPv4 Address]] = "N/A", "N/A", _xlpm.look),
IF(ITEquipmentTable[[#This Row],[Name]] = "", "", _xlpm.chkk))</f>
        <v/>
      </c>
      <c r="N770" s="161" t="str">
        <f>_xlfn.LET(_xlpm.emp, IF(_xlfn.XLOOKUP(ITEquipmentTable[[#This Row],[Assigned Employee]], EmployeeTable[name], EmployeeTable[Active], TRUE), "Employee", "Recover"),
IF(ITEquipmentTable[[#This Row],[Storage Location]] = "Assigned to Employee", _xlpm.emp, "N/A"))</f>
        <v>N/A</v>
      </c>
      <c r="O770" s="161" t="str" cm="1">
        <f t="array" ref="O770">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70" s="161"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70" s="1" t="s">
        <v>312</v>
      </c>
    </row>
    <row r="771" spans="1:19" s="1" customFormat="1" x14ac:dyDescent="0.2">
      <c r="A771" s="155">
        <v>934</v>
      </c>
      <c r="B771" s="1" t="s">
        <v>304</v>
      </c>
      <c r="C771" s="1" t="s">
        <v>403</v>
      </c>
      <c r="E771" s="1" t="s">
        <v>306</v>
      </c>
      <c r="F771" s="195" t="s">
        <v>2143</v>
      </c>
      <c r="G771" s="159" t="str">
        <f>_xlfn.XLOOKUP(ITEquipmentTable[[#This Row],[Name]], IntuneData[Device name], IntuneData[Serial number], "")</f>
        <v/>
      </c>
      <c r="H771" s="1" t="s">
        <v>318</v>
      </c>
      <c r="K771" s="154"/>
      <c r="L771" s="159" t="str">
        <f>_xlfn.LET(
_xlpm.look, _xlfn.XLOOKUP(ITEquipmentTable[[#This Row],[Name]], VNCTable[ClientName], VNCTable[IP], ""),
_xlpm.chkk, IF(ITEquipmentTable[[#This Row],[IPv4 Address]] = "N/A", "N/A", _xlpm.look),
IF(ITEquipmentTable[[#This Row],[Name]] = "", "", _xlpm.chkk))</f>
        <v/>
      </c>
      <c r="N771" s="160" t="str">
        <f>_xlfn.LET(_xlpm.emp, IF(_xlfn.XLOOKUP(ITEquipmentTable[[#This Row],[Assigned Employee]], EmployeeTable[name], EmployeeTable[Active], TRUE), "Employee", "Recover"),
IF(ITEquipmentTable[[#This Row],[Storage Location]] = "Assigned to Employee", _xlpm.emp, "N/A"))</f>
        <v>N/A</v>
      </c>
      <c r="O771" s="160" t="str" cm="1">
        <f t="array" ref="O771">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
      </c>
      <c r="P771" s="160"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0</v>
      </c>
      <c r="R771" s="1" t="s">
        <v>312</v>
      </c>
    </row>
    <row r="772" spans="1:19" s="1" customFormat="1" x14ac:dyDescent="0.2">
      <c r="A772" s="355">
        <v>936</v>
      </c>
      <c r="B772" s="356" t="s">
        <v>304</v>
      </c>
      <c r="C772" s="356" t="s">
        <v>403</v>
      </c>
      <c r="D772" s="356" t="s">
        <v>3801</v>
      </c>
      <c r="E772" s="356" t="s">
        <v>306</v>
      </c>
      <c r="F772" s="357" t="s">
        <v>3802</v>
      </c>
      <c r="G772" s="159" t="str">
        <f>_xlfn.XLOOKUP(ITEquipmentTable[[#This Row],[Name]], IntuneData[Device name], IntuneData[Serial number], "")</f>
        <v/>
      </c>
      <c r="H772" s="356" t="s">
        <v>318</v>
      </c>
      <c r="I772" s="356"/>
      <c r="J772" s="356"/>
      <c r="K772" s="358" t="s">
        <v>226</v>
      </c>
      <c r="L772" s="359" t="str">
        <f>_xlfn.LET(
_xlpm.look, _xlfn.XLOOKUP(ITEquipmentTable[[#This Row],[Name]], VNCTable[ClientName], VNCTable[IP], ""),
_xlpm.chkk, IF(ITEquipmentTable[[#This Row],[IPv4 Address]] = "N/A", "N/A", _xlpm.look),
IF(ITEquipmentTable[[#This Row],[Name]] = "", "", _xlpm.chkk))</f>
        <v>N/A</v>
      </c>
      <c r="M772" s="356" t="s">
        <v>226</v>
      </c>
      <c r="N772" s="160" t="str">
        <f>_xlfn.LET(_xlpm.emp, IF(_xlfn.XLOOKUP(ITEquipmentTable[[#This Row],[Assigned Employee]], EmployeeTable[name], EmployeeTable[Active], TRUE), "Employee", "Recover"),
IF(ITEquipmentTable[[#This Row],[Storage Location]] = "Assigned to Employee", _xlpm.emp, "N/A"))</f>
        <v>N/A</v>
      </c>
      <c r="O772" s="160" t="str" cm="1">
        <f t="array" ref="O772">_xlfn.LET(
_xlpm.hasNoOS, AND(ITEquipmentTable[[#This Row],[Type]] &lt;&gt; "Desktop", ITEquipmentTable[[#This Row],[Type]] &lt;&gt; "Laptop", ITEquipmentTable[[#This Row],[Type]] &lt;&gt; "Tablet", ITEquipmentTable[[#This Row],[Type]] &lt;&gt; "Server", ITEquipmentTable[[#This Row],[Type]] &lt;&gt; "Virtual Server"),
_xlpm.step1, _xlfn.XLOOKUP(ITEquipmentTable[[#This Row],[Name]], ActiveDirectoryComputers[computer.cn], ActiveDirectoryComputers[computer.operatingSystemVersion],"(&lt;Disconnected&gt;)"),
_xlpm.step2, IF(_xlpm.step1 = 0, "", _xlpm.step1),
_xlpm.step3, _xlfn.TEXTBEFORE(_xlfn.TEXTAFTER(_xlpm.step2, "("), ")"),
_xlpm.step4, _xlfn.IFNA(_xlpm.step3, ""),
_xlpm.step5, _xlfn.SWITCH( _xlpm.step4,
"19045", "Win 10 22H2",
"19044", "Win 10 22H2",
"14393", "Win 10 LTSB",
"17763", "WinSer 2019 / LTSC",
"19042", "Win 10 22H2",
"19041", "Win 10 22H2",
"22621", "Win 11 22H2",
"22631", "Win 11 22H2",
"20348", "WinSer 2022",
"18363", "Win 10 LTSC",
"9600", "WinSer 2012 R2",
"7601", "WinSer 2008 R2",
"26100", "Win 11 24H2",
"26200", "Win 11 25H2",
_xlpm.step4),
_xlpm.step6, IF(ITEquipmentTable[[#This Row],[NeedsRepair]] = "E-Waste", "", _xlpm.step5),
_xlpm.step7, IF(OR(ISBLANK(ITEquipmentTable[[#This Row],[Name]]), ITEquipmentTable[[#This Row],[Type]] = "Printer"), "", _xlpm.step6),
IF(OR(ITEquipmentTable[[#This Row],[Name]] = "N/A", _xlpm.hasNoOS), "N/A", _xlpm.step7))</f>
        <v>N/A</v>
      </c>
      <c r="P772" s="160" t="b">
        <f>_xlfn.LET(
_xlpm.noblanks,  AND(ITEquipmentTable[[#This Row],[Type]] &lt;&gt; "",ITEquipmentTable[[#This Row],[Brand]]&lt;&gt;"",ITEquipmentTable[[#This Row],[Model]]&lt;&gt;"",ITEquipmentTable[[#This Row],[Serial Type]]&lt;&gt;"",ITEquipmentTable[[#This Row],[Storage Location]]&lt;&gt;""),
_xlpm.ispc, OR(ITEquipmentTable[[#This Row],[Type]]  = "Laptop", ITEquipmentTable[[#This Row],[Type]] = "Desktop", ITEquipmentTable[[#This Row],[Type]] = "Tablet"),
_xlpm.instorage, NOT(OR(ITEquipmentTable[[#This Row],[Storage Location]] = "In Use", ITEquipmentTable[[#This Row],[Storage Location]] = "Assigned to Employee")),
_xlpm.base, AND(_xlpm.noblanks,  ITEquipmentTable[[#This Row],[Notes]] &lt;&gt; "Verify - Blind Copy", ITEquipmentTable[[#This Row],[Notes]] &lt;&gt; "Confirm Location", OR(ITEquipmentTable[[#This Row],[Serial]]&lt;&gt;"", ITEquipmentTable[[#This Row],[Serial Type]] = "Serial Unreadable")),
_xlpm.checkname, IF(AND(_xlpm.ispc, NOT(_xlpm.instorage)),OR( ITEquipmentTable[[#This Row],[Name]] &lt;&gt; "", ITEquipmentTable[[#This Row],[NeedsRepair]] = "E-Waste" ), TRUE),
_xlpm.checkassign, IF(ITEquipmentTable[[#This Row],[Storage Location]] = "In Use", ITEquipmentTable[[#This Row],[Assigned Location]] &lt;&gt; "", TRUE),
AND(_xlpm.base, _xlpm.checkname, _xlpm.checkassign))</f>
        <v>1</v>
      </c>
      <c r="Q772" s="356" t="s">
        <v>454</v>
      </c>
      <c r="R772" s="356" t="s">
        <v>312</v>
      </c>
      <c r="S772" s="356"/>
    </row>
    <row r="773" spans="1:19" s="1" customFormat="1" x14ac:dyDescent="0.2"/>
    <row r="774" spans="1:19" s="1" customFormat="1" x14ac:dyDescent="0.2"/>
    <row r="775" spans="1:19" s="1" customFormat="1" x14ac:dyDescent="0.2"/>
    <row r="776" spans="1:19" s="1" customFormat="1" x14ac:dyDescent="0.2"/>
    <row r="777" spans="1:19" s="1" customFormat="1" x14ac:dyDescent="0.2"/>
    <row r="778" spans="1:19" s="1" customFormat="1" x14ac:dyDescent="0.2"/>
    <row r="779" spans="1:19" s="1" customFormat="1" x14ac:dyDescent="0.2"/>
    <row r="780" spans="1:19" s="1" customFormat="1" x14ac:dyDescent="0.2"/>
    <row r="781" spans="1:19" s="1" customFormat="1" x14ac:dyDescent="0.2"/>
    <row r="782" spans="1:19" s="1" customFormat="1" x14ac:dyDescent="0.2"/>
    <row r="783" spans="1:19" s="1" customFormat="1" x14ac:dyDescent="0.2"/>
    <row r="784" spans="1:19" s="1" customFormat="1" x14ac:dyDescent="0.2"/>
    <row r="785" s="1" customFormat="1" x14ac:dyDescent="0.2"/>
    <row r="786" s="1" customFormat="1" x14ac:dyDescent="0.2"/>
    <row r="787" s="1" customFormat="1" x14ac:dyDescent="0.2"/>
    <row r="788" s="1" customFormat="1" x14ac:dyDescent="0.2"/>
    <row r="789" s="1" customFormat="1" x14ac:dyDescent="0.2"/>
    <row r="790" s="1" customFormat="1" x14ac:dyDescent="0.2"/>
    <row r="791" s="1" customFormat="1" x14ac:dyDescent="0.2"/>
    <row r="792" s="1" customFormat="1" x14ac:dyDescent="0.2"/>
    <row r="793" s="1" customFormat="1" x14ac:dyDescent="0.2"/>
    <row r="794" s="1" customFormat="1" x14ac:dyDescent="0.2"/>
    <row r="795" s="1" customFormat="1" x14ac:dyDescent="0.2"/>
    <row r="796" s="1" customFormat="1" x14ac:dyDescent="0.2"/>
    <row r="797" s="1" customFormat="1" x14ac:dyDescent="0.2"/>
    <row r="798" s="1" customFormat="1" x14ac:dyDescent="0.2"/>
    <row r="799" s="1" customFormat="1" x14ac:dyDescent="0.2"/>
    <row r="800" s="1" customFormat="1" x14ac:dyDescent="0.2"/>
    <row r="801" spans="1:29" s="1" customFormat="1" x14ac:dyDescent="0.2"/>
    <row r="802" spans="1:29" s="1" customFormat="1" x14ac:dyDescent="0.2"/>
    <row r="803" spans="1:29" s="1" customFormat="1" x14ac:dyDescent="0.2"/>
    <row r="804" spans="1:29" s="1" customFormat="1" x14ac:dyDescent="0.2"/>
    <row r="805" spans="1:29" s="1" customFormat="1" x14ac:dyDescent="0.2"/>
    <row r="806" spans="1:29" s="1" customFormat="1" x14ac:dyDescent="0.2"/>
    <row r="807" spans="1:29" s="1" customFormat="1" x14ac:dyDescent="0.2"/>
    <row r="808" spans="1:29" s="1" customFormat="1" x14ac:dyDescent="0.2"/>
    <row r="809" spans="1:29" s="1" customFormat="1" x14ac:dyDescent="0.2">
      <c r="AB809"/>
      <c r="AC809"/>
    </row>
    <row r="810" spans="1:29" s="1" customFormat="1" x14ac:dyDescent="0.2">
      <c r="AB810"/>
      <c r="AC810"/>
    </row>
    <row r="811" spans="1:29" s="1" customFormat="1" x14ac:dyDescent="0.2">
      <c r="AB811"/>
      <c r="AC811"/>
    </row>
    <row r="812" spans="1:29" x14ac:dyDescent="0.2">
      <c r="A812" s="1"/>
      <c r="B812" s="1"/>
      <c r="C812" s="1"/>
      <c r="D812" s="1"/>
      <c r="E812" s="1"/>
      <c r="F812" s="1"/>
      <c r="H812" s="1"/>
      <c r="I812" s="1"/>
      <c r="J812" s="1"/>
      <c r="K812" s="1"/>
      <c r="L812" s="1"/>
      <c r="M812" s="1"/>
      <c r="N812" s="1"/>
      <c r="O812" s="1"/>
      <c r="P812" s="1"/>
      <c r="Q812" s="1"/>
      <c r="R812" s="1"/>
      <c r="S812" s="1"/>
      <c r="U812" s="1"/>
      <c r="V812" s="1"/>
      <c r="X812" s="1"/>
      <c r="Y812" s="1"/>
      <c r="Z812" s="1"/>
    </row>
    <row r="813" spans="1:29" x14ac:dyDescent="0.2">
      <c r="A813" s="1"/>
      <c r="B813" s="1"/>
      <c r="C813" s="1"/>
      <c r="D813" s="1"/>
      <c r="E813" s="1"/>
      <c r="F813" s="1"/>
      <c r="H813" s="1"/>
      <c r="I813" s="1"/>
      <c r="J813" s="1"/>
      <c r="K813" s="1"/>
      <c r="L813" s="1"/>
      <c r="M813" s="1"/>
      <c r="N813" s="1"/>
      <c r="O813" s="1"/>
      <c r="P813" s="1"/>
      <c r="Q813" s="1"/>
      <c r="R813" s="1"/>
      <c r="S813" s="1"/>
      <c r="U813" s="1"/>
      <c r="V813" s="1"/>
      <c r="X813" s="1"/>
      <c r="Y813" s="1"/>
      <c r="Z813" s="1"/>
    </row>
    <row r="814" spans="1:29" x14ac:dyDescent="0.2">
      <c r="A814" s="1"/>
      <c r="B814" s="1"/>
      <c r="C814" s="1"/>
      <c r="D814" s="1"/>
      <c r="E814" s="1"/>
      <c r="F814" s="1"/>
      <c r="H814" s="1"/>
      <c r="I814" s="1"/>
      <c r="J814" s="1"/>
      <c r="K814" s="1"/>
      <c r="L814" s="1"/>
      <c r="M814" s="1"/>
      <c r="N814" s="1"/>
      <c r="O814" s="1"/>
      <c r="P814" s="1"/>
      <c r="Q814" s="1"/>
      <c r="R814" s="1"/>
      <c r="S814" s="1"/>
      <c r="X814" s="1"/>
      <c r="Y814" s="1"/>
      <c r="Z814" s="1"/>
    </row>
    <row r="815" spans="1:29" x14ac:dyDescent="0.2">
      <c r="A815" s="1"/>
      <c r="B815" s="1"/>
      <c r="C815" s="1"/>
      <c r="D815" s="1"/>
      <c r="E815" s="1"/>
      <c r="F815" s="1"/>
      <c r="H815" s="1"/>
      <c r="I815" s="1"/>
      <c r="J815" s="1"/>
      <c r="K815" s="1"/>
      <c r="L815" s="1"/>
      <c r="M815" s="1"/>
      <c r="N815" s="1"/>
      <c r="O815" s="1"/>
      <c r="P815" s="1"/>
      <c r="Q815" s="1"/>
      <c r="R815" s="1"/>
      <c r="S815" s="1"/>
    </row>
    <row r="816" spans="1:29" x14ac:dyDescent="0.2">
      <c r="A816" s="1"/>
      <c r="B816" s="1"/>
      <c r="C816" s="1"/>
      <c r="D816" s="1"/>
      <c r="E816" s="1"/>
      <c r="F816" s="1"/>
      <c r="H816" s="1"/>
      <c r="I816" s="1"/>
      <c r="J816" s="1"/>
      <c r="K816" s="1"/>
      <c r="L816" s="1"/>
      <c r="M816" s="1"/>
      <c r="N816" s="1"/>
      <c r="O816" s="1"/>
      <c r="P816" s="1"/>
      <c r="Q816" s="1"/>
      <c r="R816" s="1"/>
      <c r="S816" s="1"/>
    </row>
    <row r="817" spans="1:19" x14ac:dyDescent="0.2">
      <c r="A817" s="1"/>
      <c r="B817" s="1"/>
      <c r="C817" s="1"/>
      <c r="D817" s="1"/>
      <c r="E817" s="1"/>
      <c r="F817" s="1"/>
      <c r="H817" s="1"/>
      <c r="I817" s="1"/>
      <c r="J817" s="1"/>
      <c r="K817" s="1"/>
      <c r="L817" s="1"/>
      <c r="M817" s="1"/>
      <c r="N817" s="1"/>
      <c r="O817" s="1"/>
      <c r="P817" s="1"/>
      <c r="Q817" s="1"/>
      <c r="R817" s="1"/>
      <c r="S817" s="1"/>
    </row>
    <row r="818" spans="1:19" x14ac:dyDescent="0.2">
      <c r="A818" s="1"/>
      <c r="B818" s="1"/>
      <c r="C818" s="1"/>
      <c r="D818" s="1"/>
      <c r="E818" s="1"/>
      <c r="F818" s="1"/>
      <c r="H818" s="1"/>
      <c r="I818" s="1"/>
      <c r="J818" s="1"/>
      <c r="K818" s="1"/>
      <c r="L818" s="1"/>
      <c r="M818" s="1"/>
      <c r="N818" s="1"/>
      <c r="O818" s="1"/>
      <c r="P818" s="1"/>
      <c r="Q818" s="1"/>
      <c r="R818" s="1"/>
      <c r="S818" s="1"/>
    </row>
    <row r="819" spans="1:19" x14ac:dyDescent="0.2">
      <c r="A819" s="1"/>
      <c r="B819" s="1"/>
      <c r="C819" s="1"/>
      <c r="D819" s="1"/>
      <c r="E819" s="1"/>
      <c r="F819" s="1"/>
      <c r="H819" s="1"/>
      <c r="I819" s="1"/>
      <c r="J819" s="1"/>
      <c r="K819" s="1"/>
      <c r="L819" s="1"/>
      <c r="M819" s="1"/>
      <c r="N819" s="1"/>
      <c r="O819" s="1"/>
      <c r="P819" s="1"/>
      <c r="Q819" s="1"/>
      <c r="R819" s="1"/>
      <c r="S819" s="1"/>
    </row>
    <row r="820" spans="1:19" x14ac:dyDescent="0.2">
      <c r="A820" s="1"/>
      <c r="B820" s="1"/>
      <c r="C820" s="1"/>
      <c r="D820" s="1"/>
      <c r="E820" s="1"/>
      <c r="F820" s="1"/>
      <c r="H820" s="1"/>
      <c r="I820" s="1"/>
      <c r="J820" s="1"/>
      <c r="K820" s="1"/>
      <c r="L820" s="1"/>
      <c r="M820" s="1"/>
      <c r="N820" s="1"/>
      <c r="O820" s="1"/>
      <c r="P820" s="1"/>
      <c r="Q820" s="1"/>
      <c r="R820" s="1"/>
      <c r="S820" s="1"/>
    </row>
    <row r="821" spans="1:19" x14ac:dyDescent="0.2">
      <c r="A821" s="1"/>
      <c r="B821" s="1"/>
      <c r="C821" s="1"/>
      <c r="D821" s="1"/>
      <c r="E821" s="1"/>
      <c r="F821" s="1"/>
      <c r="H821" s="1"/>
      <c r="I821" s="1"/>
      <c r="J821" s="1"/>
      <c r="K821" s="1"/>
      <c r="L821" s="1"/>
      <c r="M821" s="1"/>
      <c r="N821" s="1"/>
      <c r="O821" s="1"/>
      <c r="P821" s="1"/>
      <c r="Q821" s="1"/>
      <c r="R821" s="1"/>
      <c r="S821" s="1"/>
    </row>
    <row r="822" spans="1:19" x14ac:dyDescent="0.2">
      <c r="A822" s="1"/>
      <c r="B822" s="1"/>
      <c r="C822" s="1"/>
      <c r="D822" s="1"/>
      <c r="E822" s="1"/>
      <c r="F822" s="1"/>
      <c r="H822" s="1"/>
      <c r="I822" s="1"/>
      <c r="J822" s="1"/>
      <c r="K822" s="1"/>
      <c r="L822" s="1"/>
      <c r="M822" s="1"/>
      <c r="N822" s="1"/>
      <c r="O822" s="1"/>
      <c r="P822" s="1"/>
      <c r="Q822" s="1"/>
      <c r="R822" s="1"/>
      <c r="S822" s="1"/>
    </row>
    <row r="823" spans="1:19" x14ac:dyDescent="0.2">
      <c r="A823" s="1"/>
      <c r="B823" s="1"/>
      <c r="C823" s="1"/>
      <c r="D823" s="1"/>
      <c r="E823" s="1"/>
      <c r="F823" s="1"/>
      <c r="H823" s="1"/>
      <c r="I823" s="1"/>
      <c r="J823" s="1"/>
      <c r="K823" s="1"/>
      <c r="L823" s="1"/>
      <c r="M823" s="1"/>
      <c r="N823" s="1"/>
      <c r="O823" s="1"/>
      <c r="P823" s="1"/>
      <c r="Q823" s="1"/>
      <c r="R823" s="1"/>
      <c r="S823" s="1"/>
    </row>
    <row r="824" spans="1:19" x14ac:dyDescent="0.2">
      <c r="A824" s="1"/>
      <c r="B824" s="1"/>
      <c r="C824" s="1"/>
      <c r="D824" s="1"/>
      <c r="E824" s="1"/>
      <c r="F824" s="1"/>
      <c r="H824" s="1"/>
      <c r="I824" s="1"/>
      <c r="J824" s="1"/>
      <c r="K824" s="1"/>
      <c r="L824" s="1"/>
      <c r="M824" s="1"/>
      <c r="N824" s="1"/>
      <c r="O824" s="1"/>
      <c r="P824" s="1"/>
      <c r="Q824" s="1"/>
      <c r="R824" s="1"/>
      <c r="S824" s="1"/>
    </row>
    <row r="825" spans="1:19" x14ac:dyDescent="0.2">
      <c r="A825" s="1"/>
      <c r="B825" s="1"/>
      <c r="C825" s="1"/>
      <c r="D825" s="1"/>
      <c r="E825" s="1"/>
      <c r="F825" s="1"/>
      <c r="H825" s="1"/>
      <c r="I825" s="1"/>
      <c r="J825" s="1"/>
      <c r="K825" s="1"/>
      <c r="L825" s="1"/>
      <c r="M825" s="1"/>
      <c r="N825" s="1"/>
      <c r="O825" s="1"/>
      <c r="P825" s="1"/>
      <c r="Q825" s="1"/>
      <c r="R825" s="1"/>
      <c r="S825" s="1"/>
    </row>
    <row r="826" spans="1:19" x14ac:dyDescent="0.2">
      <c r="A826" s="1"/>
      <c r="B826" s="1"/>
      <c r="C826" s="1"/>
      <c r="D826" s="1"/>
      <c r="E826" s="1"/>
      <c r="F826" s="1"/>
      <c r="H826" s="1"/>
      <c r="I826" s="1"/>
      <c r="J826" s="1"/>
      <c r="K826" s="1"/>
      <c r="L826" s="1"/>
      <c r="M826" s="1"/>
      <c r="N826" s="1"/>
      <c r="O826" s="1"/>
      <c r="P826" s="1"/>
      <c r="Q826" s="1"/>
      <c r="R826" s="1"/>
      <c r="S826" s="1"/>
    </row>
    <row r="827" spans="1:19" x14ac:dyDescent="0.2">
      <c r="A827" s="1"/>
      <c r="B827" s="1"/>
      <c r="C827" s="1"/>
      <c r="D827" s="1"/>
      <c r="E827" s="1"/>
      <c r="F827" s="1"/>
      <c r="H827" s="1"/>
      <c r="I827" s="1"/>
      <c r="J827" s="1"/>
      <c r="K827" s="1"/>
      <c r="L827" s="1"/>
      <c r="M827" s="1"/>
      <c r="N827" s="1"/>
      <c r="O827" s="1"/>
      <c r="P827" s="1"/>
      <c r="Q827" s="1"/>
      <c r="R827" s="1"/>
      <c r="S827" s="1"/>
    </row>
    <row r="828" spans="1:19" x14ac:dyDescent="0.2">
      <c r="A828" s="1"/>
      <c r="B828" s="1"/>
      <c r="C828" s="1"/>
      <c r="D828" s="1"/>
      <c r="E828" s="1"/>
      <c r="F828" s="1"/>
      <c r="H828" s="1"/>
      <c r="I828" s="1"/>
      <c r="J828" s="1"/>
      <c r="K828" s="1"/>
      <c r="L828" s="1"/>
      <c r="M828" s="1"/>
      <c r="N828" s="1"/>
      <c r="O828" s="1"/>
      <c r="P828" s="1"/>
      <c r="Q828" s="1"/>
      <c r="R828" s="1"/>
      <c r="S828" s="1"/>
    </row>
    <row r="829" spans="1:19" x14ac:dyDescent="0.2">
      <c r="A829" s="1"/>
      <c r="B829" s="1"/>
      <c r="C829" s="1"/>
      <c r="D829" s="1"/>
      <c r="E829" s="1"/>
      <c r="F829" s="1"/>
      <c r="H829" s="1"/>
      <c r="I829" s="1"/>
      <c r="J829" s="1"/>
      <c r="K829" s="1"/>
      <c r="L829" s="1"/>
      <c r="M829" s="1"/>
      <c r="N829" s="1"/>
      <c r="O829" s="1"/>
      <c r="P829" s="1"/>
      <c r="Q829" s="1"/>
      <c r="R829" s="1"/>
      <c r="S829" s="1"/>
    </row>
    <row r="830" spans="1:19" x14ac:dyDescent="0.2">
      <c r="A830" s="1"/>
      <c r="B830" s="1"/>
      <c r="C830" s="1"/>
      <c r="D830" s="1"/>
      <c r="E830" s="1"/>
      <c r="F830" s="1"/>
      <c r="H830" s="1"/>
      <c r="I830" s="1"/>
      <c r="J830" s="1"/>
      <c r="K830" s="1"/>
      <c r="L830" s="1"/>
      <c r="M830" s="1"/>
      <c r="N830" s="1"/>
      <c r="O830" s="1"/>
      <c r="P830" s="1"/>
      <c r="Q830" s="1"/>
      <c r="R830" s="1"/>
      <c r="S830" s="1"/>
    </row>
    <row r="831" spans="1:19" x14ac:dyDescent="0.2">
      <c r="A831" s="1"/>
      <c r="B831" s="1"/>
      <c r="C831" s="1"/>
      <c r="D831" s="1"/>
      <c r="E831" s="1"/>
      <c r="F831" s="1"/>
      <c r="H831" s="1"/>
      <c r="I831" s="1"/>
      <c r="J831" s="1"/>
      <c r="K831" s="1"/>
      <c r="L831" s="1"/>
      <c r="M831" s="1"/>
      <c r="N831" s="1"/>
      <c r="O831" s="1"/>
      <c r="P831" s="1"/>
      <c r="Q831" s="1"/>
      <c r="R831" s="1"/>
      <c r="S831" s="1"/>
    </row>
    <row r="832" spans="1:19" x14ac:dyDescent="0.2">
      <c r="A832" s="1"/>
      <c r="B832" s="1"/>
      <c r="C832" s="1"/>
      <c r="D832" s="1"/>
      <c r="E832" s="1"/>
      <c r="F832" s="1"/>
      <c r="H832" s="1"/>
      <c r="I832" s="1"/>
      <c r="J832" s="1"/>
      <c r="K832" s="1"/>
      <c r="L832" s="1"/>
      <c r="M832" s="1"/>
      <c r="N832" s="1"/>
      <c r="O832" s="1"/>
      <c r="P832" s="1"/>
      <c r="Q832" s="1"/>
      <c r="R832" s="1"/>
      <c r="S832" s="1"/>
    </row>
    <row r="833" spans="1:19" x14ac:dyDescent="0.2">
      <c r="A833" s="1"/>
      <c r="B833" s="1"/>
      <c r="C833" s="1"/>
      <c r="D833" s="1"/>
      <c r="E833" s="1"/>
      <c r="F833" s="1"/>
      <c r="H833" s="1"/>
      <c r="I833" s="1"/>
      <c r="J833" s="1"/>
      <c r="K833" s="1"/>
      <c r="L833" s="1"/>
      <c r="M833" s="1"/>
      <c r="N833" s="1"/>
      <c r="O833" s="1"/>
      <c r="P833" s="1"/>
      <c r="Q833" s="1"/>
      <c r="R833" s="1"/>
      <c r="S833" s="1"/>
    </row>
    <row r="834" spans="1:19" x14ac:dyDescent="0.2">
      <c r="A834" s="1"/>
      <c r="B834" s="1"/>
      <c r="C834" s="1"/>
      <c r="D834" s="1"/>
      <c r="E834" s="1"/>
      <c r="F834" s="1"/>
      <c r="H834" s="1"/>
      <c r="I834" s="1"/>
      <c r="J834" s="1"/>
      <c r="K834" s="1"/>
      <c r="L834" s="1"/>
      <c r="M834" s="1"/>
      <c r="N834" s="1"/>
      <c r="O834" s="1"/>
      <c r="P834" s="1"/>
      <c r="Q834" s="1"/>
      <c r="R834" s="1"/>
      <c r="S834" s="1"/>
    </row>
    <row r="835" spans="1:19" x14ac:dyDescent="0.2">
      <c r="A835" s="1"/>
      <c r="B835" s="1"/>
      <c r="C835" s="1"/>
      <c r="D835" s="1"/>
      <c r="E835" s="1"/>
      <c r="F835" s="1"/>
      <c r="H835" s="1"/>
      <c r="I835" s="1"/>
      <c r="J835" s="1"/>
      <c r="K835" s="1"/>
      <c r="L835" s="1"/>
      <c r="M835" s="1"/>
      <c r="N835" s="1"/>
      <c r="O835" s="1"/>
      <c r="P835" s="1"/>
      <c r="Q835" s="1"/>
      <c r="R835" s="1"/>
      <c r="S835" s="1"/>
    </row>
    <row r="836" spans="1:19" x14ac:dyDescent="0.2">
      <c r="A836" s="1"/>
      <c r="B836" s="1"/>
      <c r="C836" s="1"/>
      <c r="D836" s="1"/>
      <c r="E836" s="1"/>
      <c r="F836" s="1"/>
      <c r="H836" s="1"/>
      <c r="I836" s="1"/>
      <c r="J836" s="1"/>
      <c r="K836" s="1"/>
      <c r="L836" s="1"/>
      <c r="M836" s="1"/>
      <c r="N836" s="1"/>
      <c r="O836" s="1"/>
      <c r="P836" s="1"/>
      <c r="Q836" s="1"/>
      <c r="R836" s="1"/>
      <c r="S836" s="1"/>
    </row>
    <row r="837" spans="1:19" x14ac:dyDescent="0.2">
      <c r="A837" s="1"/>
      <c r="B837" s="1"/>
      <c r="C837" s="1"/>
      <c r="D837" s="1"/>
      <c r="E837" s="1"/>
      <c r="F837" s="1"/>
      <c r="H837" s="1"/>
      <c r="I837" s="1"/>
      <c r="J837" s="1"/>
      <c r="K837" s="1"/>
      <c r="L837" s="1"/>
      <c r="M837" s="1"/>
      <c r="N837" s="1"/>
      <c r="O837" s="1"/>
      <c r="P837" s="1"/>
      <c r="Q837" s="1"/>
      <c r="R837" s="1"/>
      <c r="S837" s="1"/>
    </row>
    <row r="838" spans="1:19" x14ac:dyDescent="0.2">
      <c r="A838" s="1"/>
      <c r="B838" s="1"/>
      <c r="C838" s="1"/>
      <c r="D838" s="1"/>
      <c r="E838" s="1"/>
      <c r="F838" s="1"/>
      <c r="H838" s="1"/>
      <c r="I838" s="1"/>
      <c r="J838" s="1"/>
      <c r="K838" s="1"/>
      <c r="L838" s="1"/>
      <c r="M838" s="1"/>
      <c r="N838" s="1"/>
      <c r="O838" s="1"/>
      <c r="P838" s="1"/>
      <c r="Q838" s="1"/>
      <c r="R838" s="1"/>
      <c r="S838" s="1"/>
    </row>
    <row r="839" spans="1:19" x14ac:dyDescent="0.2">
      <c r="A839" s="1"/>
      <c r="B839" s="1"/>
      <c r="C839" s="1"/>
      <c r="D839" s="1"/>
      <c r="E839" s="1"/>
      <c r="F839" s="1"/>
      <c r="H839" s="1"/>
      <c r="I839" s="1"/>
      <c r="J839" s="1"/>
      <c r="K839" s="1"/>
      <c r="L839" s="1"/>
      <c r="M839" s="1"/>
      <c r="N839" s="1"/>
      <c r="O839" s="1"/>
      <c r="P839" s="1"/>
      <c r="Q839" s="1"/>
      <c r="R839" s="1"/>
      <c r="S839" s="1"/>
    </row>
    <row r="840" spans="1:19" x14ac:dyDescent="0.2">
      <c r="A840" s="1"/>
      <c r="B840" s="1"/>
      <c r="C840" s="1"/>
      <c r="D840" s="1"/>
      <c r="E840" s="1"/>
      <c r="F840" s="1"/>
      <c r="H840" s="1"/>
      <c r="I840" s="1"/>
      <c r="J840" s="1"/>
      <c r="K840" s="1"/>
      <c r="L840" s="1"/>
      <c r="M840" s="1"/>
      <c r="N840" s="1"/>
      <c r="O840" s="1"/>
      <c r="P840" s="1"/>
      <c r="Q840" s="1"/>
      <c r="R840" s="1"/>
      <c r="S840" s="1"/>
    </row>
    <row r="841" spans="1:19" x14ac:dyDescent="0.2">
      <c r="A841" s="1"/>
      <c r="B841" s="1"/>
      <c r="C841" s="1"/>
      <c r="D841" s="1"/>
      <c r="E841" s="1"/>
      <c r="F841" s="1"/>
      <c r="H841" s="1"/>
      <c r="I841" s="1"/>
      <c r="J841" s="1"/>
      <c r="K841" s="1"/>
      <c r="L841" s="1"/>
      <c r="M841" s="1"/>
      <c r="N841" s="1"/>
      <c r="O841" s="1"/>
      <c r="P841" s="1"/>
      <c r="Q841" s="1"/>
      <c r="R841" s="1"/>
      <c r="S841" s="1"/>
    </row>
    <row r="842" spans="1:19" x14ac:dyDescent="0.2">
      <c r="A842" s="1"/>
      <c r="B842" s="1"/>
      <c r="C842" s="1"/>
      <c r="D842" s="1"/>
      <c r="E842" s="1"/>
      <c r="F842" s="1"/>
      <c r="H842" s="1"/>
      <c r="I842" s="1"/>
      <c r="J842" s="1"/>
      <c r="K842" s="1"/>
      <c r="L842" s="1"/>
      <c r="M842" s="1"/>
      <c r="N842" s="1"/>
      <c r="O842" s="1"/>
      <c r="P842" s="1"/>
      <c r="Q842" s="1"/>
      <c r="R842" s="1"/>
      <c r="S842" s="1"/>
    </row>
    <row r="843" spans="1:19" x14ac:dyDescent="0.2">
      <c r="A843" s="1"/>
      <c r="B843" s="1"/>
      <c r="C843" s="1"/>
      <c r="D843" s="1"/>
      <c r="E843" s="1"/>
      <c r="F843" s="1"/>
      <c r="H843" s="1"/>
      <c r="I843" s="1"/>
      <c r="J843" s="1"/>
      <c r="K843" s="1"/>
      <c r="L843" s="1"/>
      <c r="M843" s="1"/>
      <c r="N843" s="1"/>
      <c r="O843" s="1"/>
      <c r="P843" s="1"/>
      <c r="Q843" s="1"/>
      <c r="R843" s="1"/>
      <c r="S843" s="1"/>
    </row>
    <row r="844" spans="1:19" x14ac:dyDescent="0.2">
      <c r="A844" s="1"/>
      <c r="B844" s="1"/>
      <c r="C844" s="1"/>
      <c r="D844" s="1"/>
      <c r="E844" s="1"/>
      <c r="F844" s="1"/>
      <c r="H844" s="1"/>
      <c r="I844" s="1"/>
      <c r="J844" s="1"/>
      <c r="K844" s="1"/>
      <c r="L844" s="1"/>
      <c r="M844" s="1"/>
      <c r="N844" s="1"/>
      <c r="O844" s="1"/>
      <c r="P844" s="1"/>
      <c r="Q844" s="1"/>
      <c r="R844" s="1"/>
      <c r="S844" s="1"/>
    </row>
    <row r="845" spans="1:19" x14ac:dyDescent="0.2">
      <c r="A845" s="1"/>
      <c r="B845" s="1"/>
      <c r="C845" s="1"/>
      <c r="D845" s="1"/>
      <c r="E845" s="1"/>
      <c r="F845" s="1"/>
      <c r="H845" s="1"/>
      <c r="I845" s="1"/>
      <c r="J845" s="1"/>
      <c r="K845" s="1"/>
      <c r="L845" s="1"/>
      <c r="M845" s="1"/>
      <c r="N845" s="1"/>
      <c r="O845" s="1"/>
      <c r="P845" s="1"/>
      <c r="Q845" s="1"/>
      <c r="R845" s="1"/>
      <c r="S845" s="1"/>
    </row>
    <row r="846" spans="1:19" x14ac:dyDescent="0.2">
      <c r="A846" s="1"/>
      <c r="B846" s="1"/>
      <c r="C846" s="1"/>
      <c r="D846" s="1"/>
      <c r="E846" s="1"/>
      <c r="F846" s="1"/>
      <c r="H846" s="1"/>
      <c r="I846" s="1"/>
      <c r="J846" s="1"/>
      <c r="K846" s="1"/>
      <c r="L846" s="1"/>
      <c r="M846" s="1"/>
      <c r="N846" s="1"/>
      <c r="O846" s="1"/>
      <c r="P846" s="1"/>
      <c r="Q846" s="1"/>
      <c r="R846" s="1"/>
      <c r="S846" s="1"/>
    </row>
    <row r="847" spans="1:19" x14ac:dyDescent="0.2">
      <c r="A847" s="1"/>
      <c r="B847" s="1"/>
      <c r="C847" s="1"/>
      <c r="D847" s="1"/>
      <c r="E847" s="1"/>
      <c r="F847" s="1"/>
      <c r="H847" s="1"/>
      <c r="I847" s="1"/>
      <c r="J847" s="1"/>
      <c r="K847" s="1"/>
      <c r="L847" s="1"/>
      <c r="M847" s="1"/>
      <c r="N847" s="1"/>
      <c r="O847" s="1"/>
      <c r="P847" s="1"/>
      <c r="Q847" s="1"/>
      <c r="R847" s="1"/>
      <c r="S847" s="1"/>
    </row>
    <row r="848" spans="1:19" x14ac:dyDescent="0.2">
      <c r="A848" s="1"/>
      <c r="B848" s="1"/>
      <c r="C848" s="1"/>
      <c r="D848" s="1"/>
      <c r="E848" s="1"/>
      <c r="F848" s="1"/>
      <c r="H848" s="1"/>
      <c r="I848" s="1"/>
      <c r="J848" s="1"/>
      <c r="K848" s="1"/>
      <c r="L848" s="1"/>
      <c r="M848" s="1"/>
      <c r="N848" s="1"/>
      <c r="O848" s="1"/>
      <c r="P848" s="1"/>
      <c r="Q848" s="1"/>
      <c r="R848" s="1"/>
      <c r="S848" s="1"/>
    </row>
    <row r="849" spans="1:19" x14ac:dyDescent="0.2">
      <c r="A849" s="1"/>
      <c r="B849" s="1"/>
      <c r="C849" s="1"/>
      <c r="D849" s="1"/>
      <c r="E849" s="1"/>
      <c r="F849" s="1"/>
      <c r="H849" s="1"/>
      <c r="I849" s="1"/>
      <c r="J849" s="1"/>
      <c r="K849" s="1"/>
      <c r="L849" s="1"/>
      <c r="M849" s="1"/>
      <c r="N849" s="1"/>
      <c r="O849" s="1"/>
      <c r="P849" s="1"/>
      <c r="Q849" s="1"/>
      <c r="R849" s="1"/>
      <c r="S849" s="1"/>
    </row>
    <row r="850" spans="1:19" x14ac:dyDescent="0.2">
      <c r="A850" s="1"/>
      <c r="B850" s="1"/>
      <c r="C850" s="1"/>
      <c r="D850" s="1"/>
      <c r="E850" s="1"/>
      <c r="F850" s="1"/>
      <c r="H850" s="1"/>
      <c r="I850" s="1"/>
      <c r="J850" s="1"/>
      <c r="K850" s="1"/>
      <c r="L850" s="1"/>
      <c r="M850" s="1"/>
      <c r="N850" s="1"/>
      <c r="O850" s="1"/>
      <c r="P850" s="1"/>
      <c r="Q850" s="1"/>
      <c r="R850" s="1"/>
      <c r="S850" s="1"/>
    </row>
    <row r="851" spans="1:19" x14ac:dyDescent="0.2">
      <c r="A851" s="1"/>
      <c r="B851" s="1"/>
      <c r="C851" s="1"/>
      <c r="D851" s="1"/>
      <c r="E851" s="1"/>
      <c r="F851" s="1"/>
      <c r="H851" s="1"/>
      <c r="I851" s="1"/>
      <c r="J851" s="1"/>
      <c r="K851" s="1"/>
      <c r="L851" s="1"/>
      <c r="M851" s="1"/>
      <c r="N851" s="1"/>
      <c r="O851" s="1"/>
      <c r="P851" s="1"/>
      <c r="Q851" s="1"/>
      <c r="R851" s="1"/>
      <c r="S851" s="1"/>
    </row>
    <row r="852" spans="1:19" x14ac:dyDescent="0.2">
      <c r="A852" s="1"/>
      <c r="B852" s="1"/>
      <c r="C852" s="1"/>
      <c r="D852" s="1"/>
      <c r="E852" s="1"/>
      <c r="F852" s="1"/>
      <c r="H852" s="1"/>
      <c r="I852" s="1"/>
      <c r="J852" s="1"/>
      <c r="K852" s="1"/>
      <c r="L852" s="1"/>
      <c r="M852" s="1"/>
      <c r="N852" s="1"/>
      <c r="O852" s="1"/>
      <c r="P852" s="1"/>
      <c r="Q852" s="1"/>
      <c r="R852" s="1"/>
      <c r="S852" s="1"/>
    </row>
    <row r="853" spans="1:19" x14ac:dyDescent="0.2">
      <c r="A853" s="1"/>
      <c r="B853" s="1"/>
      <c r="C853" s="1"/>
      <c r="D853" s="1"/>
      <c r="E853" s="1"/>
      <c r="F853" s="1"/>
      <c r="H853" s="1"/>
      <c r="I853" s="1"/>
      <c r="J853" s="1"/>
      <c r="K853" s="1"/>
      <c r="L853" s="1"/>
      <c r="M853" s="1"/>
      <c r="N853" s="1"/>
      <c r="O853" s="1"/>
      <c r="P853" s="1"/>
      <c r="Q853" s="1"/>
      <c r="R853" s="1"/>
      <c r="S853" s="1"/>
    </row>
    <row r="854" spans="1:19" x14ac:dyDescent="0.2">
      <c r="A854" s="1"/>
      <c r="B854" s="1"/>
      <c r="C854" s="1"/>
      <c r="D854" s="1"/>
      <c r="E854" s="1"/>
      <c r="F854" s="1"/>
      <c r="H854" s="1"/>
      <c r="I854" s="1"/>
      <c r="J854" s="1"/>
      <c r="K854" s="1"/>
      <c r="L854" s="1"/>
      <c r="M854" s="1"/>
      <c r="N854" s="1"/>
      <c r="O854" s="1"/>
      <c r="P854" s="1"/>
      <c r="Q854" s="1"/>
      <c r="R854" s="1"/>
      <c r="S854" s="1"/>
    </row>
    <row r="855" spans="1:19" x14ac:dyDescent="0.2">
      <c r="A855" s="1"/>
      <c r="B855" s="1"/>
      <c r="C855" s="1"/>
      <c r="D855" s="1"/>
      <c r="E855" s="1"/>
      <c r="F855" s="1"/>
      <c r="H855" s="1"/>
      <c r="I855" s="1"/>
      <c r="J855" s="1"/>
      <c r="K855" s="1"/>
      <c r="L855" s="1"/>
      <c r="M855" s="1"/>
      <c r="N855" s="1"/>
      <c r="O855" s="1"/>
      <c r="P855" s="1"/>
      <c r="Q855" s="1"/>
      <c r="R855" s="1"/>
      <c r="S855" s="1"/>
    </row>
    <row r="856" spans="1:19" x14ac:dyDescent="0.2">
      <c r="A856" s="1"/>
      <c r="B856" s="1"/>
      <c r="C856" s="1"/>
      <c r="D856" s="1"/>
      <c r="E856" s="1"/>
      <c r="F856" s="1"/>
      <c r="H856" s="1"/>
      <c r="I856" s="1"/>
      <c r="J856" s="1"/>
      <c r="K856" s="1"/>
      <c r="L856" s="1"/>
      <c r="M856" s="1"/>
      <c r="N856" s="1"/>
      <c r="O856" s="1"/>
      <c r="P856" s="1"/>
      <c r="Q856" s="1"/>
      <c r="R856" s="1"/>
      <c r="S856" s="1"/>
    </row>
    <row r="857" spans="1:19" x14ac:dyDescent="0.2">
      <c r="A857" s="1"/>
      <c r="B857" s="1"/>
      <c r="C857" s="1"/>
      <c r="D857" s="1"/>
      <c r="E857" s="1"/>
      <c r="F857" s="1"/>
      <c r="H857" s="1"/>
      <c r="I857" s="1"/>
      <c r="J857" s="1"/>
      <c r="K857" s="1"/>
      <c r="L857" s="1"/>
      <c r="M857" s="1"/>
      <c r="N857" s="1"/>
      <c r="O857" s="1"/>
      <c r="P857" s="1"/>
      <c r="Q857" s="1"/>
      <c r="R857" s="1"/>
      <c r="S857" s="1"/>
    </row>
    <row r="858" spans="1:19" x14ac:dyDescent="0.2">
      <c r="A858" s="1"/>
      <c r="B858" s="1"/>
      <c r="C858" s="1"/>
      <c r="D858" s="1"/>
      <c r="E858" s="1"/>
      <c r="F858" s="1"/>
      <c r="H858" s="1"/>
      <c r="I858" s="1"/>
      <c r="J858" s="1"/>
      <c r="K858" s="1"/>
      <c r="L858" s="1"/>
      <c r="M858" s="1"/>
      <c r="N858" s="1"/>
      <c r="O858" s="1"/>
      <c r="P858" s="1"/>
      <c r="Q858" s="1"/>
      <c r="R858" s="1"/>
      <c r="S858" s="1"/>
    </row>
    <row r="859" spans="1:19" x14ac:dyDescent="0.2">
      <c r="A859" s="1"/>
      <c r="B859" s="1"/>
      <c r="C859" s="1"/>
      <c r="D859" s="1"/>
      <c r="E859" s="1"/>
      <c r="F859" s="1"/>
      <c r="H859" s="1"/>
      <c r="I859" s="1"/>
      <c r="J859" s="1"/>
      <c r="K859" s="1"/>
      <c r="L859" s="1"/>
      <c r="M859" s="1"/>
      <c r="N859" s="1"/>
      <c r="O859" s="1"/>
      <c r="P859" s="1"/>
      <c r="Q859" s="1"/>
      <c r="R859" s="1"/>
      <c r="S859" s="1"/>
    </row>
    <row r="860" spans="1:19" x14ac:dyDescent="0.2">
      <c r="A860" s="1"/>
      <c r="B860" s="1"/>
      <c r="C860" s="1"/>
      <c r="D860" s="1"/>
      <c r="E860" s="1"/>
      <c r="F860" s="1"/>
      <c r="H860" s="1"/>
      <c r="I860" s="1"/>
      <c r="J860" s="1"/>
      <c r="K860" s="1"/>
      <c r="L860" s="1"/>
      <c r="M860" s="1"/>
      <c r="N860" s="1"/>
      <c r="O860" s="1"/>
      <c r="P860" s="1"/>
      <c r="Q860" s="1"/>
      <c r="R860" s="1"/>
      <c r="S860" s="1"/>
    </row>
    <row r="861" spans="1:19" x14ac:dyDescent="0.2">
      <c r="A861" s="1"/>
      <c r="B861" s="1"/>
      <c r="C861" s="1"/>
      <c r="D861" s="1"/>
      <c r="E861" s="1"/>
      <c r="F861" s="1"/>
      <c r="H861" s="1"/>
      <c r="I861" s="1"/>
      <c r="J861" s="1"/>
      <c r="K861" s="1"/>
      <c r="L861" s="1"/>
      <c r="M861" s="1"/>
      <c r="N861" s="1"/>
      <c r="O861" s="1"/>
      <c r="P861" s="1"/>
      <c r="Q861" s="1"/>
      <c r="R861" s="1"/>
      <c r="S861" s="1"/>
    </row>
    <row r="862" spans="1:19" x14ac:dyDescent="0.2">
      <c r="A862" s="1"/>
      <c r="B862" s="1"/>
      <c r="C862" s="1"/>
      <c r="D862" s="1"/>
      <c r="E862" s="1"/>
      <c r="F862" s="1"/>
      <c r="H862" s="1"/>
      <c r="I862" s="1"/>
      <c r="J862" s="1"/>
      <c r="K862" s="1"/>
      <c r="L862" s="1"/>
      <c r="M862" s="1"/>
      <c r="N862" s="1"/>
      <c r="O862" s="1"/>
      <c r="P862" s="1"/>
      <c r="Q862" s="1"/>
      <c r="R862" s="1"/>
      <c r="S862" s="1"/>
    </row>
    <row r="863" spans="1:19" x14ac:dyDescent="0.2">
      <c r="A863" s="1"/>
      <c r="B863" s="1"/>
      <c r="C863" s="1"/>
      <c r="D863" s="1"/>
      <c r="E863" s="1"/>
      <c r="F863" s="1"/>
      <c r="H863" s="1"/>
      <c r="I863" s="1"/>
      <c r="J863" s="1"/>
      <c r="K863" s="1"/>
      <c r="L863" s="1"/>
      <c r="M863" s="1"/>
      <c r="N863" s="1"/>
      <c r="O863" s="1"/>
      <c r="P863" s="1"/>
      <c r="Q863" s="1"/>
      <c r="R863" s="1"/>
      <c r="S863" s="1"/>
    </row>
    <row r="864" spans="1:19" x14ac:dyDescent="0.2">
      <c r="A864" s="1"/>
      <c r="B864" s="1"/>
      <c r="C864" s="1"/>
      <c r="D864" s="1"/>
      <c r="E864" s="1"/>
      <c r="F864" s="1"/>
      <c r="H864" s="1"/>
      <c r="I864" s="1"/>
      <c r="J864" s="1"/>
      <c r="K864" s="1"/>
      <c r="L864" s="1"/>
      <c r="M864" s="1"/>
      <c r="N864" s="1"/>
      <c r="O864" s="1"/>
      <c r="P864" s="1"/>
      <c r="Q864" s="1"/>
      <c r="R864" s="1"/>
      <c r="S864" s="1"/>
    </row>
    <row r="865" spans="1:19" x14ac:dyDescent="0.2">
      <c r="A865" s="1"/>
      <c r="B865" s="1"/>
      <c r="C865" s="1"/>
      <c r="D865" s="1"/>
      <c r="E865" s="1"/>
      <c r="F865" s="1"/>
      <c r="H865" s="1"/>
      <c r="I865" s="1"/>
      <c r="J865" s="1"/>
      <c r="K865" s="1"/>
      <c r="L865" s="1"/>
      <c r="M865" s="1"/>
      <c r="N865" s="1"/>
      <c r="O865" s="1"/>
      <c r="P865" s="1"/>
      <c r="Q865" s="1"/>
      <c r="R865" s="1"/>
      <c r="S865" s="1"/>
    </row>
    <row r="866" spans="1:19" x14ac:dyDescent="0.2">
      <c r="A866" s="1"/>
      <c r="B866" s="1"/>
      <c r="C866" s="1"/>
      <c r="D866" s="1"/>
      <c r="E866" s="1"/>
      <c r="F866" s="1"/>
      <c r="H866" s="1"/>
      <c r="I866" s="1"/>
      <c r="J866" s="1"/>
      <c r="K866" s="1"/>
      <c r="L866" s="1"/>
      <c r="M866" s="1"/>
      <c r="N866" s="1"/>
      <c r="O866" s="1"/>
      <c r="P866" s="1"/>
      <c r="Q866" s="1"/>
      <c r="R866" s="1"/>
      <c r="S866" s="1"/>
    </row>
    <row r="867" spans="1:19" x14ac:dyDescent="0.2">
      <c r="A867" s="1"/>
      <c r="B867" s="1"/>
      <c r="C867" s="1"/>
      <c r="D867" s="1"/>
      <c r="E867" s="1"/>
      <c r="F867" s="1"/>
      <c r="H867" s="1"/>
      <c r="I867" s="1"/>
      <c r="J867" s="1"/>
      <c r="K867" s="1"/>
      <c r="L867" s="1"/>
      <c r="M867" s="1"/>
      <c r="N867" s="1"/>
      <c r="O867" s="1"/>
      <c r="P867" s="1"/>
      <c r="Q867" s="1"/>
      <c r="R867" s="1"/>
      <c r="S867" s="1"/>
    </row>
    <row r="868" spans="1:19" x14ac:dyDescent="0.2">
      <c r="A868" s="1"/>
      <c r="B868" s="1"/>
      <c r="C868" s="1"/>
      <c r="D868" s="1"/>
      <c r="E868" s="1"/>
      <c r="F868" s="1"/>
      <c r="H868" s="1"/>
      <c r="I868" s="1"/>
      <c r="J868" s="1"/>
      <c r="K868" s="1"/>
      <c r="L868" s="1"/>
      <c r="M868" s="1"/>
      <c r="N868" s="1"/>
      <c r="O868" s="1"/>
      <c r="P868" s="1"/>
      <c r="Q868" s="1"/>
      <c r="R868" s="1"/>
      <c r="S868" s="1"/>
    </row>
    <row r="869" spans="1:19" x14ac:dyDescent="0.2">
      <c r="A869" s="1"/>
      <c r="B869" s="1"/>
      <c r="C869" s="1"/>
      <c r="D869" s="1"/>
      <c r="E869" s="1"/>
      <c r="F869" s="1"/>
      <c r="H869" s="1"/>
      <c r="I869" s="1"/>
      <c r="J869" s="1"/>
      <c r="K869" s="1"/>
      <c r="L869" s="1"/>
      <c r="M869" s="1"/>
      <c r="N869" s="1"/>
      <c r="O869" s="1"/>
      <c r="P869" s="1"/>
      <c r="Q869" s="1"/>
      <c r="R869" s="1"/>
      <c r="S869" s="1"/>
    </row>
    <row r="870" spans="1:19" x14ac:dyDescent="0.2">
      <c r="A870" s="1"/>
      <c r="B870" s="1"/>
      <c r="C870" s="1"/>
      <c r="D870" s="1"/>
      <c r="E870" s="1"/>
      <c r="F870" s="1"/>
      <c r="H870" s="1"/>
      <c r="I870" s="1"/>
      <c r="J870" s="1"/>
      <c r="K870" s="1"/>
      <c r="L870" s="1"/>
      <c r="M870" s="1"/>
      <c r="N870" s="1"/>
      <c r="O870" s="1"/>
      <c r="P870" s="1"/>
      <c r="Q870" s="1"/>
      <c r="R870" s="1"/>
      <c r="S870" s="1"/>
    </row>
    <row r="871" spans="1:19" x14ac:dyDescent="0.2">
      <c r="A871" s="1"/>
      <c r="B871" s="1"/>
      <c r="C871" s="1"/>
      <c r="D871" s="1"/>
      <c r="E871" s="1"/>
      <c r="F871" s="1"/>
      <c r="H871" s="1"/>
      <c r="I871" s="1"/>
      <c r="J871" s="1"/>
      <c r="K871" s="1"/>
      <c r="L871" s="1"/>
      <c r="M871" s="1"/>
      <c r="N871" s="1"/>
      <c r="O871" s="1"/>
      <c r="P871" s="1"/>
      <c r="Q871" s="1"/>
      <c r="R871" s="1"/>
      <c r="S871" s="1"/>
    </row>
    <row r="872" spans="1:19" x14ac:dyDescent="0.2">
      <c r="A872" s="1"/>
      <c r="B872" s="1"/>
      <c r="C872" s="1"/>
      <c r="D872" s="1"/>
      <c r="E872" s="1"/>
      <c r="F872" s="1"/>
      <c r="H872" s="1"/>
      <c r="I872" s="1"/>
      <c r="J872" s="1"/>
      <c r="K872" s="1"/>
      <c r="L872" s="1"/>
      <c r="M872" s="1"/>
      <c r="N872" s="1"/>
      <c r="O872" s="1"/>
      <c r="P872" s="1"/>
      <c r="Q872" s="1"/>
      <c r="R872" s="1"/>
      <c r="S872" s="1"/>
    </row>
    <row r="873" spans="1:19" x14ac:dyDescent="0.2">
      <c r="A873" s="1"/>
      <c r="B873" s="1"/>
      <c r="C873" s="1"/>
      <c r="D873" s="1"/>
      <c r="E873" s="1"/>
      <c r="F873" s="1"/>
      <c r="H873" s="1"/>
      <c r="I873" s="1"/>
      <c r="J873" s="1"/>
      <c r="K873" s="1"/>
      <c r="L873" s="1"/>
      <c r="M873" s="1"/>
      <c r="N873" s="1"/>
      <c r="O873" s="1"/>
      <c r="P873" s="1"/>
      <c r="Q873" s="1"/>
      <c r="R873" s="1"/>
      <c r="S873" s="1"/>
    </row>
    <row r="874" spans="1:19" x14ac:dyDescent="0.2">
      <c r="A874" s="1"/>
      <c r="B874" s="1"/>
      <c r="C874" s="1"/>
      <c r="D874" s="1"/>
      <c r="E874" s="1"/>
      <c r="F874" s="1"/>
      <c r="H874" s="1"/>
      <c r="I874" s="1"/>
      <c r="J874" s="1"/>
      <c r="K874" s="1"/>
      <c r="L874" s="1"/>
      <c r="M874" s="1"/>
      <c r="N874" s="1"/>
      <c r="O874" s="1"/>
      <c r="P874" s="1"/>
      <c r="Q874" s="1"/>
      <c r="R874" s="1"/>
      <c r="S874" s="1"/>
    </row>
    <row r="875" spans="1:19" x14ac:dyDescent="0.2">
      <c r="A875" s="1"/>
      <c r="B875" s="1"/>
      <c r="C875" s="1"/>
      <c r="D875" s="1"/>
      <c r="E875" s="1"/>
      <c r="F875" s="1"/>
      <c r="H875" s="1"/>
      <c r="I875" s="1"/>
      <c r="J875" s="1"/>
      <c r="K875" s="1"/>
      <c r="L875" s="1"/>
      <c r="M875" s="1"/>
      <c r="N875" s="1"/>
      <c r="O875" s="1"/>
      <c r="P875" s="1"/>
      <c r="Q875" s="1"/>
      <c r="R875" s="1"/>
      <c r="S875" s="1"/>
    </row>
    <row r="876" spans="1:19" x14ac:dyDescent="0.2">
      <c r="A876" s="1"/>
      <c r="B876" s="1"/>
      <c r="C876" s="1"/>
      <c r="D876" s="1"/>
      <c r="E876" s="1"/>
      <c r="F876" s="1"/>
      <c r="H876" s="1"/>
      <c r="I876" s="1"/>
      <c r="J876" s="1"/>
      <c r="K876" s="1"/>
      <c r="L876" s="1"/>
      <c r="M876" s="1"/>
      <c r="N876" s="1"/>
      <c r="O876" s="1"/>
      <c r="P876" s="1"/>
      <c r="Q876" s="1"/>
      <c r="R876" s="1"/>
      <c r="S876" s="1"/>
    </row>
    <row r="877" spans="1:19" x14ac:dyDescent="0.2">
      <c r="A877" s="1"/>
      <c r="B877" s="1"/>
      <c r="C877" s="1"/>
      <c r="D877" s="1"/>
      <c r="E877" s="1"/>
      <c r="F877" s="1"/>
      <c r="H877" s="1"/>
      <c r="I877" s="1"/>
      <c r="J877" s="1"/>
      <c r="K877" s="1"/>
      <c r="L877" s="1"/>
      <c r="M877" s="1"/>
      <c r="N877" s="1"/>
      <c r="O877" s="1"/>
      <c r="P877" s="1"/>
      <c r="Q877" s="1"/>
      <c r="R877" s="1"/>
      <c r="S877" s="1"/>
    </row>
    <row r="878" spans="1:19" x14ac:dyDescent="0.2">
      <c r="A878" s="1"/>
      <c r="B878" s="1"/>
      <c r="C878" s="1"/>
      <c r="D878" s="1"/>
      <c r="E878" s="1"/>
      <c r="F878" s="1"/>
      <c r="H878" s="1"/>
      <c r="I878" s="1"/>
      <c r="J878" s="1"/>
      <c r="K878" s="1"/>
      <c r="L878" s="1"/>
      <c r="M878" s="1"/>
      <c r="N878" s="1"/>
      <c r="O878" s="1"/>
      <c r="P878" s="1"/>
      <c r="Q878" s="1"/>
      <c r="R878" s="1"/>
      <c r="S878" s="1"/>
    </row>
    <row r="879" spans="1:19" x14ac:dyDescent="0.2">
      <c r="A879" s="1"/>
      <c r="B879" s="1"/>
      <c r="C879" s="1"/>
      <c r="D879" s="1"/>
      <c r="E879" s="1"/>
      <c r="F879" s="1"/>
      <c r="H879" s="1"/>
      <c r="I879" s="1"/>
      <c r="J879" s="1"/>
      <c r="K879" s="1"/>
      <c r="L879" s="1"/>
      <c r="M879" s="1"/>
      <c r="N879" s="1"/>
      <c r="O879" s="1"/>
      <c r="P879" s="1"/>
      <c r="Q879" s="1"/>
      <c r="R879" s="1"/>
      <c r="S879" s="1"/>
    </row>
    <row r="880" spans="1:19" x14ac:dyDescent="0.2">
      <c r="A880" s="1"/>
      <c r="B880" s="1"/>
      <c r="C880" s="1"/>
      <c r="D880" s="1"/>
      <c r="E880" s="1"/>
      <c r="F880" s="1"/>
      <c r="H880" s="1"/>
      <c r="I880" s="1"/>
      <c r="J880" s="1"/>
      <c r="K880" s="1"/>
      <c r="L880" s="1"/>
      <c r="M880" s="1"/>
      <c r="N880" s="1"/>
      <c r="O880" s="1"/>
      <c r="P880" s="1"/>
      <c r="Q880" s="1"/>
      <c r="R880" s="1"/>
      <c r="S880" s="1"/>
    </row>
    <row r="881" spans="1:19" x14ac:dyDescent="0.2">
      <c r="A881" s="1"/>
      <c r="B881" s="1"/>
      <c r="C881" s="1"/>
      <c r="D881" s="1"/>
      <c r="E881" s="1"/>
      <c r="F881" s="1"/>
      <c r="H881" s="1"/>
      <c r="I881" s="1"/>
      <c r="J881" s="1"/>
      <c r="K881" s="1"/>
      <c r="L881" s="1"/>
      <c r="M881" s="1"/>
      <c r="N881" s="1"/>
      <c r="O881" s="1"/>
      <c r="P881" s="1"/>
      <c r="Q881" s="1"/>
      <c r="R881" s="1"/>
      <c r="S881" s="1"/>
    </row>
    <row r="882" spans="1:19" x14ac:dyDescent="0.2">
      <c r="A882" s="1"/>
      <c r="B882" s="1"/>
      <c r="C882" s="1"/>
      <c r="D882" s="1"/>
      <c r="E882" s="1"/>
      <c r="F882" s="1"/>
      <c r="H882" s="1"/>
      <c r="I882" s="1"/>
      <c r="J882" s="1"/>
      <c r="K882" s="1"/>
      <c r="L882" s="1"/>
      <c r="M882" s="1"/>
      <c r="N882" s="1"/>
      <c r="O882" s="1"/>
      <c r="P882" s="1"/>
      <c r="Q882" s="1"/>
      <c r="R882" s="1"/>
      <c r="S882" s="1"/>
    </row>
    <row r="883" spans="1:19" x14ac:dyDescent="0.2">
      <c r="A883" s="1"/>
      <c r="B883" s="1"/>
      <c r="C883" s="1"/>
      <c r="D883" s="1"/>
      <c r="E883" s="1"/>
      <c r="F883" s="1"/>
      <c r="H883" s="1"/>
      <c r="I883" s="1"/>
      <c r="J883" s="1"/>
      <c r="K883" s="1"/>
      <c r="L883" s="1"/>
      <c r="M883" s="1"/>
      <c r="N883" s="1"/>
      <c r="O883" s="1"/>
      <c r="P883" s="1"/>
      <c r="Q883" s="1"/>
      <c r="R883" s="1"/>
      <c r="S883" s="1"/>
    </row>
    <row r="884" spans="1:19" x14ac:dyDescent="0.2">
      <c r="A884" s="1"/>
      <c r="B884" s="1"/>
      <c r="C884" s="1"/>
      <c r="D884" s="1"/>
      <c r="E884" s="1"/>
      <c r="F884" s="1"/>
      <c r="H884" s="1"/>
      <c r="I884" s="1"/>
      <c r="J884" s="1"/>
      <c r="K884" s="1"/>
      <c r="L884" s="1"/>
      <c r="M884" s="1"/>
      <c r="N884" s="1"/>
      <c r="O884" s="1"/>
      <c r="P884" s="1"/>
      <c r="Q884" s="1"/>
      <c r="R884" s="1"/>
      <c r="S884" s="1"/>
    </row>
    <row r="885" spans="1:19" x14ac:dyDescent="0.2">
      <c r="A885" s="1"/>
      <c r="B885" s="1"/>
      <c r="C885" s="1"/>
      <c r="D885" s="1"/>
      <c r="E885" s="1"/>
      <c r="F885" s="1"/>
      <c r="H885" s="1"/>
      <c r="I885" s="1"/>
      <c r="J885" s="1"/>
      <c r="K885" s="1"/>
      <c r="L885" s="1"/>
      <c r="M885" s="1"/>
      <c r="N885" s="1"/>
      <c r="O885" s="1"/>
      <c r="P885" s="1"/>
      <c r="Q885" s="1"/>
      <c r="R885" s="1"/>
      <c r="S885" s="1"/>
    </row>
    <row r="886" spans="1:19" x14ac:dyDescent="0.2">
      <c r="A886" s="1"/>
      <c r="B886" s="1"/>
      <c r="C886" s="1"/>
      <c r="D886" s="1"/>
      <c r="E886" s="1"/>
      <c r="F886" s="1"/>
      <c r="H886" s="1"/>
      <c r="I886" s="1"/>
      <c r="J886" s="1"/>
      <c r="K886" s="1"/>
      <c r="L886" s="1"/>
      <c r="M886" s="1"/>
      <c r="N886" s="1"/>
      <c r="O886" s="1"/>
      <c r="P886" s="1"/>
      <c r="Q886" s="1"/>
      <c r="R886" s="1"/>
      <c r="S886" s="1"/>
    </row>
    <row r="887" spans="1:19" x14ac:dyDescent="0.2">
      <c r="A887" s="1"/>
      <c r="B887" s="1"/>
      <c r="C887" s="1"/>
      <c r="D887" s="1"/>
      <c r="E887" s="1"/>
      <c r="F887" s="1"/>
      <c r="H887" s="1"/>
      <c r="I887" s="1"/>
      <c r="J887" s="1"/>
      <c r="K887" s="1"/>
      <c r="L887" s="1"/>
      <c r="M887" s="1"/>
      <c r="N887" s="1"/>
      <c r="O887" s="1"/>
      <c r="P887" s="1"/>
      <c r="Q887" s="1"/>
      <c r="R887" s="1"/>
      <c r="S887" s="1"/>
    </row>
    <row r="888" spans="1:19" x14ac:dyDescent="0.2">
      <c r="A888" s="1"/>
      <c r="B888" s="1"/>
      <c r="C888" s="1"/>
      <c r="D888" s="1"/>
      <c r="E888" s="1"/>
      <c r="F888" s="1"/>
      <c r="H888" s="1"/>
      <c r="I888" s="1"/>
      <c r="J888" s="1"/>
      <c r="K888" s="1"/>
      <c r="L888" s="1"/>
      <c r="M888" s="1"/>
      <c r="N888" s="1"/>
      <c r="O888" s="1"/>
      <c r="P888" s="1"/>
      <c r="Q888" s="1"/>
      <c r="R888" s="1"/>
      <c r="S888" s="1"/>
    </row>
    <row r="889" spans="1:19" x14ac:dyDescent="0.2">
      <c r="A889" s="1"/>
      <c r="B889" s="1"/>
      <c r="C889" s="1"/>
      <c r="D889" s="1"/>
      <c r="E889" s="1"/>
      <c r="F889" s="1"/>
      <c r="H889" s="1"/>
      <c r="I889" s="1"/>
      <c r="J889" s="1"/>
      <c r="K889" s="1"/>
      <c r="L889" s="1"/>
      <c r="M889" s="1"/>
      <c r="N889" s="1"/>
      <c r="O889" s="1"/>
      <c r="P889" s="1"/>
      <c r="Q889" s="1"/>
      <c r="R889" s="1"/>
      <c r="S889" s="1"/>
    </row>
    <row r="890" spans="1:19" x14ac:dyDescent="0.2">
      <c r="A890" s="1"/>
      <c r="B890" s="1"/>
      <c r="C890" s="1"/>
      <c r="D890" s="1"/>
      <c r="E890" s="1"/>
      <c r="F890" s="1"/>
      <c r="H890" s="1"/>
      <c r="I890" s="1"/>
      <c r="J890" s="1"/>
      <c r="K890" s="1"/>
      <c r="L890" s="1"/>
      <c r="M890" s="1"/>
      <c r="N890" s="1"/>
      <c r="O890" s="1"/>
      <c r="P890" s="1"/>
      <c r="Q890" s="1"/>
      <c r="R890" s="1"/>
      <c r="S890" s="1"/>
    </row>
    <row r="891" spans="1:19" x14ac:dyDescent="0.2">
      <c r="A891" s="1"/>
      <c r="B891" s="1"/>
      <c r="C891" s="1"/>
      <c r="D891" s="1"/>
      <c r="E891" s="1"/>
      <c r="F891" s="1"/>
      <c r="H891" s="1"/>
      <c r="I891" s="1"/>
      <c r="J891" s="1"/>
      <c r="K891" s="1"/>
      <c r="L891" s="1"/>
      <c r="M891" s="1"/>
      <c r="N891" s="1"/>
      <c r="O891" s="1"/>
      <c r="P891" s="1"/>
      <c r="Q891" s="1"/>
      <c r="R891" s="1"/>
      <c r="S891" s="1"/>
    </row>
    <row r="892" spans="1:19" x14ac:dyDescent="0.2">
      <c r="A892" s="1"/>
      <c r="B892" s="1"/>
      <c r="C892" s="1"/>
      <c r="D892" s="1"/>
      <c r="E892" s="1"/>
      <c r="F892" s="1"/>
      <c r="H892" s="1"/>
      <c r="I892" s="1"/>
      <c r="J892" s="1"/>
      <c r="K892" s="1"/>
      <c r="L892" s="1"/>
      <c r="M892" s="1"/>
      <c r="N892" s="1"/>
      <c r="O892" s="1"/>
      <c r="P892" s="1"/>
      <c r="Q892" s="1"/>
      <c r="R892" s="1"/>
      <c r="S892" s="1"/>
    </row>
    <row r="893" spans="1:19" x14ac:dyDescent="0.2">
      <c r="A893" s="1"/>
      <c r="B893" s="1"/>
      <c r="C893" s="1"/>
      <c r="D893" s="1"/>
      <c r="E893" s="1"/>
      <c r="F893" s="1"/>
      <c r="H893" s="1"/>
      <c r="I893" s="1"/>
      <c r="J893" s="1"/>
      <c r="K893" s="1"/>
      <c r="L893" s="1"/>
      <c r="M893" s="1"/>
      <c r="N893" s="1"/>
      <c r="O893" s="1"/>
      <c r="P893" s="1"/>
      <c r="Q893" s="1"/>
      <c r="R893" s="1"/>
      <c r="S893" s="1"/>
    </row>
    <row r="894" spans="1:19" x14ac:dyDescent="0.2">
      <c r="A894" s="1"/>
      <c r="B894" s="1"/>
      <c r="C894" s="1"/>
      <c r="D894" s="1"/>
      <c r="E894" s="1"/>
      <c r="F894" s="1"/>
      <c r="H894" s="1"/>
      <c r="I894" s="1"/>
      <c r="J894" s="1"/>
      <c r="K894" s="1"/>
      <c r="L894" s="1"/>
      <c r="M894" s="1"/>
      <c r="N894" s="1"/>
      <c r="O894" s="1"/>
      <c r="P894" s="1"/>
      <c r="Q894" s="1"/>
      <c r="R894" s="1"/>
      <c r="S894" s="1"/>
    </row>
    <row r="895" spans="1:19" x14ac:dyDescent="0.2">
      <c r="A895" s="1"/>
      <c r="B895" s="1"/>
      <c r="C895" s="1"/>
      <c r="D895" s="1"/>
      <c r="E895" s="1"/>
      <c r="F895" s="1"/>
      <c r="H895" s="1"/>
      <c r="I895" s="1"/>
      <c r="J895" s="1"/>
      <c r="K895" s="1"/>
      <c r="L895" s="1"/>
      <c r="M895" s="1"/>
      <c r="N895" s="1"/>
      <c r="O895" s="1"/>
      <c r="P895" s="1"/>
      <c r="Q895" s="1"/>
      <c r="R895" s="1"/>
      <c r="S895" s="1"/>
    </row>
    <row r="896" spans="1:19" x14ac:dyDescent="0.2">
      <c r="A896" s="1"/>
      <c r="B896" s="1"/>
      <c r="C896" s="1"/>
      <c r="D896" s="1"/>
      <c r="E896" s="1"/>
      <c r="F896" s="1"/>
      <c r="H896" s="1"/>
      <c r="I896" s="1"/>
      <c r="J896" s="1"/>
      <c r="K896" s="1"/>
      <c r="L896" s="1"/>
      <c r="M896" s="1"/>
      <c r="N896" s="1"/>
      <c r="O896" s="1"/>
      <c r="P896" s="1"/>
      <c r="Q896" s="1"/>
      <c r="R896" s="1"/>
      <c r="S896" s="1"/>
    </row>
    <row r="897" spans="1:19" x14ac:dyDescent="0.2">
      <c r="A897" s="1"/>
      <c r="B897" s="1"/>
      <c r="C897" s="1"/>
      <c r="D897" s="1"/>
      <c r="E897" s="1"/>
      <c r="F897" s="1"/>
      <c r="H897" s="1"/>
      <c r="I897" s="1"/>
      <c r="J897" s="1"/>
      <c r="K897" s="1"/>
      <c r="L897" s="1"/>
      <c r="M897" s="1"/>
      <c r="N897" s="1"/>
      <c r="O897" s="1"/>
      <c r="P897" s="1"/>
      <c r="Q897" s="1"/>
      <c r="R897" s="1"/>
      <c r="S897" s="1"/>
    </row>
    <row r="898" spans="1:19" x14ac:dyDescent="0.2">
      <c r="A898" s="1"/>
      <c r="B898" s="1"/>
      <c r="C898" s="1"/>
      <c r="D898" s="1"/>
      <c r="E898" s="1"/>
      <c r="F898" s="1"/>
      <c r="H898" s="1"/>
      <c r="I898" s="1"/>
      <c r="J898" s="1"/>
      <c r="K898" s="1"/>
      <c r="L898" s="1"/>
      <c r="M898" s="1"/>
      <c r="N898" s="1"/>
      <c r="O898" s="1"/>
      <c r="P898" s="1"/>
      <c r="Q898" s="1"/>
      <c r="R898" s="1"/>
      <c r="S898" s="1"/>
    </row>
    <row r="899" spans="1:19" x14ac:dyDescent="0.2">
      <c r="A899" s="1"/>
      <c r="B899" s="1"/>
      <c r="C899" s="1"/>
      <c r="D899" s="1"/>
      <c r="E899" s="1"/>
      <c r="F899" s="1"/>
      <c r="H899" s="1"/>
      <c r="I899" s="1"/>
      <c r="J899" s="1"/>
      <c r="K899" s="1"/>
      <c r="L899" s="1"/>
      <c r="M899" s="1"/>
      <c r="N899" s="1"/>
      <c r="O899" s="1"/>
      <c r="P899" s="1"/>
      <c r="Q899" s="1"/>
      <c r="R899" s="1"/>
      <c r="S899" s="1"/>
    </row>
    <row r="900" spans="1:19" x14ac:dyDescent="0.2">
      <c r="A900" s="1"/>
      <c r="B900" s="1"/>
      <c r="C900" s="1"/>
      <c r="D900" s="1"/>
      <c r="E900" s="1"/>
      <c r="F900" s="1"/>
      <c r="H900" s="1"/>
      <c r="I900" s="1"/>
      <c r="J900" s="1"/>
      <c r="K900" s="1"/>
      <c r="L900" s="1"/>
      <c r="M900" s="1"/>
      <c r="N900" s="1"/>
      <c r="O900" s="1"/>
      <c r="P900" s="1"/>
      <c r="Q900" s="1"/>
      <c r="R900" s="1"/>
      <c r="S900" s="1"/>
    </row>
    <row r="901" spans="1:19" x14ac:dyDescent="0.2">
      <c r="A901" s="1"/>
      <c r="B901" s="1"/>
      <c r="C901" s="1"/>
      <c r="D901" s="1"/>
      <c r="E901" s="1"/>
      <c r="F901" s="1"/>
      <c r="H901" s="1"/>
      <c r="I901" s="1"/>
      <c r="J901" s="1"/>
      <c r="K901" s="1"/>
      <c r="L901" s="1"/>
      <c r="M901" s="1"/>
      <c r="N901" s="1"/>
      <c r="O901" s="1"/>
      <c r="P901" s="1"/>
      <c r="Q901" s="1"/>
      <c r="R901" s="1"/>
      <c r="S901" s="1"/>
    </row>
    <row r="902" spans="1:19" x14ac:dyDescent="0.2">
      <c r="A902" s="1"/>
      <c r="B902" s="1"/>
      <c r="C902" s="1"/>
      <c r="D902" s="1"/>
      <c r="E902" s="1"/>
      <c r="F902" s="1"/>
      <c r="H902" s="1"/>
      <c r="I902" s="1"/>
      <c r="J902" s="1"/>
      <c r="K902" s="1"/>
      <c r="L902" s="1"/>
      <c r="M902" s="1"/>
      <c r="N902" s="1"/>
      <c r="O902" s="1"/>
      <c r="P902" s="1"/>
      <c r="Q902" s="1"/>
      <c r="R902" s="1"/>
      <c r="S902" s="1"/>
    </row>
    <row r="903" spans="1:19" x14ac:dyDescent="0.2">
      <c r="A903" s="1"/>
      <c r="B903" s="1"/>
      <c r="C903" s="1"/>
      <c r="D903" s="1"/>
      <c r="E903" s="1"/>
      <c r="F903" s="1"/>
      <c r="H903" s="1"/>
      <c r="I903" s="1"/>
      <c r="J903" s="1"/>
      <c r="K903" s="1"/>
      <c r="L903" s="1"/>
      <c r="M903" s="1"/>
      <c r="N903" s="1"/>
      <c r="O903" s="1"/>
      <c r="P903" s="1"/>
      <c r="Q903" s="1"/>
      <c r="R903" s="1"/>
      <c r="S903" s="1"/>
    </row>
    <row r="904" spans="1:19" x14ac:dyDescent="0.2">
      <c r="A904" s="1"/>
      <c r="B904" s="1"/>
      <c r="C904" s="1"/>
      <c r="D904" s="1"/>
      <c r="E904" s="1"/>
      <c r="F904" s="1"/>
      <c r="H904" s="1"/>
      <c r="I904" s="1"/>
      <c r="J904" s="1"/>
      <c r="K904" s="1"/>
      <c r="L904" s="1"/>
      <c r="M904" s="1"/>
      <c r="N904" s="1"/>
      <c r="O904" s="1"/>
      <c r="P904" s="1"/>
      <c r="Q904" s="1"/>
      <c r="R904" s="1"/>
      <c r="S904" s="1"/>
    </row>
    <row r="905" spans="1:19" x14ac:dyDescent="0.2">
      <c r="A905" s="1"/>
      <c r="B905" s="1"/>
      <c r="C905" s="1"/>
      <c r="D905" s="1"/>
      <c r="E905" s="1"/>
      <c r="F905" s="1"/>
      <c r="H905" s="1"/>
      <c r="I905" s="1"/>
      <c r="J905" s="1"/>
      <c r="K905" s="1"/>
      <c r="L905" s="1"/>
      <c r="M905" s="1"/>
      <c r="N905" s="1"/>
      <c r="O905" s="1"/>
      <c r="P905" s="1"/>
      <c r="Q905" s="1"/>
      <c r="R905" s="1"/>
      <c r="S905" s="1"/>
    </row>
    <row r="906" spans="1:19" x14ac:dyDescent="0.2">
      <c r="A906" s="1"/>
      <c r="B906" s="1"/>
      <c r="C906" s="1"/>
      <c r="D906" s="1"/>
      <c r="E906" s="1"/>
      <c r="F906" s="1"/>
      <c r="H906" s="1"/>
      <c r="I906" s="1"/>
      <c r="J906" s="1"/>
      <c r="K906" s="1"/>
      <c r="L906" s="1"/>
      <c r="M906" s="1"/>
      <c r="N906" s="1"/>
      <c r="O906" s="1"/>
      <c r="P906" s="1"/>
      <c r="Q906" s="1"/>
      <c r="R906" s="1"/>
      <c r="S906" s="1"/>
    </row>
    <row r="907" spans="1:19" x14ac:dyDescent="0.2">
      <c r="A907" s="1"/>
      <c r="B907" s="1"/>
      <c r="C907" s="1"/>
      <c r="D907" s="1"/>
      <c r="E907" s="1"/>
      <c r="F907" s="1"/>
      <c r="H907" s="1"/>
      <c r="I907" s="1"/>
      <c r="J907" s="1"/>
      <c r="K907" s="1"/>
      <c r="L907" s="1"/>
      <c r="M907" s="1"/>
      <c r="N907" s="1"/>
      <c r="O907" s="1"/>
      <c r="P907" s="1"/>
      <c r="Q907" s="1"/>
      <c r="R907" s="1"/>
      <c r="S907" s="1"/>
    </row>
    <row r="908" spans="1:19" x14ac:dyDescent="0.2">
      <c r="A908" s="1"/>
      <c r="B908" s="1"/>
      <c r="C908" s="1"/>
      <c r="D908" s="1"/>
      <c r="E908" s="1"/>
      <c r="F908" s="1"/>
      <c r="H908" s="1"/>
      <c r="I908" s="1"/>
      <c r="J908" s="1"/>
      <c r="K908" s="1"/>
      <c r="L908" s="1"/>
      <c r="M908" s="1"/>
      <c r="N908" s="1"/>
      <c r="O908" s="1"/>
      <c r="P908" s="1"/>
      <c r="Q908" s="1"/>
      <c r="R908" s="1"/>
      <c r="S908" s="1"/>
    </row>
    <row r="909" spans="1:19" x14ac:dyDescent="0.2">
      <c r="A909" s="1"/>
      <c r="B909" s="1"/>
      <c r="C909" s="1"/>
      <c r="D909" s="1"/>
      <c r="E909" s="1"/>
      <c r="F909" s="1"/>
      <c r="H909" s="1"/>
      <c r="I909" s="1"/>
      <c r="J909" s="1"/>
      <c r="K909" s="1"/>
      <c r="L909" s="1"/>
      <c r="M909" s="1"/>
      <c r="N909" s="1"/>
      <c r="O909" s="1"/>
      <c r="P909" s="1"/>
      <c r="Q909" s="1"/>
      <c r="R909" s="1"/>
      <c r="S909" s="1"/>
    </row>
    <row r="910" spans="1:19" x14ac:dyDescent="0.2">
      <c r="A910" s="1"/>
      <c r="B910" s="1"/>
      <c r="C910" s="1"/>
      <c r="D910" s="1"/>
      <c r="E910" s="1"/>
      <c r="F910" s="1"/>
      <c r="H910" s="1"/>
      <c r="I910" s="1"/>
      <c r="J910" s="1"/>
      <c r="K910" s="1"/>
      <c r="L910" s="1"/>
      <c r="M910" s="1"/>
      <c r="N910" s="1"/>
      <c r="O910" s="1"/>
      <c r="P910" s="1"/>
      <c r="Q910" s="1"/>
      <c r="R910" s="1"/>
      <c r="S910" s="1"/>
    </row>
    <row r="911" spans="1:19" x14ac:dyDescent="0.2">
      <c r="A911" s="1"/>
      <c r="B911" s="1"/>
      <c r="C911" s="1"/>
      <c r="D911" s="1"/>
      <c r="E911" s="1"/>
      <c r="F911" s="1"/>
      <c r="H911" s="1"/>
      <c r="I911" s="1"/>
      <c r="J911" s="1"/>
      <c r="K911" s="1"/>
      <c r="L911" s="1"/>
      <c r="M911" s="1"/>
      <c r="N911" s="1"/>
      <c r="O911" s="1"/>
      <c r="P911" s="1"/>
      <c r="Q911" s="1"/>
      <c r="R911" s="1"/>
      <c r="S911" s="1"/>
    </row>
    <row r="912" spans="1:19" x14ac:dyDescent="0.2">
      <c r="A912" s="1"/>
      <c r="B912" s="1"/>
      <c r="C912" s="1"/>
      <c r="D912" s="1"/>
      <c r="E912" s="1"/>
      <c r="F912" s="1"/>
      <c r="H912" s="1"/>
      <c r="I912" s="1"/>
      <c r="J912" s="1"/>
      <c r="K912" s="1"/>
      <c r="L912" s="1"/>
      <c r="M912" s="1"/>
      <c r="N912" s="1"/>
      <c r="O912" s="1"/>
      <c r="P912" s="1"/>
      <c r="Q912" s="1"/>
      <c r="R912" s="1"/>
      <c r="S912" s="1"/>
    </row>
    <row r="913" spans="1:19" x14ac:dyDescent="0.2">
      <c r="A913" s="1"/>
      <c r="B913" s="1"/>
      <c r="C913" s="1"/>
      <c r="D913" s="1"/>
      <c r="E913" s="1"/>
      <c r="F913" s="1"/>
      <c r="H913" s="1"/>
      <c r="I913" s="1"/>
      <c r="J913" s="1"/>
      <c r="K913" s="1"/>
      <c r="L913" s="1"/>
      <c r="M913" s="1"/>
      <c r="N913" s="1"/>
      <c r="O913" s="1"/>
      <c r="P913" s="1"/>
      <c r="Q913" s="1"/>
      <c r="R913" s="1"/>
      <c r="S913" s="1"/>
    </row>
    <row r="914" spans="1:19" x14ac:dyDescent="0.2">
      <c r="A914" s="1"/>
      <c r="B914" s="1"/>
      <c r="C914" s="1"/>
      <c r="D914" s="1"/>
      <c r="E914" s="1"/>
      <c r="F914" s="1"/>
      <c r="H914" s="1"/>
      <c r="I914" s="1"/>
      <c r="J914" s="1"/>
      <c r="K914" s="1"/>
      <c r="L914" s="1"/>
      <c r="M914" s="1"/>
      <c r="N914" s="1"/>
      <c r="O914" s="1"/>
      <c r="P914" s="1"/>
      <c r="Q914" s="1"/>
      <c r="R914" s="1"/>
      <c r="S914" s="1"/>
    </row>
    <row r="915" spans="1:19" x14ac:dyDescent="0.2">
      <c r="A915" s="1"/>
      <c r="B915" s="1"/>
      <c r="C915" s="1"/>
      <c r="D915" s="1"/>
      <c r="E915" s="1"/>
      <c r="F915" s="1"/>
      <c r="H915" s="1"/>
      <c r="I915" s="1"/>
      <c r="J915" s="1"/>
      <c r="K915" s="1"/>
      <c r="L915" s="1"/>
      <c r="M915" s="1"/>
      <c r="N915" s="1"/>
      <c r="O915" s="1"/>
      <c r="P915" s="1"/>
      <c r="Q915" s="1"/>
      <c r="R915" s="1"/>
      <c r="S915" s="1"/>
    </row>
    <row r="916" spans="1:19" x14ac:dyDescent="0.2">
      <c r="A916" s="1"/>
      <c r="B916" s="1"/>
      <c r="C916" s="1"/>
      <c r="D916" s="1"/>
      <c r="E916" s="1"/>
      <c r="F916" s="1"/>
      <c r="H916" s="1"/>
      <c r="I916" s="1"/>
      <c r="J916" s="1"/>
      <c r="K916" s="1"/>
      <c r="L916" s="1"/>
      <c r="M916" s="1"/>
      <c r="N916" s="1"/>
      <c r="O916" s="1"/>
      <c r="P916" s="1"/>
      <c r="Q916" s="1"/>
      <c r="R916" s="1"/>
      <c r="S916" s="1"/>
    </row>
    <row r="917" spans="1:19" x14ac:dyDescent="0.2">
      <c r="A917" s="1"/>
      <c r="B917" s="1"/>
      <c r="C917" s="1"/>
      <c r="D917" s="1"/>
      <c r="E917" s="1"/>
      <c r="F917" s="1"/>
      <c r="H917" s="1"/>
      <c r="I917" s="1"/>
      <c r="J917" s="1"/>
      <c r="K917" s="1"/>
      <c r="L917" s="1"/>
      <c r="M917" s="1"/>
      <c r="N917" s="1"/>
      <c r="O917" s="1"/>
      <c r="P917" s="1"/>
      <c r="Q917" s="1"/>
      <c r="R917" s="1"/>
      <c r="S917" s="1"/>
    </row>
    <row r="918" spans="1:19" x14ac:dyDescent="0.2">
      <c r="A918" s="1"/>
      <c r="B918" s="1"/>
      <c r="C918" s="1"/>
      <c r="D918" s="1"/>
      <c r="E918" s="1"/>
      <c r="F918" s="1"/>
      <c r="H918" s="1"/>
      <c r="I918" s="1"/>
      <c r="J918" s="1"/>
      <c r="K918" s="1"/>
      <c r="L918" s="1"/>
      <c r="M918" s="1"/>
      <c r="N918" s="1"/>
      <c r="O918" s="1"/>
      <c r="P918" s="1"/>
      <c r="Q918" s="1"/>
      <c r="R918" s="1"/>
      <c r="S918" s="1"/>
    </row>
    <row r="919" spans="1:19" x14ac:dyDescent="0.2">
      <c r="A919" s="1"/>
      <c r="B919" s="1"/>
      <c r="C919" s="1"/>
      <c r="D919" s="1"/>
      <c r="E919" s="1"/>
      <c r="F919" s="1"/>
      <c r="H919" s="1"/>
      <c r="I919" s="1"/>
      <c r="J919" s="1"/>
      <c r="K919" s="1"/>
      <c r="L919" s="1"/>
      <c r="M919" s="1"/>
      <c r="N919" s="1"/>
      <c r="O919" s="1"/>
      <c r="P919" s="1"/>
      <c r="Q919" s="1"/>
      <c r="R919" s="1"/>
      <c r="S919" s="1"/>
    </row>
    <row r="920" spans="1:19" x14ac:dyDescent="0.2">
      <c r="A920" s="1"/>
      <c r="B920" s="1"/>
      <c r="C920" s="1"/>
      <c r="D920" s="1"/>
      <c r="E920" s="1"/>
      <c r="F920" s="1"/>
      <c r="H920" s="1"/>
      <c r="I920" s="1"/>
      <c r="J920" s="1"/>
      <c r="K920" s="1"/>
      <c r="L920" s="1"/>
      <c r="M920" s="1"/>
      <c r="N920" s="1"/>
      <c r="O920" s="1"/>
      <c r="P920" s="1"/>
      <c r="Q920" s="1"/>
      <c r="R920" s="1"/>
      <c r="S920" s="1"/>
    </row>
    <row r="921" spans="1:19" x14ac:dyDescent="0.2">
      <c r="A921" s="1"/>
      <c r="B921" s="1"/>
      <c r="C921" s="1"/>
      <c r="D921" s="1"/>
      <c r="E921" s="1"/>
      <c r="F921" s="1"/>
      <c r="H921" s="1"/>
      <c r="I921" s="1"/>
      <c r="J921" s="1"/>
      <c r="K921" s="1"/>
      <c r="L921" s="1"/>
      <c r="M921" s="1"/>
      <c r="N921" s="1"/>
      <c r="O921" s="1"/>
      <c r="P921" s="1"/>
      <c r="Q921" s="1"/>
      <c r="R921" s="1"/>
      <c r="S921" s="1"/>
    </row>
    <row r="922" spans="1:19" x14ac:dyDescent="0.2">
      <c r="A922" s="1"/>
      <c r="B922" s="1"/>
      <c r="C922" s="1"/>
      <c r="D922" s="1"/>
      <c r="E922" s="1"/>
      <c r="F922" s="1"/>
      <c r="H922" s="1"/>
      <c r="I922" s="1"/>
      <c r="J922" s="1"/>
      <c r="K922" s="1"/>
      <c r="L922" s="1"/>
      <c r="M922" s="1"/>
      <c r="N922" s="1"/>
      <c r="O922" s="1"/>
      <c r="P922" s="1"/>
      <c r="Q922" s="1"/>
      <c r="R922" s="1"/>
      <c r="S922" s="1"/>
    </row>
    <row r="923" spans="1:19" x14ac:dyDescent="0.2">
      <c r="A923" s="1"/>
      <c r="B923" s="1"/>
      <c r="C923" s="1"/>
      <c r="D923" s="1"/>
      <c r="E923" s="1"/>
      <c r="F923" s="1"/>
      <c r="H923" s="1"/>
      <c r="I923" s="1"/>
      <c r="J923" s="1"/>
      <c r="K923" s="1"/>
      <c r="L923" s="1"/>
      <c r="M923" s="1"/>
      <c r="N923" s="1"/>
      <c r="O923" s="1"/>
      <c r="P923" s="1"/>
      <c r="Q923" s="1"/>
      <c r="R923" s="1"/>
      <c r="S923" s="1"/>
    </row>
    <row r="924" spans="1:19" x14ac:dyDescent="0.2">
      <c r="A924" s="1"/>
      <c r="B924" s="1"/>
      <c r="C924" s="1"/>
      <c r="D924" s="1"/>
      <c r="E924" s="1"/>
      <c r="F924" s="1"/>
      <c r="H924" s="1"/>
      <c r="I924" s="1"/>
      <c r="J924" s="1"/>
      <c r="K924" s="1"/>
      <c r="L924" s="1"/>
      <c r="M924" s="1"/>
      <c r="N924" s="1"/>
      <c r="O924" s="1"/>
      <c r="P924" s="1"/>
      <c r="Q924" s="1"/>
      <c r="R924" s="1"/>
      <c r="S924" s="1"/>
    </row>
    <row r="925" spans="1:19" x14ac:dyDescent="0.2">
      <c r="A925" s="1"/>
      <c r="B925" s="1"/>
      <c r="C925" s="1"/>
      <c r="D925" s="1"/>
      <c r="E925" s="1"/>
      <c r="F925" s="1"/>
      <c r="H925" s="1"/>
      <c r="I925" s="1"/>
      <c r="J925" s="1"/>
      <c r="K925" s="1"/>
      <c r="L925" s="1"/>
      <c r="M925" s="1"/>
      <c r="N925" s="1"/>
      <c r="O925" s="1"/>
      <c r="P925" s="1"/>
      <c r="Q925" s="1"/>
      <c r="R925" s="1"/>
      <c r="S925" s="1"/>
    </row>
    <row r="926" spans="1:19" x14ac:dyDescent="0.2">
      <c r="A926" s="1"/>
      <c r="B926" s="1"/>
      <c r="C926" s="1"/>
      <c r="D926" s="1"/>
      <c r="E926" s="1"/>
      <c r="F926" s="1"/>
      <c r="H926" s="1"/>
      <c r="I926" s="1"/>
      <c r="J926" s="1"/>
      <c r="K926" s="1"/>
      <c r="L926" s="1"/>
      <c r="M926" s="1"/>
      <c r="N926" s="1"/>
      <c r="O926" s="1"/>
      <c r="P926" s="1"/>
      <c r="Q926" s="1"/>
      <c r="R926" s="1"/>
      <c r="S926" s="1"/>
    </row>
    <row r="927" spans="1:19" x14ac:dyDescent="0.2">
      <c r="A927" s="1"/>
      <c r="B927" s="1"/>
      <c r="C927" s="1"/>
      <c r="D927" s="1"/>
      <c r="E927" s="1"/>
      <c r="F927" s="1"/>
      <c r="H927" s="1"/>
      <c r="I927" s="1"/>
      <c r="J927" s="1"/>
      <c r="K927" s="1"/>
      <c r="L927" s="1"/>
      <c r="M927" s="1"/>
      <c r="N927" s="1"/>
      <c r="O927" s="1"/>
      <c r="P927" s="1"/>
      <c r="Q927" s="1"/>
      <c r="R927" s="1"/>
      <c r="S927" s="1"/>
    </row>
    <row r="928" spans="1:19" x14ac:dyDescent="0.2">
      <c r="A928" s="1"/>
      <c r="B928" s="1"/>
      <c r="C928" s="1"/>
      <c r="D928" s="1"/>
      <c r="E928" s="1"/>
      <c r="F928" s="1"/>
      <c r="H928" s="1"/>
      <c r="I928" s="1"/>
      <c r="J928" s="1"/>
      <c r="K928" s="1"/>
      <c r="L928" s="1"/>
      <c r="M928" s="1"/>
      <c r="N928" s="1"/>
      <c r="O928" s="1"/>
      <c r="P928" s="1"/>
      <c r="Q928" s="1"/>
      <c r="R928" s="1"/>
      <c r="S928" s="1"/>
    </row>
    <row r="929" spans="1:19" x14ac:dyDescent="0.2">
      <c r="A929" s="1"/>
      <c r="B929" s="1"/>
      <c r="C929" s="1"/>
      <c r="D929" s="1"/>
      <c r="E929" s="1"/>
      <c r="F929" s="1"/>
      <c r="H929" s="1"/>
      <c r="I929" s="1"/>
      <c r="J929" s="1"/>
      <c r="K929" s="1"/>
      <c r="L929" s="1"/>
      <c r="M929" s="1"/>
      <c r="N929" s="1"/>
      <c r="O929" s="1"/>
      <c r="P929" s="1"/>
      <c r="Q929" s="1"/>
      <c r="R929" s="1"/>
      <c r="S929" s="1"/>
    </row>
    <row r="930" spans="1:19" x14ac:dyDescent="0.2">
      <c r="A930" s="1"/>
      <c r="B930" s="1"/>
      <c r="C930" s="1"/>
      <c r="D930" s="1"/>
      <c r="E930" s="1"/>
      <c r="F930" s="1"/>
      <c r="H930" s="1"/>
      <c r="I930" s="1"/>
      <c r="J930" s="1"/>
      <c r="K930" s="1"/>
      <c r="L930" s="1"/>
      <c r="M930" s="1"/>
      <c r="N930" s="1"/>
      <c r="O930" s="1"/>
      <c r="P930" s="1"/>
      <c r="Q930" s="1"/>
      <c r="R930" s="1"/>
      <c r="S930" s="1"/>
    </row>
    <row r="931" spans="1:19" x14ac:dyDescent="0.2">
      <c r="A931" s="1"/>
      <c r="B931" s="1"/>
      <c r="C931" s="1"/>
      <c r="D931" s="1"/>
      <c r="E931" s="1"/>
      <c r="F931" s="1"/>
      <c r="H931" s="1"/>
      <c r="I931" s="1"/>
      <c r="J931" s="1"/>
      <c r="K931" s="1"/>
      <c r="L931" s="1"/>
      <c r="M931" s="1"/>
      <c r="N931" s="1"/>
      <c r="O931" s="1"/>
      <c r="P931" s="1"/>
      <c r="Q931" s="1"/>
      <c r="R931" s="1"/>
      <c r="S931" s="1"/>
    </row>
    <row r="932" spans="1:19" x14ac:dyDescent="0.2">
      <c r="A932" s="1"/>
      <c r="B932" s="1"/>
      <c r="C932" s="1"/>
      <c r="D932" s="1"/>
      <c r="E932" s="1"/>
      <c r="F932" s="1"/>
      <c r="H932" s="1"/>
      <c r="I932" s="1"/>
      <c r="J932" s="1"/>
      <c r="K932" s="1"/>
      <c r="L932" s="1"/>
      <c r="M932" s="1"/>
      <c r="N932" s="1"/>
      <c r="O932" s="1"/>
      <c r="P932" s="1"/>
      <c r="Q932" s="1"/>
      <c r="R932" s="1"/>
      <c r="S932" s="1"/>
    </row>
    <row r="933" spans="1:19" x14ac:dyDescent="0.2">
      <c r="A933" s="1"/>
      <c r="B933" s="1"/>
      <c r="C933" s="1"/>
      <c r="D933" s="1"/>
      <c r="E933" s="1"/>
      <c r="F933" s="1"/>
      <c r="H933" s="1"/>
      <c r="I933" s="1"/>
      <c r="J933" s="1"/>
      <c r="K933" s="1"/>
      <c r="L933" s="1"/>
      <c r="M933" s="1"/>
      <c r="N933" s="1"/>
      <c r="O933" s="1"/>
      <c r="P933" s="1"/>
      <c r="Q933" s="1"/>
      <c r="R933" s="1"/>
      <c r="S933" s="1"/>
    </row>
    <row r="934" spans="1:19" x14ac:dyDescent="0.2">
      <c r="A934" s="1"/>
      <c r="B934" s="1"/>
      <c r="C934" s="1"/>
      <c r="D934" s="1"/>
      <c r="E934" s="1"/>
      <c r="F934" s="1"/>
      <c r="H934" s="1"/>
      <c r="I934" s="1"/>
      <c r="J934" s="1"/>
      <c r="K934" s="1"/>
      <c r="L934" s="1"/>
      <c r="M934" s="1"/>
      <c r="N934" s="1"/>
      <c r="O934" s="1"/>
      <c r="P934" s="1"/>
      <c r="Q934" s="1"/>
      <c r="R934" s="1"/>
      <c r="S934" s="1"/>
    </row>
    <row r="935" spans="1:19" x14ac:dyDescent="0.2">
      <c r="A935" s="1"/>
      <c r="B935" s="1"/>
      <c r="C935" s="1"/>
      <c r="D935" s="1"/>
      <c r="E935" s="1"/>
      <c r="F935" s="1"/>
      <c r="H935" s="1"/>
      <c r="I935" s="1"/>
      <c r="J935" s="1"/>
      <c r="K935" s="1"/>
      <c r="L935" s="1"/>
      <c r="M935" s="1"/>
      <c r="N935" s="1"/>
      <c r="O935" s="1"/>
      <c r="P935" s="1"/>
      <c r="Q935" s="1"/>
      <c r="R935" s="1"/>
      <c r="S935" s="1"/>
    </row>
    <row r="936" spans="1:19" x14ac:dyDescent="0.2">
      <c r="A936" s="1"/>
      <c r="B936" s="1"/>
      <c r="C936" s="1"/>
      <c r="D936" s="1"/>
      <c r="E936" s="1"/>
      <c r="F936" s="1"/>
      <c r="H936" s="1"/>
      <c r="I936" s="1"/>
      <c r="J936" s="1"/>
      <c r="K936" s="1"/>
      <c r="L936" s="1"/>
      <c r="M936" s="1"/>
      <c r="N936" s="1"/>
      <c r="O936" s="1"/>
      <c r="P936" s="1"/>
      <c r="Q936" s="1"/>
      <c r="R936" s="1"/>
      <c r="S936" s="1"/>
    </row>
    <row r="937" spans="1:19" x14ac:dyDescent="0.2">
      <c r="A937" s="1"/>
      <c r="B937" s="1"/>
      <c r="C937" s="1"/>
      <c r="D937" s="1"/>
      <c r="E937" s="1"/>
      <c r="F937" s="1"/>
      <c r="H937" s="1"/>
      <c r="I937" s="1"/>
      <c r="J937" s="1"/>
      <c r="K937" s="1"/>
      <c r="L937" s="1"/>
      <c r="M937" s="1"/>
      <c r="N937" s="1"/>
      <c r="O937" s="1"/>
      <c r="P937" s="1"/>
      <c r="Q937" s="1"/>
      <c r="R937" s="1"/>
      <c r="S937" s="1"/>
    </row>
    <row r="938" spans="1:19" x14ac:dyDescent="0.2">
      <c r="A938" s="1"/>
      <c r="B938" s="1"/>
      <c r="C938" s="1"/>
      <c r="D938" s="1"/>
      <c r="E938" s="1"/>
      <c r="F938" s="1"/>
      <c r="H938" s="1"/>
      <c r="I938" s="1"/>
      <c r="J938" s="1"/>
      <c r="K938" s="1"/>
      <c r="L938" s="1"/>
      <c r="M938" s="1"/>
      <c r="N938" s="1"/>
      <c r="O938" s="1"/>
      <c r="P938" s="1"/>
      <c r="Q938" s="1"/>
      <c r="R938" s="1"/>
      <c r="S938" s="1"/>
    </row>
    <row r="939" spans="1:19" x14ac:dyDescent="0.2">
      <c r="A939" s="1"/>
      <c r="B939" s="1"/>
      <c r="C939" s="1"/>
      <c r="D939" s="1"/>
      <c r="E939" s="1"/>
      <c r="F939" s="1"/>
      <c r="H939" s="1"/>
      <c r="I939" s="1"/>
      <c r="J939" s="1"/>
      <c r="K939" s="1"/>
      <c r="L939" s="1"/>
      <c r="M939" s="1"/>
      <c r="N939" s="1"/>
      <c r="O939" s="1"/>
      <c r="P939" s="1"/>
      <c r="Q939" s="1"/>
      <c r="R939" s="1"/>
      <c r="S939" s="1"/>
    </row>
    <row r="940" spans="1:19" x14ac:dyDescent="0.2">
      <c r="A940" s="1"/>
      <c r="B940" s="1"/>
      <c r="C940" s="1"/>
      <c r="D940" s="1"/>
      <c r="E940" s="1"/>
      <c r="F940" s="1"/>
      <c r="H940" s="1"/>
      <c r="I940" s="1"/>
      <c r="J940" s="1"/>
      <c r="K940" s="1"/>
      <c r="L940" s="1"/>
      <c r="M940" s="1"/>
      <c r="N940" s="1"/>
      <c r="O940" s="1"/>
      <c r="P940" s="1"/>
      <c r="Q940" s="1"/>
      <c r="R940" s="1"/>
      <c r="S940" s="1"/>
    </row>
    <row r="941" spans="1:19" x14ac:dyDescent="0.2">
      <c r="A941" s="1"/>
      <c r="B941" s="1"/>
      <c r="C941" s="1"/>
      <c r="D941" s="1"/>
      <c r="E941" s="1"/>
      <c r="F941" s="1"/>
      <c r="H941" s="1"/>
      <c r="I941" s="1"/>
      <c r="J941" s="1"/>
      <c r="K941" s="1"/>
      <c r="L941" s="1"/>
      <c r="M941" s="1"/>
      <c r="N941" s="1"/>
      <c r="O941" s="1"/>
      <c r="P941" s="1"/>
      <c r="Q941" s="1"/>
      <c r="R941" s="1"/>
      <c r="S941" s="1"/>
    </row>
    <row r="942" spans="1:19" x14ac:dyDescent="0.2">
      <c r="A942" s="1"/>
      <c r="B942" s="1"/>
      <c r="C942" s="1"/>
      <c r="D942" s="1"/>
      <c r="E942" s="1"/>
      <c r="F942" s="1"/>
      <c r="H942" s="1"/>
      <c r="I942" s="1"/>
      <c r="J942" s="1"/>
      <c r="K942" s="1"/>
      <c r="L942" s="1"/>
      <c r="M942" s="1"/>
      <c r="N942" s="1"/>
      <c r="O942" s="1"/>
      <c r="P942" s="1"/>
      <c r="Q942" s="1"/>
      <c r="R942" s="1"/>
      <c r="S942" s="1"/>
    </row>
    <row r="943" spans="1:19" x14ac:dyDescent="0.2">
      <c r="A943" s="1"/>
      <c r="B943" s="1"/>
      <c r="C943" s="1"/>
      <c r="D943" s="1"/>
      <c r="E943" s="1"/>
      <c r="F943" s="1"/>
      <c r="H943" s="1"/>
      <c r="I943" s="1"/>
      <c r="J943" s="1"/>
      <c r="K943" s="1"/>
      <c r="L943" s="1"/>
      <c r="M943" s="1"/>
      <c r="N943" s="1"/>
      <c r="O943" s="1"/>
      <c r="P943" s="1"/>
      <c r="Q943" s="1"/>
      <c r="R943" s="1"/>
      <c r="S943" s="1"/>
    </row>
    <row r="944" spans="1:19" x14ac:dyDescent="0.2">
      <c r="A944" s="1"/>
      <c r="B944" s="1"/>
      <c r="C944" s="1"/>
      <c r="D944" s="1"/>
      <c r="E944" s="1"/>
      <c r="F944" s="1"/>
      <c r="H944" s="1"/>
      <c r="I944" s="1"/>
      <c r="J944" s="1"/>
      <c r="K944" s="1"/>
      <c r="L944" s="1"/>
      <c r="M944" s="1"/>
      <c r="N944" s="1"/>
      <c r="O944" s="1"/>
      <c r="P944" s="1"/>
      <c r="Q944" s="1"/>
      <c r="R944" s="1"/>
      <c r="S944" s="1"/>
    </row>
    <row r="945" spans="1:19" x14ac:dyDescent="0.2">
      <c r="A945" s="1"/>
      <c r="B945" s="1"/>
      <c r="C945" s="1"/>
      <c r="D945" s="1"/>
      <c r="E945" s="1"/>
      <c r="F945" s="1"/>
      <c r="H945" s="1"/>
      <c r="I945" s="1"/>
      <c r="J945" s="1"/>
      <c r="K945" s="1"/>
      <c r="L945" s="1"/>
      <c r="M945" s="1"/>
      <c r="N945" s="1"/>
      <c r="O945" s="1"/>
      <c r="P945" s="1"/>
      <c r="Q945" s="1"/>
      <c r="R945" s="1"/>
      <c r="S945" s="1"/>
    </row>
    <row r="946" spans="1:19" x14ac:dyDescent="0.2">
      <c r="A946" s="1"/>
      <c r="B946" s="1"/>
      <c r="C946" s="1"/>
      <c r="D946" s="1"/>
      <c r="E946" s="1"/>
      <c r="F946" s="1"/>
      <c r="H946" s="1"/>
      <c r="I946" s="1"/>
      <c r="J946" s="1"/>
      <c r="K946" s="1"/>
      <c r="L946" s="1"/>
      <c r="M946" s="1"/>
      <c r="N946" s="1"/>
      <c r="O946" s="1"/>
      <c r="P946" s="1"/>
      <c r="Q946" s="1"/>
      <c r="R946" s="1"/>
      <c r="S946" s="1"/>
    </row>
    <row r="947" spans="1:19" x14ac:dyDescent="0.2">
      <c r="A947" s="1"/>
      <c r="B947" s="1"/>
      <c r="C947" s="1"/>
      <c r="D947" s="1"/>
      <c r="E947" s="1"/>
      <c r="F947" s="1"/>
      <c r="H947" s="1"/>
      <c r="I947" s="1"/>
      <c r="J947" s="1"/>
      <c r="K947" s="1"/>
      <c r="L947" s="1"/>
      <c r="M947" s="1"/>
      <c r="N947" s="1"/>
      <c r="O947" s="1"/>
      <c r="P947" s="1"/>
      <c r="Q947" s="1"/>
      <c r="R947" s="1"/>
      <c r="S947" s="1"/>
    </row>
    <row r="948" spans="1:19" x14ac:dyDescent="0.2">
      <c r="A948" s="1"/>
      <c r="B948" s="1"/>
      <c r="C948" s="1"/>
      <c r="D948" s="1"/>
      <c r="E948" s="1"/>
      <c r="F948" s="1"/>
      <c r="H948" s="1"/>
      <c r="I948" s="1"/>
      <c r="J948" s="1"/>
      <c r="K948" s="1"/>
      <c r="L948" s="1"/>
      <c r="M948" s="1"/>
      <c r="N948" s="1"/>
      <c r="O948" s="1"/>
      <c r="P948" s="1"/>
      <c r="Q948" s="1"/>
      <c r="R948" s="1"/>
      <c r="S948" s="1"/>
    </row>
    <row r="949" spans="1:19" x14ac:dyDescent="0.2">
      <c r="A949" s="1"/>
      <c r="B949" s="1"/>
      <c r="C949" s="1"/>
      <c r="D949" s="1"/>
      <c r="E949" s="1"/>
      <c r="F949" s="1"/>
      <c r="H949" s="1"/>
      <c r="I949" s="1"/>
      <c r="J949" s="1"/>
      <c r="K949" s="1"/>
      <c r="L949" s="1"/>
      <c r="M949" s="1"/>
      <c r="N949" s="1"/>
      <c r="O949" s="1"/>
      <c r="P949" s="1"/>
      <c r="Q949" s="1"/>
      <c r="R949" s="1"/>
      <c r="S949" s="1"/>
    </row>
    <row r="950" spans="1:19" x14ac:dyDescent="0.2">
      <c r="A950" s="1"/>
      <c r="B950" s="1"/>
      <c r="C950" s="1"/>
      <c r="D950" s="1"/>
      <c r="E950" s="1"/>
      <c r="F950" s="1"/>
      <c r="H950" s="1"/>
      <c r="I950" s="1"/>
      <c r="J950" s="1"/>
      <c r="K950" s="1"/>
      <c r="L950" s="1"/>
      <c r="M950" s="1"/>
      <c r="N950" s="1"/>
      <c r="O950" s="1"/>
      <c r="P950" s="1"/>
      <c r="Q950" s="1"/>
      <c r="R950" s="1"/>
      <c r="S950" s="1"/>
    </row>
    <row r="951" spans="1:19" x14ac:dyDescent="0.2">
      <c r="A951" s="1"/>
      <c r="B951" s="1"/>
      <c r="C951" s="1"/>
      <c r="D951" s="1"/>
      <c r="E951" s="1"/>
      <c r="F951" s="1"/>
      <c r="H951" s="1"/>
      <c r="I951" s="1"/>
      <c r="J951" s="1"/>
      <c r="K951" s="1"/>
      <c r="L951" s="1"/>
      <c r="M951" s="1"/>
      <c r="N951" s="1"/>
      <c r="O951" s="1"/>
      <c r="P951" s="1"/>
      <c r="Q951" s="1"/>
      <c r="R951" s="1"/>
      <c r="S951" s="1"/>
    </row>
    <row r="952" spans="1:19" x14ac:dyDescent="0.2">
      <c r="A952" s="1"/>
      <c r="B952" s="1"/>
      <c r="C952" s="1"/>
      <c r="D952" s="1"/>
      <c r="E952" s="1"/>
      <c r="F952" s="1"/>
      <c r="H952" s="1"/>
      <c r="I952" s="1"/>
      <c r="J952" s="1"/>
      <c r="K952" s="1"/>
      <c r="L952" s="1"/>
      <c r="M952" s="1"/>
      <c r="N952" s="1"/>
      <c r="O952" s="1"/>
      <c r="P952" s="1"/>
      <c r="Q952" s="1"/>
      <c r="R952" s="1"/>
      <c r="S952" s="1"/>
    </row>
    <row r="953" spans="1:19" x14ac:dyDescent="0.2">
      <c r="A953" s="1"/>
      <c r="B953" s="1"/>
      <c r="C953" s="1"/>
      <c r="D953" s="1"/>
      <c r="E953" s="1"/>
      <c r="F953" s="1"/>
      <c r="H953" s="1"/>
      <c r="I953" s="1"/>
      <c r="J953" s="1"/>
      <c r="K953" s="1"/>
      <c r="L953" s="1"/>
      <c r="M953" s="1"/>
      <c r="N953" s="1"/>
      <c r="O953" s="1"/>
      <c r="P953" s="1"/>
      <c r="Q953" s="1"/>
      <c r="R953" s="1"/>
      <c r="S953" s="1"/>
    </row>
    <row r="954" spans="1:19" x14ac:dyDescent="0.2">
      <c r="A954" s="1"/>
      <c r="B954" s="1"/>
      <c r="C954" s="1"/>
      <c r="D954" s="1"/>
      <c r="E954" s="1"/>
      <c r="F954" s="1"/>
      <c r="H954" s="1"/>
      <c r="I954" s="1"/>
      <c r="J954" s="1"/>
      <c r="K954" s="1"/>
      <c r="L954" s="1"/>
      <c r="M954" s="1"/>
      <c r="N954" s="1"/>
      <c r="O954" s="1"/>
      <c r="P954" s="1"/>
      <c r="Q954" s="1"/>
      <c r="R954" s="1"/>
      <c r="S954" s="1"/>
    </row>
    <row r="955" spans="1:19" x14ac:dyDescent="0.2">
      <c r="A955" s="1"/>
      <c r="B955" s="1"/>
      <c r="C955" s="1"/>
      <c r="D955" s="1"/>
      <c r="E955" s="1"/>
      <c r="F955" s="1"/>
      <c r="H955" s="1"/>
      <c r="I955" s="1"/>
      <c r="J955" s="1"/>
      <c r="K955" s="1"/>
      <c r="L955" s="1"/>
      <c r="M955" s="1"/>
      <c r="N955" s="1"/>
      <c r="O955" s="1"/>
      <c r="P955" s="1"/>
      <c r="Q955" s="1"/>
      <c r="R955" s="1"/>
      <c r="S955" s="1"/>
    </row>
    <row r="956" spans="1:19" x14ac:dyDescent="0.2">
      <c r="A956" s="1"/>
      <c r="B956" s="1"/>
      <c r="C956" s="1"/>
      <c r="D956" s="1"/>
      <c r="E956" s="1"/>
      <c r="F956" s="1"/>
      <c r="H956" s="1"/>
      <c r="I956" s="1"/>
      <c r="J956" s="1"/>
      <c r="K956" s="1"/>
      <c r="L956" s="1"/>
      <c r="M956" s="1"/>
      <c r="N956" s="1"/>
      <c r="O956" s="1"/>
      <c r="P956" s="1"/>
      <c r="Q956" s="1"/>
      <c r="R956" s="1"/>
      <c r="S956" s="1"/>
    </row>
    <row r="957" spans="1:19" x14ac:dyDescent="0.2">
      <c r="A957" s="1"/>
      <c r="B957" s="1"/>
      <c r="C957" s="1"/>
      <c r="D957" s="1"/>
      <c r="E957" s="1"/>
      <c r="F957" s="1"/>
      <c r="H957" s="1"/>
      <c r="I957" s="1"/>
      <c r="J957" s="1"/>
      <c r="K957" s="1"/>
      <c r="L957" s="1"/>
      <c r="M957" s="1"/>
      <c r="N957" s="1"/>
      <c r="O957" s="1"/>
      <c r="P957" s="1"/>
      <c r="Q957" s="1"/>
      <c r="R957" s="1"/>
      <c r="S957" s="1"/>
    </row>
    <row r="958" spans="1:19" x14ac:dyDescent="0.2">
      <c r="A958" s="1"/>
      <c r="B958" s="1"/>
      <c r="C958" s="1"/>
      <c r="D958" s="1"/>
      <c r="E958" s="1"/>
      <c r="F958" s="1"/>
      <c r="H958" s="1"/>
      <c r="I958" s="1"/>
      <c r="J958" s="1"/>
      <c r="K958" s="1"/>
      <c r="L958" s="1"/>
      <c r="M958" s="1"/>
      <c r="N958" s="1"/>
      <c r="O958" s="1"/>
      <c r="P958" s="1"/>
      <c r="Q958" s="1"/>
      <c r="R958" s="1"/>
      <c r="S958" s="1"/>
    </row>
    <row r="959" spans="1:19" x14ac:dyDescent="0.2">
      <c r="A959" s="1"/>
      <c r="B959" s="1"/>
      <c r="C959" s="1"/>
      <c r="D959" s="1"/>
      <c r="E959" s="1"/>
      <c r="F959" s="1"/>
      <c r="H959" s="1"/>
      <c r="I959" s="1"/>
      <c r="J959" s="1"/>
      <c r="K959" s="1"/>
      <c r="L959" s="1"/>
      <c r="M959" s="1"/>
      <c r="N959" s="1"/>
      <c r="O959" s="1"/>
      <c r="P959" s="1"/>
      <c r="Q959" s="1"/>
      <c r="R959" s="1"/>
      <c r="S959" s="1"/>
    </row>
    <row r="960" spans="1:19" x14ac:dyDescent="0.2">
      <c r="A960" s="1"/>
      <c r="B960" s="1"/>
      <c r="C960" s="1"/>
      <c r="D960" s="1"/>
      <c r="E960" s="1"/>
      <c r="F960" s="1"/>
      <c r="H960" s="1"/>
      <c r="I960" s="1"/>
      <c r="J960" s="1"/>
      <c r="K960" s="1"/>
      <c r="L960" s="1"/>
      <c r="M960" s="1"/>
      <c r="N960" s="1"/>
      <c r="O960" s="1"/>
      <c r="P960" s="1"/>
      <c r="Q960" s="1"/>
      <c r="R960" s="1"/>
      <c r="S960" s="1"/>
    </row>
    <row r="961" spans="1:19" x14ac:dyDescent="0.2">
      <c r="A961" s="1"/>
      <c r="B961" s="1"/>
      <c r="C961" s="1"/>
      <c r="D961" s="1"/>
      <c r="E961" s="1"/>
      <c r="F961" s="1"/>
      <c r="H961" s="1"/>
      <c r="I961" s="1"/>
      <c r="J961" s="1"/>
      <c r="K961" s="1"/>
      <c r="L961" s="1"/>
      <c r="M961" s="1"/>
      <c r="N961" s="1"/>
      <c r="O961" s="1"/>
      <c r="P961" s="1"/>
      <c r="Q961" s="1"/>
      <c r="R961" s="1"/>
      <c r="S961" s="1"/>
    </row>
    <row r="962" spans="1:19" x14ac:dyDescent="0.2">
      <c r="A962" s="1"/>
      <c r="B962" s="1"/>
      <c r="C962" s="1"/>
      <c r="D962" s="1"/>
      <c r="E962" s="1"/>
      <c r="F962" s="1"/>
      <c r="H962" s="1"/>
      <c r="I962" s="1"/>
      <c r="J962" s="1"/>
      <c r="K962" s="1"/>
      <c r="L962" s="1"/>
      <c r="M962" s="1"/>
      <c r="N962" s="1"/>
      <c r="O962" s="1"/>
      <c r="P962" s="1"/>
      <c r="Q962" s="1"/>
      <c r="R962" s="1"/>
      <c r="S962" s="1"/>
    </row>
    <row r="963" spans="1:19" x14ac:dyDescent="0.2">
      <c r="A963" s="1"/>
      <c r="B963" s="1"/>
      <c r="C963" s="1"/>
      <c r="D963" s="1"/>
      <c r="E963" s="1"/>
      <c r="F963" s="1"/>
      <c r="H963" s="1"/>
      <c r="I963" s="1"/>
      <c r="J963" s="1"/>
      <c r="K963" s="1"/>
      <c r="L963" s="1"/>
      <c r="M963" s="1"/>
      <c r="N963" s="1"/>
      <c r="O963" s="1"/>
      <c r="P963" s="1"/>
      <c r="Q963" s="1"/>
      <c r="R963" s="1"/>
      <c r="S963" s="1"/>
    </row>
    <row r="964" spans="1:19" x14ac:dyDescent="0.2">
      <c r="A964" s="1"/>
      <c r="B964" s="1"/>
      <c r="C964" s="1"/>
      <c r="D964" s="1"/>
      <c r="E964" s="1"/>
      <c r="F964" s="1"/>
      <c r="H964" s="1"/>
      <c r="I964" s="1"/>
      <c r="J964" s="1"/>
      <c r="K964" s="1"/>
      <c r="L964" s="1"/>
      <c r="M964" s="1"/>
      <c r="N964" s="1"/>
      <c r="O964" s="1"/>
      <c r="P964" s="1"/>
      <c r="Q964" s="1"/>
      <c r="R964" s="1"/>
      <c r="S964" s="1"/>
    </row>
    <row r="965" spans="1:19" x14ac:dyDescent="0.2">
      <c r="A965" s="1"/>
      <c r="B965" s="1"/>
      <c r="C965" s="1"/>
      <c r="D965" s="1"/>
      <c r="E965" s="1"/>
      <c r="F965" s="1"/>
      <c r="H965" s="1"/>
      <c r="I965" s="1"/>
      <c r="J965" s="1"/>
      <c r="K965" s="1"/>
      <c r="L965" s="1"/>
      <c r="M965" s="1"/>
      <c r="N965" s="1"/>
      <c r="O965" s="1"/>
      <c r="P965" s="1"/>
      <c r="Q965" s="1"/>
      <c r="R965" s="1"/>
      <c r="S965" s="1"/>
    </row>
    <row r="966" spans="1:19" x14ac:dyDescent="0.2">
      <c r="A966" s="1"/>
      <c r="B966" s="1"/>
      <c r="C966" s="1"/>
      <c r="D966" s="1"/>
      <c r="E966" s="1"/>
      <c r="F966" s="1"/>
      <c r="H966" s="1"/>
      <c r="I966" s="1"/>
      <c r="J966" s="1"/>
      <c r="K966" s="1"/>
      <c r="L966" s="1"/>
      <c r="M966" s="1"/>
      <c r="N966" s="1"/>
      <c r="O966" s="1"/>
      <c r="P966" s="1"/>
      <c r="Q966" s="1"/>
      <c r="R966" s="1"/>
      <c r="S966" s="1"/>
    </row>
    <row r="967" spans="1:19" x14ac:dyDescent="0.2">
      <c r="A967" s="1"/>
      <c r="B967" s="1"/>
      <c r="C967" s="1"/>
      <c r="D967" s="1"/>
      <c r="E967" s="1"/>
      <c r="F967" s="1"/>
      <c r="H967" s="1"/>
      <c r="I967" s="1"/>
      <c r="J967" s="1"/>
      <c r="K967" s="1"/>
      <c r="L967" s="1"/>
      <c r="M967" s="1"/>
      <c r="N967" s="1"/>
      <c r="O967" s="1"/>
      <c r="P967" s="1"/>
      <c r="Q967" s="1"/>
      <c r="R967" s="1"/>
      <c r="S967" s="1"/>
    </row>
    <row r="968" spans="1:19" x14ac:dyDescent="0.2">
      <c r="A968" s="1"/>
      <c r="B968" s="1"/>
      <c r="C968" s="1"/>
      <c r="D968" s="1"/>
      <c r="E968" s="1"/>
      <c r="F968" s="1"/>
      <c r="H968" s="1"/>
      <c r="I968" s="1"/>
      <c r="J968" s="1"/>
      <c r="K968" s="1"/>
      <c r="L968" s="1"/>
      <c r="M968" s="1"/>
      <c r="N968" s="1"/>
      <c r="O968" s="1"/>
      <c r="P968" s="1"/>
      <c r="Q968" s="1"/>
      <c r="R968" s="1"/>
      <c r="S968" s="1"/>
    </row>
    <row r="969" spans="1:19" x14ac:dyDescent="0.2">
      <c r="A969" s="1"/>
      <c r="B969" s="1"/>
      <c r="C969" s="1"/>
      <c r="D969" s="1"/>
      <c r="E969" s="1"/>
      <c r="F969" s="1"/>
      <c r="H969" s="1"/>
      <c r="I969" s="1"/>
      <c r="J969" s="1"/>
      <c r="K969" s="1"/>
      <c r="L969" s="1"/>
      <c r="M969" s="1"/>
      <c r="N969" s="1"/>
      <c r="O969" s="1"/>
      <c r="P969" s="1"/>
      <c r="Q969" s="1"/>
      <c r="R969" s="1"/>
      <c r="S969" s="1"/>
    </row>
    <row r="970" spans="1:19" x14ac:dyDescent="0.2">
      <c r="A970" s="1"/>
      <c r="B970" s="1"/>
      <c r="C970" s="1"/>
      <c r="D970" s="1"/>
      <c r="E970" s="1"/>
      <c r="F970" s="1"/>
      <c r="H970" s="1"/>
      <c r="I970" s="1"/>
      <c r="J970" s="1"/>
      <c r="K970" s="1"/>
      <c r="L970" s="1"/>
      <c r="M970" s="1"/>
      <c r="N970" s="1"/>
      <c r="O970" s="1"/>
      <c r="P970" s="1"/>
      <c r="Q970" s="1"/>
      <c r="R970" s="1"/>
      <c r="S970" s="1"/>
    </row>
    <row r="971" spans="1:19" x14ac:dyDescent="0.2">
      <c r="A971" s="1"/>
      <c r="B971" s="1"/>
      <c r="C971" s="1"/>
      <c r="D971" s="1"/>
      <c r="E971" s="1"/>
      <c r="F971" s="1"/>
      <c r="H971" s="1"/>
      <c r="I971" s="1"/>
      <c r="J971" s="1"/>
      <c r="K971" s="1"/>
      <c r="L971" s="1"/>
      <c r="M971" s="1"/>
      <c r="N971" s="1"/>
      <c r="O971" s="1"/>
      <c r="P971" s="1"/>
      <c r="Q971" s="1"/>
      <c r="R971" s="1"/>
      <c r="S971" s="1"/>
    </row>
    <row r="972" spans="1:19" x14ac:dyDescent="0.2">
      <c r="A972" s="1"/>
      <c r="B972" s="1"/>
      <c r="C972" s="1"/>
      <c r="D972" s="1"/>
      <c r="E972" s="1"/>
      <c r="F972" s="1"/>
      <c r="H972" s="1"/>
      <c r="I972" s="1"/>
      <c r="J972" s="1"/>
      <c r="K972" s="1"/>
      <c r="L972" s="1"/>
      <c r="M972" s="1"/>
      <c r="N972" s="1"/>
      <c r="O972" s="1"/>
      <c r="P972" s="1"/>
      <c r="Q972" s="1"/>
      <c r="R972" s="1"/>
      <c r="S972" s="1"/>
    </row>
    <row r="973" spans="1:19" x14ac:dyDescent="0.2">
      <c r="A973" s="1"/>
      <c r="B973" s="1"/>
      <c r="C973" s="1"/>
      <c r="D973" s="1"/>
      <c r="E973" s="1"/>
      <c r="F973" s="1"/>
      <c r="H973" s="1"/>
      <c r="I973" s="1"/>
      <c r="J973" s="1"/>
      <c r="K973" s="1"/>
      <c r="L973" s="1"/>
      <c r="M973" s="1"/>
      <c r="N973" s="1"/>
      <c r="O973" s="1"/>
      <c r="P973" s="1"/>
      <c r="Q973" s="1"/>
      <c r="R973" s="1"/>
      <c r="S973" s="1"/>
    </row>
    <row r="974" spans="1:19" x14ac:dyDescent="0.2">
      <c r="A974" s="1"/>
      <c r="B974" s="1"/>
      <c r="C974" s="1"/>
      <c r="D974" s="1"/>
      <c r="E974" s="1"/>
      <c r="F974" s="1"/>
      <c r="H974" s="1"/>
      <c r="I974" s="1"/>
      <c r="J974" s="1"/>
      <c r="K974" s="1"/>
      <c r="L974" s="1"/>
      <c r="M974" s="1"/>
      <c r="N974" s="1"/>
      <c r="O974" s="1"/>
      <c r="P974" s="1"/>
      <c r="Q974" s="1"/>
      <c r="R974" s="1"/>
      <c r="S974" s="1"/>
    </row>
    <row r="975" spans="1:19" x14ac:dyDescent="0.2">
      <c r="A975" s="1"/>
      <c r="B975" s="1"/>
      <c r="C975" s="1"/>
      <c r="D975" s="1"/>
      <c r="E975" s="1"/>
      <c r="F975" s="1"/>
      <c r="H975" s="1"/>
      <c r="I975" s="1"/>
      <c r="J975" s="1"/>
      <c r="K975" s="1"/>
      <c r="L975" s="1"/>
      <c r="M975" s="1"/>
      <c r="N975" s="1"/>
      <c r="O975" s="1"/>
      <c r="P975" s="1"/>
      <c r="Q975" s="1"/>
      <c r="R975" s="1"/>
      <c r="S975" s="1"/>
    </row>
    <row r="976" spans="1:19" x14ac:dyDescent="0.2">
      <c r="A976" s="1"/>
      <c r="B976" s="1"/>
      <c r="C976" s="1"/>
      <c r="D976" s="1"/>
      <c r="E976" s="1"/>
      <c r="F976" s="1"/>
      <c r="H976" s="1"/>
      <c r="I976" s="1"/>
      <c r="J976" s="1"/>
      <c r="K976" s="1"/>
      <c r="L976" s="1"/>
      <c r="M976" s="1"/>
      <c r="N976" s="1"/>
      <c r="O976" s="1"/>
      <c r="P976" s="1"/>
      <c r="Q976" s="1"/>
      <c r="R976" s="1"/>
      <c r="S976" s="1"/>
    </row>
    <row r="977" spans="1:19" x14ac:dyDescent="0.2">
      <c r="A977" s="1"/>
      <c r="B977" s="1"/>
      <c r="C977" s="1"/>
      <c r="D977" s="1"/>
      <c r="E977" s="1"/>
      <c r="F977" s="1"/>
      <c r="H977" s="1"/>
      <c r="I977" s="1"/>
      <c r="J977" s="1"/>
      <c r="K977" s="1"/>
      <c r="L977" s="1"/>
      <c r="M977" s="1"/>
      <c r="N977" s="1"/>
      <c r="O977" s="1"/>
      <c r="P977" s="1"/>
      <c r="Q977" s="1"/>
      <c r="R977" s="1"/>
      <c r="S977" s="1"/>
    </row>
    <row r="978" spans="1:19" x14ac:dyDescent="0.2">
      <c r="A978" s="1"/>
      <c r="B978" s="1"/>
      <c r="C978" s="1"/>
      <c r="D978" s="1"/>
      <c r="E978" s="1"/>
      <c r="F978" s="1"/>
      <c r="H978" s="1"/>
      <c r="I978" s="1"/>
      <c r="J978" s="1"/>
      <c r="K978" s="1"/>
      <c r="L978" s="1"/>
      <c r="M978" s="1"/>
      <c r="N978" s="1"/>
      <c r="O978" s="1"/>
      <c r="P978" s="1"/>
      <c r="Q978" s="1"/>
      <c r="R978" s="1"/>
      <c r="S978" s="1"/>
    </row>
    <row r="979" spans="1:19" x14ac:dyDescent="0.2">
      <c r="A979" s="1"/>
      <c r="B979" s="1"/>
      <c r="C979" s="1"/>
      <c r="D979" s="1"/>
      <c r="E979" s="1"/>
      <c r="F979" s="1"/>
      <c r="H979" s="1"/>
      <c r="I979" s="1"/>
      <c r="J979" s="1"/>
      <c r="K979" s="1"/>
      <c r="L979" s="1"/>
      <c r="M979" s="1"/>
      <c r="N979" s="1"/>
      <c r="O979" s="1"/>
      <c r="P979" s="1"/>
      <c r="Q979" s="1"/>
      <c r="R979" s="1"/>
      <c r="S979" s="1"/>
    </row>
    <row r="980" spans="1:19" x14ac:dyDescent="0.2">
      <c r="A980" s="1"/>
      <c r="B980" s="1"/>
      <c r="C980" s="1"/>
      <c r="D980" s="1"/>
      <c r="E980" s="1"/>
      <c r="F980" s="1"/>
      <c r="H980" s="1"/>
      <c r="I980" s="1"/>
      <c r="J980" s="1"/>
      <c r="K980" s="1"/>
      <c r="L980" s="1"/>
      <c r="M980" s="1"/>
      <c r="N980" s="1"/>
      <c r="O980" s="1"/>
      <c r="P980" s="1"/>
      <c r="Q980" s="1"/>
      <c r="R980" s="1"/>
      <c r="S980" s="1"/>
    </row>
    <row r="981" spans="1:19" x14ac:dyDescent="0.2">
      <c r="A981" s="1"/>
      <c r="B981" s="1"/>
      <c r="C981" s="1"/>
      <c r="D981" s="1"/>
      <c r="E981" s="1"/>
      <c r="F981" s="1"/>
      <c r="H981" s="1"/>
      <c r="I981" s="1"/>
      <c r="J981" s="1"/>
      <c r="K981" s="1"/>
      <c r="L981" s="1"/>
      <c r="M981" s="1"/>
      <c r="N981" s="1"/>
      <c r="O981" s="1"/>
      <c r="P981" s="1"/>
      <c r="Q981" s="1"/>
      <c r="R981" s="1"/>
      <c r="S981" s="1"/>
    </row>
    <row r="982" spans="1:19" x14ac:dyDescent="0.2">
      <c r="A982" s="1"/>
      <c r="B982" s="1"/>
      <c r="C982" s="1"/>
      <c r="D982" s="1"/>
      <c r="E982" s="1"/>
      <c r="F982" s="1"/>
      <c r="H982" s="1"/>
      <c r="I982" s="1"/>
      <c r="J982" s="1"/>
      <c r="K982" s="1"/>
      <c r="L982" s="1"/>
      <c r="M982" s="1"/>
      <c r="N982" s="1"/>
      <c r="O982" s="1"/>
      <c r="P982" s="1"/>
      <c r="Q982" s="1"/>
      <c r="R982" s="1"/>
      <c r="S982" s="1"/>
    </row>
    <row r="983" spans="1:19" x14ac:dyDescent="0.2">
      <c r="A983" s="1"/>
      <c r="B983" s="1"/>
      <c r="C983" s="1"/>
      <c r="D983" s="1"/>
      <c r="E983" s="1"/>
      <c r="F983" s="1"/>
      <c r="H983" s="1"/>
      <c r="I983" s="1"/>
      <c r="J983" s="1"/>
      <c r="K983" s="1"/>
      <c r="L983" s="1"/>
      <c r="M983" s="1"/>
      <c r="N983" s="1"/>
      <c r="O983" s="1"/>
      <c r="P983" s="1"/>
      <c r="Q983" s="1"/>
      <c r="R983" s="1"/>
      <c r="S983" s="1"/>
    </row>
    <row r="984" spans="1:19" x14ac:dyDescent="0.2">
      <c r="A984" s="1"/>
      <c r="B984" s="1"/>
      <c r="C984" s="1"/>
      <c r="D984" s="1"/>
      <c r="E984" s="1"/>
      <c r="F984" s="1"/>
      <c r="H984" s="1"/>
      <c r="I984" s="1"/>
      <c r="J984" s="1"/>
      <c r="K984" s="1"/>
      <c r="L984" s="1"/>
      <c r="M984" s="1"/>
      <c r="N984" s="1"/>
      <c r="O984" s="1"/>
      <c r="P984" s="1"/>
      <c r="Q984" s="1"/>
      <c r="R984" s="1"/>
      <c r="S984" s="1"/>
    </row>
    <row r="985" spans="1:19" x14ac:dyDescent="0.2">
      <c r="A985" s="1"/>
      <c r="B985" s="1"/>
      <c r="C985" s="1"/>
      <c r="D985" s="1"/>
      <c r="E985" s="1"/>
      <c r="F985" s="1"/>
      <c r="H985" s="1"/>
      <c r="I985" s="1"/>
      <c r="J985" s="1"/>
      <c r="K985" s="1"/>
      <c r="L985" s="1"/>
      <c r="M985" s="1"/>
      <c r="N985" s="1"/>
      <c r="O985" s="1"/>
      <c r="P985" s="1"/>
      <c r="Q985" s="1"/>
      <c r="R985" s="1"/>
      <c r="S985" s="1"/>
    </row>
    <row r="986" spans="1:19" x14ac:dyDescent="0.2">
      <c r="A986" s="1"/>
      <c r="B986" s="1"/>
      <c r="C986" s="1"/>
      <c r="D986" s="1"/>
      <c r="E986" s="1"/>
      <c r="F986" s="1"/>
      <c r="H986" s="1"/>
      <c r="I986" s="1"/>
      <c r="J986" s="1"/>
      <c r="K986" s="1"/>
      <c r="L986" s="1"/>
      <c r="M986" s="1"/>
      <c r="N986" s="1"/>
      <c r="O986" s="1"/>
      <c r="P986" s="1"/>
      <c r="Q986" s="1"/>
      <c r="R986" s="1"/>
      <c r="S986" s="1"/>
    </row>
    <row r="987" spans="1:19" x14ac:dyDescent="0.2">
      <c r="A987" s="1"/>
      <c r="B987" s="1"/>
      <c r="C987" s="1"/>
      <c r="D987" s="1"/>
      <c r="E987" s="1"/>
      <c r="F987" s="1"/>
      <c r="H987" s="1"/>
      <c r="I987" s="1"/>
      <c r="J987" s="1"/>
      <c r="K987" s="1"/>
      <c r="L987" s="1"/>
      <c r="M987" s="1"/>
      <c r="N987" s="1"/>
      <c r="O987" s="1"/>
      <c r="P987" s="1"/>
      <c r="Q987" s="1"/>
      <c r="R987" s="1"/>
      <c r="S987" s="1"/>
    </row>
    <row r="988" spans="1:19" x14ac:dyDescent="0.2">
      <c r="A988" s="1"/>
      <c r="B988" s="1"/>
      <c r="C988" s="1"/>
      <c r="D988" s="1"/>
      <c r="E988" s="1"/>
      <c r="F988" s="1"/>
      <c r="H988" s="1"/>
      <c r="I988" s="1"/>
      <c r="J988" s="1"/>
      <c r="K988" s="1"/>
      <c r="L988" s="1"/>
      <c r="M988" s="1"/>
      <c r="N988" s="1"/>
      <c r="O988" s="1"/>
      <c r="P988" s="1"/>
      <c r="Q988" s="1"/>
      <c r="R988" s="1"/>
      <c r="S988" s="1"/>
    </row>
    <row r="989" spans="1:19" x14ac:dyDescent="0.2">
      <c r="A989" s="1"/>
      <c r="B989" s="1"/>
      <c r="C989" s="1"/>
      <c r="D989" s="1"/>
      <c r="E989" s="1"/>
      <c r="F989" s="1"/>
      <c r="H989" s="1"/>
      <c r="I989" s="1"/>
      <c r="J989" s="1"/>
      <c r="K989" s="1"/>
      <c r="L989" s="1"/>
      <c r="M989" s="1"/>
      <c r="N989" s="1"/>
      <c r="O989" s="1"/>
      <c r="P989" s="1"/>
      <c r="Q989" s="1"/>
      <c r="R989" s="1"/>
      <c r="S989" s="1"/>
    </row>
    <row r="990" spans="1:19" x14ac:dyDescent="0.2">
      <c r="A990" s="1"/>
      <c r="B990" s="1"/>
      <c r="C990" s="1"/>
      <c r="D990" s="1"/>
      <c r="E990" s="1"/>
      <c r="F990" s="1"/>
      <c r="H990" s="1"/>
      <c r="I990" s="1"/>
      <c r="J990" s="1"/>
      <c r="K990" s="1"/>
      <c r="L990" s="1"/>
      <c r="M990" s="1"/>
      <c r="N990" s="1"/>
      <c r="O990" s="1"/>
      <c r="P990" s="1"/>
      <c r="Q990" s="1"/>
      <c r="R990" s="1"/>
      <c r="S990" s="1"/>
    </row>
    <row r="991" spans="1:19" x14ac:dyDescent="0.2">
      <c r="A991" s="1"/>
      <c r="B991" s="1"/>
      <c r="C991" s="1"/>
      <c r="D991" s="1"/>
      <c r="E991" s="1"/>
      <c r="F991" s="1"/>
      <c r="H991" s="1"/>
      <c r="I991" s="1"/>
      <c r="J991" s="1"/>
      <c r="K991" s="1"/>
      <c r="L991" s="1"/>
      <c r="M991" s="1"/>
      <c r="N991" s="1"/>
      <c r="O991" s="1"/>
      <c r="P991" s="1"/>
      <c r="Q991" s="1"/>
      <c r="R991" s="1"/>
      <c r="S991" s="1"/>
    </row>
    <row r="992" spans="1:19" x14ac:dyDescent="0.2">
      <c r="A992" s="1"/>
      <c r="B992" s="1"/>
      <c r="C992" s="1"/>
      <c r="D992" s="1"/>
      <c r="E992" s="1"/>
      <c r="F992" s="1"/>
      <c r="H992" s="1"/>
      <c r="I992" s="1"/>
      <c r="J992" s="1"/>
      <c r="K992" s="1"/>
      <c r="L992" s="1"/>
      <c r="M992" s="1"/>
      <c r="N992" s="1"/>
      <c r="O992" s="1"/>
      <c r="P992" s="1"/>
      <c r="Q992" s="1"/>
      <c r="R992" s="1"/>
      <c r="S992" s="1"/>
    </row>
    <row r="993" spans="1:19" x14ac:dyDescent="0.2">
      <c r="A993" s="1"/>
      <c r="B993" s="1"/>
      <c r="C993" s="1"/>
      <c r="D993" s="1"/>
      <c r="E993" s="1"/>
      <c r="F993" s="1"/>
      <c r="H993" s="1"/>
      <c r="I993" s="1"/>
      <c r="J993" s="1"/>
      <c r="K993" s="1"/>
      <c r="L993" s="1"/>
      <c r="M993" s="1"/>
      <c r="N993" s="1"/>
      <c r="O993" s="1"/>
      <c r="P993" s="1"/>
      <c r="Q993" s="1"/>
      <c r="R993" s="1"/>
      <c r="S993" s="1"/>
    </row>
    <row r="994" spans="1:19" x14ac:dyDescent="0.2">
      <c r="A994" s="1"/>
      <c r="B994" s="1"/>
      <c r="C994" s="1"/>
      <c r="D994" s="1"/>
      <c r="E994" s="1"/>
      <c r="F994" s="1"/>
      <c r="H994" s="1"/>
      <c r="I994" s="1"/>
      <c r="J994" s="1"/>
      <c r="K994" s="1"/>
      <c r="L994" s="1"/>
      <c r="M994" s="1"/>
      <c r="N994" s="1"/>
      <c r="O994" s="1"/>
      <c r="P994" s="1"/>
      <c r="Q994" s="1"/>
      <c r="R994" s="1"/>
      <c r="S994" s="1"/>
    </row>
    <row r="995" spans="1:19" x14ac:dyDescent="0.2">
      <c r="A995" s="1"/>
      <c r="B995" s="1"/>
      <c r="C995" s="1"/>
      <c r="D995" s="1"/>
      <c r="E995" s="1"/>
      <c r="F995" s="1"/>
      <c r="H995" s="1"/>
      <c r="I995" s="1"/>
      <c r="J995" s="1"/>
      <c r="K995" s="1"/>
      <c r="L995" s="1"/>
      <c r="M995" s="1"/>
      <c r="N995" s="1"/>
      <c r="O995" s="1"/>
      <c r="P995" s="1"/>
      <c r="Q995" s="1"/>
      <c r="R995" s="1"/>
      <c r="S995" s="1"/>
    </row>
    <row r="996" spans="1:19" x14ac:dyDescent="0.2">
      <c r="A996" s="1"/>
      <c r="B996" s="1"/>
      <c r="C996" s="1"/>
      <c r="D996" s="1"/>
      <c r="E996" s="1"/>
      <c r="F996" s="1"/>
      <c r="H996" s="1"/>
      <c r="I996" s="1"/>
      <c r="J996" s="1"/>
      <c r="K996" s="1"/>
      <c r="L996" s="1"/>
      <c r="M996" s="1"/>
      <c r="N996" s="1"/>
      <c r="O996" s="1"/>
      <c r="P996" s="1"/>
      <c r="Q996" s="1"/>
      <c r="R996" s="1"/>
      <c r="S996" s="1"/>
    </row>
    <row r="997" spans="1:19" x14ac:dyDescent="0.2">
      <c r="A997" s="1"/>
      <c r="B997" s="1"/>
      <c r="C997" s="1"/>
      <c r="D997" s="1"/>
      <c r="E997" s="1"/>
      <c r="F997" s="1"/>
      <c r="H997" s="1"/>
      <c r="I997" s="1"/>
      <c r="J997" s="1"/>
      <c r="K997" s="1"/>
      <c r="L997" s="1"/>
      <c r="M997" s="1"/>
      <c r="N997" s="1"/>
      <c r="O997" s="1"/>
      <c r="P997" s="1"/>
      <c r="Q997" s="1"/>
      <c r="R997" s="1"/>
      <c r="S997" s="1"/>
    </row>
    <row r="998" spans="1:19" x14ac:dyDescent="0.2">
      <c r="A998" s="1"/>
      <c r="B998" s="1"/>
      <c r="C998" s="1"/>
      <c r="D998" s="1"/>
      <c r="E998" s="1"/>
      <c r="F998" s="1"/>
      <c r="H998" s="1"/>
      <c r="I998" s="1"/>
      <c r="J998" s="1"/>
      <c r="K998" s="1"/>
      <c r="L998" s="1"/>
      <c r="M998" s="1"/>
      <c r="N998" s="1"/>
      <c r="O998" s="1"/>
      <c r="P998" s="1"/>
      <c r="Q998" s="1"/>
      <c r="R998" s="1"/>
      <c r="S998" s="1"/>
    </row>
    <row r="999" spans="1:19" x14ac:dyDescent="0.2">
      <c r="A999" s="1"/>
      <c r="B999" s="1"/>
      <c r="C999" s="1"/>
      <c r="D999" s="1"/>
      <c r="E999" s="1"/>
      <c r="F999" s="1"/>
      <c r="H999" s="1"/>
      <c r="I999" s="1"/>
      <c r="J999" s="1"/>
      <c r="K999" s="1"/>
      <c r="L999" s="1"/>
      <c r="M999" s="1"/>
      <c r="N999" s="1"/>
      <c r="O999" s="1"/>
      <c r="P999" s="1"/>
      <c r="Q999" s="1"/>
      <c r="R999" s="1"/>
      <c r="S999" s="1"/>
    </row>
    <row r="1000" spans="1:19" x14ac:dyDescent="0.2">
      <c r="A1000" s="1"/>
      <c r="B1000" s="1"/>
      <c r="C1000" s="1"/>
      <c r="D1000" s="1"/>
      <c r="E1000" s="1"/>
      <c r="F1000" s="1"/>
      <c r="H1000" s="1"/>
      <c r="I1000" s="1"/>
      <c r="J1000" s="1"/>
      <c r="K1000" s="1"/>
      <c r="L1000" s="1"/>
      <c r="M1000" s="1"/>
      <c r="N1000" s="1"/>
      <c r="O1000" s="1"/>
      <c r="P1000" s="1"/>
      <c r="Q1000" s="1"/>
      <c r="R1000" s="1"/>
      <c r="S1000" s="1"/>
    </row>
    <row r="1001" spans="1:19" x14ac:dyDescent="0.2">
      <c r="A1001" s="1"/>
      <c r="B1001" s="1"/>
      <c r="C1001" s="1"/>
      <c r="D1001" s="1"/>
      <c r="E1001" s="1"/>
      <c r="F1001" s="1"/>
      <c r="H1001" s="1"/>
      <c r="I1001" s="1"/>
      <c r="J1001" s="1"/>
      <c r="K1001" s="1"/>
      <c r="L1001" s="1"/>
      <c r="M1001" s="1"/>
      <c r="N1001" s="1"/>
      <c r="O1001" s="1"/>
      <c r="P1001" s="1"/>
      <c r="Q1001" s="1"/>
      <c r="R1001" s="1"/>
      <c r="S1001" s="1"/>
    </row>
    <row r="1002" spans="1:19" x14ac:dyDescent="0.2">
      <c r="A1002" s="1"/>
      <c r="B1002" s="1"/>
      <c r="C1002" s="1"/>
      <c r="D1002" s="1"/>
      <c r="E1002" s="1"/>
      <c r="F1002" s="1"/>
      <c r="H1002" s="1"/>
      <c r="I1002" s="1"/>
      <c r="J1002" s="1"/>
      <c r="K1002" s="1"/>
      <c r="L1002" s="1"/>
      <c r="M1002" s="1"/>
      <c r="N1002" s="1"/>
      <c r="O1002" s="1"/>
      <c r="P1002" s="1"/>
      <c r="Q1002" s="1"/>
      <c r="R1002" s="1"/>
      <c r="S1002" s="1"/>
    </row>
    <row r="1003" spans="1:19" x14ac:dyDescent="0.2">
      <c r="A1003" s="1"/>
      <c r="B1003" s="1"/>
      <c r="C1003" s="1"/>
      <c r="D1003" s="1"/>
      <c r="E1003" s="1"/>
      <c r="F1003" s="1"/>
      <c r="H1003" s="1"/>
      <c r="I1003" s="1"/>
      <c r="J1003" s="1"/>
      <c r="K1003" s="1"/>
      <c r="L1003" s="1"/>
      <c r="M1003" s="1"/>
      <c r="N1003" s="1"/>
      <c r="O1003" s="1"/>
      <c r="P1003" s="1"/>
      <c r="Q1003" s="1"/>
      <c r="R1003" s="1"/>
      <c r="S1003" s="1"/>
    </row>
    <row r="1004" spans="1:19" x14ac:dyDescent="0.2">
      <c r="A1004" s="1"/>
      <c r="B1004" s="1"/>
      <c r="C1004" s="1"/>
      <c r="D1004" s="1"/>
      <c r="E1004" s="1"/>
      <c r="F1004" s="1"/>
      <c r="H1004" s="1"/>
      <c r="I1004" s="1"/>
      <c r="J1004" s="1"/>
      <c r="K1004" s="1"/>
      <c r="L1004" s="1"/>
      <c r="M1004" s="1"/>
      <c r="N1004" s="1"/>
      <c r="O1004" s="1"/>
      <c r="P1004" s="1"/>
      <c r="Q1004" s="1"/>
      <c r="R1004" s="1"/>
      <c r="S1004" s="1"/>
    </row>
    <row r="1005" spans="1:19" x14ac:dyDescent="0.2">
      <c r="A1005" s="1"/>
      <c r="B1005" s="1"/>
      <c r="C1005" s="1"/>
      <c r="D1005" s="1"/>
      <c r="E1005" s="1"/>
      <c r="F1005" s="1"/>
      <c r="H1005" s="1"/>
      <c r="I1005" s="1"/>
      <c r="J1005" s="1"/>
      <c r="K1005" s="1"/>
      <c r="L1005" s="1"/>
      <c r="M1005" s="1"/>
      <c r="N1005" s="1"/>
      <c r="O1005" s="1"/>
      <c r="P1005" s="1"/>
      <c r="Q1005" s="1"/>
      <c r="R1005" s="1"/>
      <c r="S1005" s="1"/>
    </row>
    <row r="1006" spans="1:19" x14ac:dyDescent="0.2">
      <c r="A1006" s="1"/>
      <c r="B1006" s="1"/>
      <c r="C1006" s="1"/>
      <c r="D1006" s="1"/>
      <c r="E1006" s="1"/>
      <c r="F1006" s="1"/>
      <c r="H1006" s="1"/>
      <c r="I1006" s="1"/>
      <c r="J1006" s="1"/>
      <c r="K1006" s="1"/>
      <c r="L1006" s="1"/>
      <c r="M1006" s="1"/>
      <c r="N1006" s="1"/>
      <c r="O1006" s="1"/>
      <c r="P1006" s="1"/>
      <c r="Q1006" s="1"/>
      <c r="R1006" s="1"/>
      <c r="S1006" s="1"/>
    </row>
    <row r="1007" spans="1:19" x14ac:dyDescent="0.2">
      <c r="A1007" s="1"/>
      <c r="B1007" s="1"/>
      <c r="C1007" s="1"/>
      <c r="D1007" s="1"/>
      <c r="E1007" s="1"/>
      <c r="F1007" s="1"/>
      <c r="H1007" s="1"/>
      <c r="I1007" s="1"/>
      <c r="J1007" s="1"/>
      <c r="K1007" s="1"/>
      <c r="L1007" s="1"/>
      <c r="M1007" s="1"/>
      <c r="N1007" s="1"/>
      <c r="O1007" s="1"/>
      <c r="P1007" s="1"/>
      <c r="Q1007" s="1"/>
      <c r="R1007" s="1"/>
      <c r="S1007" s="1"/>
    </row>
    <row r="1008" spans="1:19" x14ac:dyDescent="0.2">
      <c r="A1008" s="1"/>
      <c r="B1008" s="1"/>
      <c r="C1008" s="1"/>
      <c r="D1008" s="1"/>
      <c r="E1008" s="1"/>
      <c r="F1008" s="1"/>
      <c r="H1008" s="1"/>
      <c r="I1008" s="1"/>
      <c r="J1008" s="1"/>
      <c r="K1008" s="1"/>
      <c r="L1008" s="1"/>
      <c r="M1008" s="1"/>
      <c r="N1008" s="1"/>
      <c r="O1008" s="1"/>
      <c r="P1008" s="1"/>
      <c r="Q1008" s="1"/>
      <c r="R1008" s="1"/>
      <c r="S1008" s="1"/>
    </row>
    <row r="1009" spans="1:19" x14ac:dyDescent="0.2">
      <c r="A1009" s="1"/>
      <c r="B1009" s="1"/>
      <c r="C1009" s="1"/>
      <c r="D1009" s="1"/>
      <c r="E1009" s="1"/>
      <c r="F1009" s="1"/>
      <c r="H1009" s="1"/>
      <c r="I1009" s="1"/>
      <c r="J1009" s="1"/>
      <c r="K1009" s="1"/>
      <c r="L1009" s="1"/>
      <c r="M1009" s="1"/>
      <c r="N1009" s="1"/>
      <c r="O1009" s="1"/>
      <c r="P1009" s="1"/>
      <c r="Q1009" s="1"/>
      <c r="R1009" s="1"/>
      <c r="S1009" s="1"/>
    </row>
    <row r="1010" spans="1:19" x14ac:dyDescent="0.2">
      <c r="A1010" s="1"/>
      <c r="B1010" s="1"/>
      <c r="C1010" s="1"/>
      <c r="D1010" s="1"/>
      <c r="E1010" s="1"/>
      <c r="F1010" s="1"/>
      <c r="H1010" s="1"/>
      <c r="I1010" s="1"/>
      <c r="J1010" s="1"/>
      <c r="K1010" s="1"/>
      <c r="L1010" s="1"/>
      <c r="M1010" s="1"/>
      <c r="N1010" s="1"/>
      <c r="O1010" s="1"/>
      <c r="P1010" s="1"/>
      <c r="Q1010" s="1"/>
      <c r="R1010" s="1"/>
      <c r="S1010" s="1"/>
    </row>
    <row r="1011" spans="1:19" x14ac:dyDescent="0.2">
      <c r="A1011" s="1"/>
      <c r="B1011" s="1"/>
      <c r="C1011" s="1"/>
      <c r="D1011" s="1"/>
      <c r="E1011" s="1"/>
      <c r="F1011" s="1"/>
      <c r="H1011" s="1"/>
      <c r="I1011" s="1"/>
      <c r="J1011" s="1"/>
      <c r="K1011" s="1"/>
      <c r="L1011" s="1"/>
      <c r="M1011" s="1"/>
      <c r="N1011" s="1"/>
      <c r="O1011" s="1"/>
      <c r="P1011" s="1"/>
      <c r="Q1011" s="1"/>
      <c r="R1011" s="1"/>
      <c r="S1011" s="1"/>
    </row>
    <row r="1012" spans="1:19" x14ac:dyDescent="0.2">
      <c r="A1012" s="1"/>
      <c r="B1012" s="1"/>
      <c r="C1012" s="1"/>
      <c r="D1012" s="1"/>
      <c r="E1012" s="1"/>
      <c r="F1012" s="1"/>
      <c r="H1012" s="1"/>
      <c r="I1012" s="1"/>
      <c r="J1012" s="1"/>
      <c r="K1012" s="1"/>
      <c r="L1012" s="1"/>
      <c r="M1012" s="1"/>
      <c r="N1012" s="1"/>
      <c r="O1012" s="1"/>
      <c r="P1012" s="1"/>
      <c r="Q1012" s="1"/>
      <c r="R1012" s="1"/>
      <c r="S1012" s="1"/>
    </row>
    <row r="1013" spans="1:19" x14ac:dyDescent="0.2">
      <c r="A1013" s="1"/>
      <c r="B1013" s="1"/>
      <c r="C1013" s="1"/>
      <c r="D1013" s="1"/>
      <c r="E1013" s="1"/>
      <c r="F1013" s="1"/>
      <c r="H1013" s="1"/>
      <c r="I1013" s="1"/>
      <c r="J1013" s="1"/>
      <c r="K1013" s="1"/>
      <c r="L1013" s="1"/>
      <c r="M1013" s="1"/>
      <c r="N1013" s="1"/>
      <c r="O1013" s="1"/>
      <c r="P1013" s="1"/>
      <c r="Q1013" s="1"/>
      <c r="R1013" s="1"/>
      <c r="S1013" s="1"/>
    </row>
    <row r="1014" spans="1:19" x14ac:dyDescent="0.2">
      <c r="A1014" s="1"/>
      <c r="B1014" s="1"/>
      <c r="C1014" s="1"/>
      <c r="D1014" s="1"/>
      <c r="E1014" s="1"/>
      <c r="F1014" s="1"/>
      <c r="H1014" s="1"/>
      <c r="I1014" s="1"/>
      <c r="J1014" s="1"/>
      <c r="K1014" s="1"/>
      <c r="L1014" s="1"/>
      <c r="M1014" s="1"/>
      <c r="N1014" s="1"/>
      <c r="O1014" s="1"/>
      <c r="P1014" s="1"/>
      <c r="Q1014" s="1"/>
      <c r="R1014" s="1"/>
      <c r="S1014" s="1"/>
    </row>
    <row r="1015" spans="1:19" x14ac:dyDescent="0.2">
      <c r="A1015" s="1"/>
      <c r="B1015" s="1"/>
      <c r="C1015" s="1"/>
      <c r="D1015" s="1"/>
      <c r="E1015" s="1"/>
      <c r="F1015" s="1"/>
      <c r="H1015" s="1"/>
      <c r="I1015" s="1"/>
      <c r="J1015" s="1"/>
      <c r="K1015" s="1"/>
      <c r="L1015" s="1"/>
      <c r="M1015" s="1"/>
      <c r="N1015" s="1"/>
      <c r="O1015" s="1"/>
      <c r="P1015" s="1"/>
      <c r="Q1015" s="1"/>
      <c r="R1015" s="1"/>
      <c r="S1015" s="1"/>
    </row>
    <row r="1016" spans="1:19" x14ac:dyDescent="0.2">
      <c r="A1016" s="1"/>
      <c r="B1016" s="1"/>
      <c r="C1016" s="1"/>
      <c r="D1016" s="1"/>
      <c r="E1016" s="1"/>
      <c r="F1016" s="1"/>
      <c r="H1016" s="1"/>
      <c r="I1016" s="1"/>
      <c r="J1016" s="1"/>
      <c r="K1016" s="1"/>
      <c r="L1016" s="1"/>
      <c r="M1016" s="1"/>
      <c r="N1016" s="1"/>
      <c r="O1016" s="1"/>
      <c r="P1016" s="1"/>
      <c r="Q1016" s="1"/>
      <c r="R1016" s="1"/>
      <c r="S1016" s="1"/>
    </row>
    <row r="1017" spans="1:19" x14ac:dyDescent="0.2">
      <c r="A1017" s="1"/>
      <c r="B1017" s="1"/>
      <c r="C1017" s="1"/>
      <c r="D1017" s="1"/>
      <c r="E1017" s="1"/>
      <c r="F1017" s="1"/>
      <c r="H1017" s="1"/>
      <c r="I1017" s="1"/>
      <c r="J1017" s="1"/>
      <c r="K1017" s="1"/>
      <c r="L1017" s="1"/>
      <c r="M1017" s="1"/>
      <c r="N1017" s="1"/>
      <c r="O1017" s="1"/>
      <c r="P1017" s="1"/>
      <c r="Q1017" s="1"/>
      <c r="R1017" s="1"/>
      <c r="S1017" s="1"/>
    </row>
    <row r="1018" spans="1:19" x14ac:dyDescent="0.2">
      <c r="A1018" s="1"/>
      <c r="B1018" s="1"/>
      <c r="C1018" s="1"/>
      <c r="D1018" s="1"/>
      <c r="E1018" s="1"/>
      <c r="F1018" s="1"/>
      <c r="H1018" s="1"/>
      <c r="I1018" s="1"/>
      <c r="J1018" s="1"/>
      <c r="K1018" s="1"/>
      <c r="L1018" s="1"/>
      <c r="M1018" s="1"/>
      <c r="N1018" s="1"/>
      <c r="O1018" s="1"/>
      <c r="P1018" s="1"/>
      <c r="Q1018" s="1"/>
      <c r="R1018" s="1"/>
      <c r="S1018" s="1"/>
    </row>
    <row r="1019" spans="1:19" x14ac:dyDescent="0.2">
      <c r="A1019" s="1"/>
      <c r="B1019" s="1"/>
      <c r="C1019" s="1"/>
      <c r="D1019" s="1"/>
      <c r="E1019" s="1"/>
      <c r="F1019" s="1"/>
      <c r="H1019" s="1"/>
      <c r="I1019" s="1"/>
      <c r="J1019" s="1"/>
      <c r="K1019" s="1"/>
      <c r="L1019" s="1"/>
      <c r="M1019" s="1"/>
      <c r="N1019" s="1"/>
      <c r="O1019" s="1"/>
      <c r="P1019" s="1"/>
      <c r="Q1019" s="1"/>
      <c r="R1019" s="1"/>
      <c r="S1019" s="1"/>
    </row>
    <row r="1020" spans="1:19" x14ac:dyDescent="0.2">
      <c r="A1020" s="1"/>
      <c r="B1020" s="1"/>
      <c r="C1020" s="1"/>
      <c r="D1020" s="1"/>
      <c r="E1020" s="1"/>
      <c r="F1020" s="1"/>
      <c r="H1020" s="1"/>
      <c r="I1020" s="1"/>
      <c r="J1020" s="1"/>
      <c r="K1020" s="1"/>
      <c r="L1020" s="1"/>
      <c r="M1020" s="1"/>
      <c r="N1020" s="1"/>
      <c r="O1020" s="1"/>
      <c r="P1020" s="1"/>
      <c r="Q1020" s="1"/>
      <c r="R1020" s="1"/>
      <c r="S1020" s="1"/>
    </row>
    <row r="1021" spans="1:19" x14ac:dyDescent="0.2">
      <c r="A1021" s="1"/>
      <c r="B1021" s="1"/>
      <c r="C1021" s="1"/>
      <c r="D1021" s="1"/>
      <c r="E1021" s="1"/>
      <c r="F1021" s="1"/>
      <c r="H1021" s="1"/>
      <c r="I1021" s="1"/>
      <c r="J1021" s="1"/>
      <c r="K1021" s="1"/>
      <c r="L1021" s="1"/>
      <c r="M1021" s="1"/>
      <c r="N1021" s="1"/>
      <c r="O1021" s="1"/>
      <c r="P1021" s="1"/>
      <c r="Q1021" s="1"/>
      <c r="R1021" s="1"/>
      <c r="S1021" s="1"/>
    </row>
    <row r="1022" spans="1:19" x14ac:dyDescent="0.2">
      <c r="A1022" s="1"/>
      <c r="B1022" s="1"/>
      <c r="C1022" s="1"/>
      <c r="D1022" s="1"/>
      <c r="E1022" s="1"/>
      <c r="F1022" s="1"/>
      <c r="H1022" s="1"/>
      <c r="I1022" s="1"/>
      <c r="J1022" s="1"/>
      <c r="K1022" s="1"/>
      <c r="L1022" s="1"/>
      <c r="M1022" s="1"/>
      <c r="N1022" s="1"/>
      <c r="O1022" s="1"/>
      <c r="P1022" s="1"/>
      <c r="Q1022" s="1"/>
      <c r="R1022" s="1"/>
      <c r="S1022" s="1"/>
    </row>
    <row r="1023" spans="1:19" x14ac:dyDescent="0.2">
      <c r="A1023" s="1"/>
      <c r="B1023" s="1"/>
      <c r="C1023" s="1"/>
      <c r="D1023" s="1"/>
      <c r="E1023" s="1"/>
      <c r="F1023" s="1"/>
      <c r="H1023" s="1"/>
      <c r="I1023" s="1"/>
      <c r="J1023" s="1"/>
      <c r="K1023" s="1"/>
      <c r="L1023" s="1"/>
      <c r="M1023" s="1"/>
      <c r="N1023" s="1"/>
      <c r="O1023" s="1"/>
      <c r="P1023" s="1"/>
      <c r="Q1023" s="1"/>
      <c r="R1023" s="1"/>
      <c r="S1023" s="1"/>
    </row>
    <row r="1024" spans="1:19" x14ac:dyDescent="0.2">
      <c r="A1024" s="1"/>
      <c r="B1024" s="1"/>
      <c r="C1024" s="1"/>
      <c r="D1024" s="1"/>
      <c r="E1024" s="1"/>
      <c r="F1024" s="1"/>
      <c r="H1024" s="1"/>
      <c r="I1024" s="1"/>
      <c r="J1024" s="1"/>
      <c r="K1024" s="1"/>
      <c r="L1024" s="1"/>
      <c r="M1024" s="1"/>
      <c r="N1024" s="1"/>
      <c r="O1024" s="1"/>
      <c r="P1024" s="1"/>
      <c r="Q1024" s="1"/>
      <c r="R1024" s="1"/>
      <c r="S1024" s="1"/>
    </row>
    <row r="1025" spans="1:19" x14ac:dyDescent="0.2">
      <c r="A1025" s="1"/>
      <c r="B1025" s="1"/>
      <c r="C1025" s="1"/>
      <c r="D1025" s="1"/>
      <c r="E1025" s="1"/>
      <c r="F1025" s="1"/>
      <c r="H1025" s="1"/>
      <c r="I1025" s="1"/>
      <c r="J1025" s="1"/>
      <c r="K1025" s="1"/>
      <c r="L1025" s="1"/>
      <c r="M1025" s="1"/>
      <c r="N1025" s="1"/>
      <c r="O1025" s="1"/>
      <c r="P1025" s="1"/>
      <c r="Q1025" s="1"/>
      <c r="R1025" s="1"/>
      <c r="S1025" s="1"/>
    </row>
    <row r="1026" spans="1:19" x14ac:dyDescent="0.2">
      <c r="A1026" s="1"/>
      <c r="B1026" s="1"/>
      <c r="C1026" s="1"/>
      <c r="D1026" s="1"/>
      <c r="E1026" s="1"/>
      <c r="F1026" s="1"/>
      <c r="H1026" s="1"/>
      <c r="I1026" s="1"/>
      <c r="J1026" s="1"/>
      <c r="K1026" s="1"/>
      <c r="L1026" s="1"/>
      <c r="M1026" s="1"/>
      <c r="N1026" s="1"/>
      <c r="O1026" s="1"/>
      <c r="P1026" s="1"/>
      <c r="Q1026" s="1"/>
      <c r="R1026" s="1"/>
      <c r="S1026" s="1"/>
    </row>
    <row r="1027" spans="1:19" x14ac:dyDescent="0.2">
      <c r="A1027" s="1"/>
      <c r="B1027" s="1"/>
      <c r="C1027" s="1"/>
      <c r="D1027" s="1"/>
      <c r="E1027" s="1"/>
      <c r="F1027" s="1"/>
      <c r="H1027" s="1"/>
      <c r="I1027" s="1"/>
      <c r="J1027" s="1"/>
      <c r="K1027" s="1"/>
      <c r="L1027" s="1"/>
      <c r="M1027" s="1"/>
      <c r="N1027" s="1"/>
      <c r="O1027" s="1"/>
      <c r="P1027" s="1"/>
      <c r="Q1027" s="1"/>
      <c r="R1027" s="1"/>
      <c r="S1027" s="1"/>
    </row>
    <row r="1028" spans="1:19" x14ac:dyDescent="0.2">
      <c r="A1028" s="1"/>
      <c r="B1028" s="1"/>
      <c r="C1028" s="1"/>
      <c r="D1028" s="1"/>
      <c r="E1028" s="1"/>
      <c r="F1028" s="1"/>
      <c r="H1028" s="1"/>
      <c r="I1028" s="1"/>
      <c r="J1028" s="1"/>
      <c r="K1028" s="1"/>
      <c r="L1028" s="1"/>
      <c r="M1028" s="1"/>
      <c r="N1028" s="1"/>
      <c r="O1028" s="1"/>
      <c r="P1028" s="1"/>
      <c r="Q1028" s="1"/>
      <c r="R1028" s="1"/>
      <c r="S1028" s="1"/>
    </row>
    <row r="1029" spans="1:19" x14ac:dyDescent="0.2">
      <c r="A1029" s="1"/>
      <c r="B1029" s="1"/>
      <c r="C1029" s="1"/>
      <c r="D1029" s="1"/>
      <c r="E1029" s="1"/>
      <c r="F1029" s="1"/>
      <c r="H1029" s="1"/>
      <c r="I1029" s="1"/>
      <c r="J1029" s="1"/>
      <c r="K1029" s="1"/>
      <c r="L1029" s="1"/>
      <c r="M1029" s="1"/>
      <c r="N1029" s="1"/>
      <c r="O1029" s="1"/>
      <c r="P1029" s="1"/>
      <c r="Q1029" s="1"/>
      <c r="R1029" s="1"/>
      <c r="S1029" s="1"/>
    </row>
    <row r="1030" spans="1:19" x14ac:dyDescent="0.2">
      <c r="A1030" s="1"/>
      <c r="B1030" s="1"/>
      <c r="C1030" s="1"/>
      <c r="D1030" s="1"/>
      <c r="E1030" s="1"/>
      <c r="F1030" s="1"/>
      <c r="H1030" s="1"/>
      <c r="I1030" s="1"/>
      <c r="J1030" s="1"/>
      <c r="K1030" s="1"/>
      <c r="L1030" s="1"/>
      <c r="M1030" s="1"/>
      <c r="N1030" s="1"/>
      <c r="O1030" s="1"/>
      <c r="P1030" s="1"/>
      <c r="Q1030" s="1"/>
      <c r="R1030" s="1"/>
      <c r="S1030" s="1"/>
    </row>
    <row r="1031" spans="1:19" x14ac:dyDescent="0.2">
      <c r="A1031" s="1"/>
      <c r="B1031" s="1"/>
      <c r="C1031" s="1"/>
      <c r="D1031" s="1"/>
      <c r="E1031" s="1"/>
      <c r="F1031" s="1"/>
      <c r="H1031" s="1"/>
      <c r="I1031" s="1"/>
      <c r="J1031" s="1"/>
      <c r="K1031" s="1"/>
      <c r="L1031" s="1"/>
      <c r="M1031" s="1"/>
      <c r="N1031" s="1"/>
      <c r="O1031" s="1"/>
      <c r="P1031" s="1"/>
      <c r="Q1031" s="1"/>
      <c r="R1031" s="1"/>
      <c r="S1031" s="1"/>
    </row>
    <row r="1032" spans="1:19" x14ac:dyDescent="0.2">
      <c r="A1032" s="1"/>
      <c r="B1032" s="1"/>
      <c r="C1032" s="1"/>
      <c r="D1032" s="1"/>
      <c r="E1032" s="1"/>
      <c r="F1032" s="1"/>
      <c r="H1032" s="1"/>
      <c r="I1032" s="1"/>
      <c r="J1032" s="1"/>
      <c r="K1032" s="1"/>
      <c r="L1032" s="1"/>
      <c r="M1032" s="1"/>
      <c r="N1032" s="1"/>
      <c r="O1032" s="1"/>
      <c r="P1032" s="1"/>
      <c r="Q1032" s="1"/>
      <c r="R1032" s="1"/>
      <c r="S1032" s="1"/>
    </row>
    <row r="1033" spans="1:19" x14ac:dyDescent="0.2">
      <c r="A1033" s="1"/>
      <c r="B1033" s="1"/>
      <c r="C1033" s="1"/>
      <c r="D1033" s="1"/>
      <c r="E1033" s="1"/>
      <c r="F1033" s="1"/>
      <c r="H1033" s="1"/>
      <c r="I1033" s="1"/>
      <c r="J1033" s="1"/>
      <c r="K1033" s="1"/>
      <c r="L1033" s="1"/>
      <c r="M1033" s="1"/>
      <c r="N1033" s="1"/>
      <c r="O1033" s="1"/>
      <c r="P1033" s="1"/>
      <c r="Q1033" s="1"/>
      <c r="R1033" s="1"/>
      <c r="S1033" s="1"/>
    </row>
    <row r="1034" spans="1:19" x14ac:dyDescent="0.2">
      <c r="A1034" s="1"/>
      <c r="B1034" s="1"/>
      <c r="C1034" s="1"/>
      <c r="D1034" s="1"/>
      <c r="E1034" s="1"/>
      <c r="F1034" s="1"/>
      <c r="H1034" s="1"/>
      <c r="I1034" s="1"/>
      <c r="J1034" s="1"/>
      <c r="K1034" s="1"/>
      <c r="L1034" s="1"/>
      <c r="M1034" s="1"/>
      <c r="N1034" s="1"/>
      <c r="O1034" s="1"/>
      <c r="P1034" s="1"/>
      <c r="Q1034" s="1"/>
      <c r="R1034" s="1"/>
      <c r="S1034" s="1"/>
    </row>
    <row r="1035" spans="1:19" x14ac:dyDescent="0.2">
      <c r="A1035" s="1"/>
      <c r="B1035" s="1"/>
      <c r="C1035" s="1"/>
      <c r="D1035" s="1"/>
      <c r="E1035" s="1"/>
      <c r="F1035" s="1"/>
      <c r="H1035" s="1"/>
      <c r="I1035" s="1"/>
      <c r="J1035" s="1"/>
      <c r="K1035" s="1"/>
      <c r="L1035" s="1"/>
      <c r="M1035" s="1"/>
      <c r="N1035" s="1"/>
      <c r="O1035" s="1"/>
      <c r="P1035" s="1"/>
      <c r="Q1035" s="1"/>
      <c r="R1035" s="1"/>
      <c r="S1035" s="1"/>
    </row>
    <row r="1036" spans="1:19" x14ac:dyDescent="0.2">
      <c r="A1036" s="1"/>
      <c r="B1036" s="1"/>
      <c r="C1036" s="1"/>
      <c r="D1036" s="1"/>
      <c r="E1036" s="1"/>
      <c r="F1036" s="1"/>
      <c r="H1036" s="1"/>
      <c r="I1036" s="1"/>
      <c r="J1036" s="1"/>
      <c r="K1036" s="1"/>
      <c r="L1036" s="1"/>
      <c r="M1036" s="1"/>
      <c r="N1036" s="1"/>
      <c r="O1036" s="1"/>
      <c r="P1036" s="1"/>
      <c r="Q1036" s="1"/>
      <c r="R1036" s="1"/>
      <c r="S1036" s="1"/>
    </row>
    <row r="1037" spans="1:19" x14ac:dyDescent="0.2">
      <c r="A1037" s="1"/>
      <c r="B1037" s="1"/>
      <c r="C1037" s="1"/>
      <c r="D1037" s="1"/>
      <c r="E1037" s="1"/>
      <c r="F1037" s="1"/>
      <c r="H1037" s="1"/>
      <c r="I1037" s="1"/>
      <c r="J1037" s="1"/>
      <c r="K1037" s="1"/>
      <c r="L1037" s="1"/>
      <c r="M1037" s="1"/>
      <c r="N1037" s="1"/>
      <c r="O1037" s="1"/>
      <c r="P1037" s="1"/>
      <c r="Q1037" s="1"/>
      <c r="R1037" s="1"/>
      <c r="S1037" s="1"/>
    </row>
    <row r="1038" spans="1:19" x14ac:dyDescent="0.2">
      <c r="A1038" s="1"/>
      <c r="B1038" s="1"/>
      <c r="C1038" s="1"/>
      <c r="D1038" s="1"/>
      <c r="E1038" s="1"/>
      <c r="F1038" s="1"/>
      <c r="H1038" s="1"/>
      <c r="I1038" s="1"/>
      <c r="J1038" s="1"/>
      <c r="K1038" s="1"/>
      <c r="L1038" s="1"/>
      <c r="M1038" s="1"/>
      <c r="N1038" s="1"/>
      <c r="O1038" s="1"/>
      <c r="P1038" s="1"/>
      <c r="Q1038" s="1"/>
      <c r="R1038" s="1"/>
      <c r="S1038" s="1"/>
    </row>
    <row r="1039" spans="1:19" x14ac:dyDescent="0.2">
      <c r="A1039" s="1"/>
      <c r="B1039" s="1"/>
      <c r="C1039" s="1"/>
      <c r="D1039" s="1"/>
      <c r="E1039" s="1"/>
      <c r="F1039" s="1"/>
      <c r="H1039" s="1"/>
      <c r="I1039" s="1"/>
      <c r="J1039" s="1"/>
      <c r="K1039" s="1"/>
      <c r="L1039" s="1"/>
      <c r="M1039" s="1"/>
      <c r="N1039" s="1"/>
      <c r="O1039" s="1"/>
      <c r="P1039" s="1"/>
      <c r="Q1039" s="1"/>
      <c r="R1039" s="1"/>
      <c r="S1039" s="1"/>
    </row>
    <row r="1040" spans="1:19" x14ac:dyDescent="0.2">
      <c r="A1040" s="1"/>
      <c r="B1040" s="1"/>
      <c r="C1040" s="1"/>
      <c r="D1040" s="1"/>
      <c r="E1040" s="1"/>
      <c r="F1040" s="1"/>
      <c r="H1040" s="1"/>
      <c r="I1040" s="1"/>
      <c r="J1040" s="1"/>
      <c r="K1040" s="1"/>
      <c r="L1040" s="1"/>
      <c r="M1040" s="1"/>
      <c r="N1040" s="1"/>
      <c r="O1040" s="1"/>
      <c r="P1040" s="1"/>
      <c r="Q1040" s="1"/>
      <c r="R1040" s="1"/>
      <c r="S1040" s="1"/>
    </row>
    <row r="1041" spans="1:19" x14ac:dyDescent="0.2">
      <c r="A1041" s="1"/>
      <c r="B1041" s="1"/>
      <c r="C1041" s="1"/>
      <c r="D1041" s="1"/>
      <c r="E1041" s="1"/>
      <c r="F1041" s="1"/>
      <c r="H1041" s="1"/>
      <c r="I1041" s="1"/>
      <c r="J1041" s="1"/>
      <c r="K1041" s="1"/>
      <c r="L1041" s="1"/>
      <c r="M1041" s="1"/>
      <c r="N1041" s="1"/>
      <c r="O1041" s="1"/>
      <c r="P1041" s="1"/>
      <c r="Q1041" s="1"/>
      <c r="R1041" s="1"/>
      <c r="S1041" s="1"/>
    </row>
    <row r="1042" spans="1:19" x14ac:dyDescent="0.2">
      <c r="A1042" s="1"/>
      <c r="B1042" s="1"/>
      <c r="C1042" s="1"/>
      <c r="D1042" s="1"/>
      <c r="E1042" s="1"/>
      <c r="F1042" s="1"/>
      <c r="H1042" s="1"/>
      <c r="I1042" s="1"/>
      <c r="J1042" s="1"/>
      <c r="K1042" s="1"/>
      <c r="L1042" s="1"/>
      <c r="M1042" s="1"/>
      <c r="N1042" s="1"/>
      <c r="O1042" s="1"/>
      <c r="P1042" s="1"/>
      <c r="Q1042" s="1"/>
      <c r="R1042" s="1"/>
      <c r="S1042" s="1"/>
    </row>
    <row r="1043" spans="1:19" x14ac:dyDescent="0.2">
      <c r="A1043" s="1"/>
      <c r="B1043" s="1"/>
      <c r="C1043" s="1"/>
      <c r="D1043" s="1"/>
      <c r="E1043" s="1"/>
      <c r="F1043" s="1"/>
      <c r="H1043" s="1"/>
      <c r="I1043" s="1"/>
      <c r="J1043" s="1"/>
      <c r="K1043" s="1"/>
      <c r="L1043" s="1"/>
      <c r="M1043" s="1"/>
      <c r="N1043" s="1"/>
      <c r="O1043" s="1"/>
      <c r="P1043" s="1"/>
      <c r="Q1043" s="1"/>
      <c r="R1043" s="1"/>
      <c r="S1043" s="1"/>
    </row>
    <row r="1044" spans="1:19" x14ac:dyDescent="0.2">
      <c r="A1044" s="1"/>
      <c r="B1044" s="1"/>
      <c r="C1044" s="1"/>
      <c r="D1044" s="1"/>
      <c r="E1044" s="1"/>
      <c r="F1044" s="1"/>
      <c r="H1044" s="1"/>
      <c r="I1044" s="1"/>
      <c r="J1044" s="1"/>
      <c r="K1044" s="1"/>
      <c r="L1044" s="1"/>
      <c r="M1044" s="1"/>
      <c r="N1044" s="1"/>
      <c r="O1044" s="1"/>
      <c r="P1044" s="1"/>
      <c r="Q1044" s="1"/>
      <c r="R1044" s="1"/>
      <c r="S1044" s="1"/>
    </row>
    <row r="1045" spans="1:19" x14ac:dyDescent="0.2">
      <c r="A1045" s="1"/>
      <c r="B1045" s="1"/>
      <c r="C1045" s="1"/>
      <c r="D1045" s="1"/>
      <c r="E1045" s="1"/>
      <c r="F1045" s="1"/>
      <c r="H1045" s="1"/>
      <c r="I1045" s="1"/>
      <c r="J1045" s="1"/>
      <c r="K1045" s="1"/>
      <c r="L1045" s="1"/>
      <c r="M1045" s="1"/>
      <c r="N1045" s="1"/>
      <c r="O1045" s="1"/>
      <c r="P1045" s="1"/>
      <c r="Q1045" s="1"/>
      <c r="R1045" s="1"/>
      <c r="S1045" s="1"/>
    </row>
    <row r="1046" spans="1:19" x14ac:dyDescent="0.2">
      <c r="A1046" s="1"/>
      <c r="B1046" s="1"/>
      <c r="C1046" s="1"/>
      <c r="D1046" s="1"/>
      <c r="E1046" s="1"/>
      <c r="F1046" s="1"/>
      <c r="H1046" s="1"/>
      <c r="I1046" s="1"/>
      <c r="J1046" s="1"/>
      <c r="K1046" s="1"/>
      <c r="L1046" s="1"/>
      <c r="M1046" s="1"/>
      <c r="N1046" s="1"/>
      <c r="O1046" s="1"/>
      <c r="P1046" s="1"/>
      <c r="Q1046" s="1"/>
      <c r="R1046" s="1"/>
      <c r="S1046" s="1"/>
    </row>
    <row r="1047" spans="1:19" x14ac:dyDescent="0.2">
      <c r="A1047" s="1"/>
      <c r="B1047" s="1"/>
      <c r="C1047" s="1"/>
      <c r="D1047" s="1"/>
      <c r="E1047" s="1"/>
      <c r="F1047" s="1"/>
      <c r="H1047" s="1"/>
      <c r="I1047" s="1"/>
      <c r="J1047" s="1"/>
      <c r="K1047" s="1"/>
      <c r="L1047" s="1"/>
      <c r="M1047" s="1"/>
      <c r="N1047" s="1"/>
      <c r="O1047" s="1"/>
      <c r="P1047" s="1"/>
      <c r="Q1047" s="1"/>
      <c r="R1047" s="1"/>
      <c r="S1047" s="1"/>
    </row>
    <row r="1048" spans="1:19" x14ac:dyDescent="0.2">
      <c r="A1048" s="1"/>
      <c r="B1048" s="1"/>
      <c r="C1048" s="1"/>
      <c r="D1048" s="1"/>
      <c r="E1048" s="1"/>
      <c r="F1048" s="1"/>
      <c r="H1048" s="1"/>
      <c r="I1048" s="1"/>
      <c r="J1048" s="1"/>
      <c r="K1048" s="1"/>
      <c r="L1048" s="1"/>
      <c r="M1048" s="1"/>
      <c r="N1048" s="1"/>
      <c r="O1048" s="1"/>
      <c r="P1048" s="1"/>
      <c r="Q1048" s="1"/>
      <c r="R1048" s="1"/>
      <c r="S1048" s="1"/>
    </row>
    <row r="1049" spans="1:19" x14ac:dyDescent="0.2">
      <c r="A1049" s="1"/>
      <c r="B1049" s="1"/>
      <c r="C1049" s="1"/>
      <c r="D1049" s="1"/>
      <c r="E1049" s="1"/>
      <c r="F1049" s="1"/>
      <c r="H1049" s="1"/>
      <c r="I1049" s="1"/>
      <c r="J1049" s="1"/>
      <c r="K1049" s="1"/>
      <c r="L1049" s="1"/>
      <c r="M1049" s="1"/>
      <c r="N1049" s="1"/>
      <c r="O1049" s="1"/>
      <c r="P1049" s="1"/>
      <c r="Q1049" s="1"/>
      <c r="R1049" s="1"/>
      <c r="S1049" s="1"/>
    </row>
    <row r="1050" spans="1:19" x14ac:dyDescent="0.2">
      <c r="A1050" s="1"/>
      <c r="B1050" s="1"/>
      <c r="C1050" s="1"/>
      <c r="D1050" s="1"/>
      <c r="E1050" s="1"/>
      <c r="F1050" s="1"/>
      <c r="H1050" s="1"/>
      <c r="I1050" s="1"/>
      <c r="J1050" s="1"/>
      <c r="K1050" s="1"/>
      <c r="L1050" s="1"/>
      <c r="M1050" s="1"/>
      <c r="N1050" s="1"/>
      <c r="O1050" s="1"/>
      <c r="P1050" s="1"/>
      <c r="Q1050" s="1"/>
      <c r="R1050" s="1"/>
      <c r="S1050" s="1"/>
    </row>
    <row r="1051" spans="1:19" x14ac:dyDescent="0.2">
      <c r="A1051" s="1"/>
      <c r="B1051" s="1"/>
      <c r="C1051" s="1"/>
      <c r="D1051" s="1"/>
      <c r="E1051" s="1"/>
      <c r="F1051" s="1"/>
      <c r="H1051" s="1"/>
      <c r="I1051" s="1"/>
      <c r="J1051" s="1"/>
      <c r="K1051" s="1"/>
      <c r="L1051" s="1"/>
      <c r="M1051" s="1"/>
      <c r="N1051" s="1"/>
      <c r="O1051" s="1"/>
      <c r="P1051" s="1"/>
      <c r="Q1051" s="1"/>
      <c r="R1051" s="1"/>
      <c r="S1051" s="1"/>
    </row>
    <row r="1052" spans="1:19" x14ac:dyDescent="0.2">
      <c r="A1052" s="1"/>
      <c r="B1052" s="1"/>
      <c r="C1052" s="1"/>
      <c r="D1052" s="1"/>
      <c r="E1052" s="1"/>
      <c r="F1052" s="1"/>
      <c r="H1052" s="1"/>
      <c r="I1052" s="1"/>
      <c r="J1052" s="1"/>
      <c r="K1052" s="1"/>
      <c r="L1052" s="1"/>
      <c r="M1052" s="1"/>
      <c r="N1052" s="1"/>
      <c r="O1052" s="1"/>
      <c r="P1052" s="1"/>
      <c r="Q1052" s="1"/>
      <c r="R1052" s="1"/>
      <c r="S1052" s="1"/>
    </row>
    <row r="1053" spans="1:19" x14ac:dyDescent="0.2">
      <c r="A1053" s="1"/>
      <c r="B1053" s="1"/>
      <c r="C1053" s="1"/>
      <c r="D1053" s="1"/>
      <c r="E1053" s="1"/>
      <c r="F1053" s="1"/>
      <c r="H1053" s="1"/>
      <c r="I1053" s="1"/>
      <c r="J1053" s="1"/>
      <c r="K1053" s="1"/>
      <c r="L1053" s="1"/>
      <c r="M1053" s="1"/>
      <c r="N1053" s="1"/>
      <c r="O1053" s="1"/>
      <c r="P1053" s="1"/>
      <c r="Q1053" s="1"/>
      <c r="R1053" s="1"/>
      <c r="S1053" s="1"/>
    </row>
    <row r="1054" spans="1:19" x14ac:dyDescent="0.2">
      <c r="A1054" s="1"/>
      <c r="B1054" s="1"/>
      <c r="C1054" s="1"/>
      <c r="D1054" s="1"/>
      <c r="E1054" s="1"/>
      <c r="F1054" s="1"/>
      <c r="H1054" s="1"/>
      <c r="I1054" s="1"/>
      <c r="J1054" s="1"/>
      <c r="K1054" s="1"/>
      <c r="L1054" s="1"/>
      <c r="M1054" s="1"/>
      <c r="N1054" s="1"/>
      <c r="O1054" s="1"/>
      <c r="P1054" s="1"/>
      <c r="Q1054" s="1"/>
      <c r="R1054" s="1"/>
      <c r="S1054" s="1"/>
    </row>
    <row r="1055" spans="1:19" x14ac:dyDescent="0.2">
      <c r="A1055" s="1"/>
      <c r="B1055" s="1"/>
      <c r="C1055" s="1"/>
      <c r="D1055" s="1"/>
      <c r="E1055" s="1"/>
      <c r="F1055" s="1"/>
      <c r="H1055" s="1"/>
      <c r="I1055" s="1"/>
      <c r="J1055" s="1"/>
      <c r="K1055" s="1"/>
      <c r="L1055" s="1"/>
      <c r="M1055" s="1"/>
      <c r="N1055" s="1"/>
      <c r="O1055" s="1"/>
      <c r="P1055" s="1"/>
      <c r="Q1055" s="1"/>
      <c r="R1055" s="1"/>
      <c r="S1055" s="1"/>
    </row>
    <row r="1056" spans="1:19" x14ac:dyDescent="0.2">
      <c r="A1056" s="1"/>
      <c r="B1056" s="1"/>
      <c r="C1056" s="1"/>
      <c r="D1056" s="1"/>
      <c r="E1056" s="1"/>
      <c r="F1056" s="1"/>
      <c r="H1056" s="1"/>
      <c r="I1056" s="1"/>
      <c r="J1056" s="1"/>
      <c r="K1056" s="1"/>
      <c r="L1056" s="1"/>
      <c r="M1056" s="1"/>
      <c r="N1056" s="1"/>
      <c r="O1056" s="1"/>
      <c r="P1056" s="1"/>
      <c r="Q1056" s="1"/>
      <c r="R1056" s="1"/>
      <c r="S1056" s="1"/>
    </row>
    <row r="1057" spans="1:19" x14ac:dyDescent="0.2">
      <c r="A1057" s="1"/>
      <c r="B1057" s="1"/>
      <c r="C1057" s="1"/>
      <c r="D1057" s="1"/>
      <c r="E1057" s="1"/>
      <c r="F1057" s="1"/>
      <c r="H1057" s="1"/>
      <c r="I1057" s="1"/>
      <c r="J1057" s="1"/>
      <c r="K1057" s="1"/>
      <c r="L1057" s="1"/>
      <c r="M1057" s="1"/>
      <c r="N1057" s="1"/>
      <c r="O1057" s="1"/>
      <c r="P1057" s="1"/>
      <c r="Q1057" s="1"/>
      <c r="R1057" s="1"/>
      <c r="S1057" s="1"/>
    </row>
    <row r="1058" spans="1:19" x14ac:dyDescent="0.2">
      <c r="A1058" s="1"/>
      <c r="B1058" s="1"/>
      <c r="C1058" s="1"/>
      <c r="D1058" s="1"/>
      <c r="E1058" s="1"/>
      <c r="F1058" s="1"/>
      <c r="H1058" s="1"/>
      <c r="I1058" s="1"/>
      <c r="J1058" s="1"/>
      <c r="K1058" s="1"/>
      <c r="L1058" s="1"/>
      <c r="M1058" s="1"/>
      <c r="N1058" s="1"/>
      <c r="O1058" s="1"/>
      <c r="P1058" s="1"/>
      <c r="Q1058" s="1"/>
      <c r="R1058" s="1"/>
      <c r="S1058" s="1"/>
    </row>
    <row r="1059" spans="1:19" x14ac:dyDescent="0.2">
      <c r="A1059" s="1"/>
      <c r="B1059" s="1"/>
      <c r="C1059" s="1"/>
      <c r="D1059" s="1"/>
      <c r="E1059" s="1"/>
      <c r="F1059" s="1"/>
      <c r="H1059" s="1"/>
      <c r="I1059" s="1"/>
      <c r="J1059" s="1"/>
      <c r="K1059" s="1"/>
      <c r="L1059" s="1"/>
      <c r="M1059" s="1"/>
      <c r="N1059" s="1"/>
      <c r="O1059" s="1"/>
      <c r="P1059" s="1"/>
      <c r="Q1059" s="1"/>
      <c r="R1059" s="1"/>
      <c r="S1059" s="1"/>
    </row>
    <row r="1060" spans="1:19" x14ac:dyDescent="0.2">
      <c r="A1060" s="1"/>
      <c r="B1060" s="1"/>
      <c r="C1060" s="1"/>
      <c r="D1060" s="1"/>
      <c r="E1060" s="1"/>
      <c r="F1060" s="1"/>
      <c r="H1060" s="1"/>
      <c r="I1060" s="1"/>
      <c r="J1060" s="1"/>
      <c r="K1060" s="1"/>
      <c r="L1060" s="1"/>
      <c r="M1060" s="1"/>
      <c r="N1060" s="1"/>
      <c r="O1060" s="1"/>
      <c r="P1060" s="1"/>
      <c r="Q1060" s="1"/>
      <c r="R1060" s="1"/>
      <c r="S1060" s="1"/>
    </row>
    <row r="1061" spans="1:19" x14ac:dyDescent="0.2">
      <c r="A1061" s="1"/>
      <c r="B1061" s="1"/>
      <c r="C1061" s="1"/>
      <c r="D1061" s="1"/>
      <c r="E1061" s="1"/>
      <c r="F1061" s="1"/>
      <c r="H1061" s="1"/>
      <c r="I1061" s="1"/>
      <c r="J1061" s="1"/>
      <c r="K1061" s="1"/>
      <c r="L1061" s="1"/>
      <c r="M1061" s="1"/>
      <c r="N1061" s="1"/>
      <c r="O1061" s="1"/>
      <c r="P1061" s="1"/>
      <c r="Q1061" s="1"/>
      <c r="R1061" s="1"/>
      <c r="S1061" s="1"/>
    </row>
    <row r="1062" spans="1:19" x14ac:dyDescent="0.2">
      <c r="A1062" s="1"/>
      <c r="B1062" s="1"/>
      <c r="C1062" s="1"/>
      <c r="D1062" s="1"/>
      <c r="E1062" s="1"/>
      <c r="F1062" s="1"/>
      <c r="H1062" s="1"/>
      <c r="I1062" s="1"/>
      <c r="J1062" s="1"/>
      <c r="K1062" s="1"/>
      <c r="L1062" s="1"/>
      <c r="M1062" s="1"/>
      <c r="N1062" s="1"/>
      <c r="O1062" s="1"/>
      <c r="P1062" s="1"/>
      <c r="Q1062" s="1"/>
      <c r="R1062" s="1"/>
      <c r="S1062" s="1"/>
    </row>
    <row r="1063" spans="1:19" x14ac:dyDescent="0.2">
      <c r="A1063" s="1"/>
      <c r="B1063" s="1"/>
      <c r="C1063" s="1"/>
      <c r="D1063" s="1"/>
      <c r="E1063" s="1"/>
      <c r="F1063" s="1"/>
      <c r="H1063" s="1"/>
      <c r="I1063" s="1"/>
      <c r="J1063" s="1"/>
      <c r="K1063" s="1"/>
      <c r="L1063" s="1"/>
      <c r="M1063" s="1"/>
      <c r="N1063" s="1"/>
      <c r="O1063" s="1"/>
      <c r="P1063" s="1"/>
      <c r="Q1063" s="1"/>
      <c r="R1063" s="1"/>
      <c r="S1063" s="1"/>
    </row>
    <row r="1064" spans="1:19" x14ac:dyDescent="0.2">
      <c r="A1064" s="1"/>
      <c r="B1064" s="1"/>
      <c r="C1064" s="1"/>
      <c r="D1064" s="1"/>
      <c r="E1064" s="1"/>
      <c r="F1064" s="1"/>
      <c r="H1064" s="1"/>
      <c r="I1064" s="1"/>
      <c r="J1064" s="1"/>
      <c r="K1064" s="1"/>
      <c r="L1064" s="1"/>
      <c r="M1064" s="1"/>
      <c r="N1064" s="1"/>
      <c r="O1064" s="1"/>
      <c r="P1064" s="1"/>
      <c r="Q1064" s="1"/>
      <c r="R1064" s="1"/>
      <c r="S1064" s="1"/>
    </row>
    <row r="1065" spans="1:19" x14ac:dyDescent="0.2">
      <c r="A1065" s="1"/>
      <c r="B1065" s="1"/>
      <c r="C1065" s="1"/>
      <c r="D1065" s="1"/>
      <c r="E1065" s="1"/>
      <c r="F1065" s="1"/>
      <c r="H1065" s="1"/>
      <c r="I1065" s="1"/>
      <c r="J1065" s="1"/>
      <c r="K1065" s="1"/>
      <c r="L1065" s="1"/>
      <c r="M1065" s="1"/>
      <c r="N1065" s="1"/>
      <c r="O1065" s="1"/>
      <c r="P1065" s="1"/>
      <c r="Q1065" s="1"/>
      <c r="R1065" s="1"/>
      <c r="S1065" s="1"/>
    </row>
    <row r="1066" spans="1:19" x14ac:dyDescent="0.2">
      <c r="A1066" s="1"/>
      <c r="B1066" s="1"/>
      <c r="C1066" s="1"/>
      <c r="D1066" s="1"/>
      <c r="E1066" s="1"/>
      <c r="F1066" s="1"/>
      <c r="H1066" s="1"/>
      <c r="I1066" s="1"/>
      <c r="J1066" s="1"/>
      <c r="K1066" s="1"/>
      <c r="L1066" s="1"/>
      <c r="M1066" s="1"/>
      <c r="N1066" s="1"/>
      <c r="O1066" s="1"/>
      <c r="P1066" s="1"/>
      <c r="Q1066" s="1"/>
      <c r="R1066" s="1"/>
      <c r="S1066" s="1"/>
    </row>
    <row r="1067" spans="1:19" x14ac:dyDescent="0.2">
      <c r="A1067" s="1"/>
      <c r="B1067" s="1"/>
      <c r="C1067" s="1"/>
      <c r="D1067" s="1"/>
      <c r="E1067" s="1"/>
      <c r="F1067" s="1"/>
      <c r="H1067" s="1"/>
      <c r="I1067" s="1"/>
      <c r="J1067" s="1"/>
      <c r="K1067" s="1"/>
      <c r="L1067" s="1"/>
      <c r="M1067" s="1"/>
      <c r="N1067" s="1"/>
      <c r="O1067" s="1"/>
      <c r="P1067" s="1"/>
      <c r="Q1067" s="1"/>
      <c r="R1067" s="1"/>
      <c r="S1067" s="1"/>
    </row>
    <row r="1068" spans="1:19" x14ac:dyDescent="0.2">
      <c r="A1068" s="1"/>
      <c r="B1068" s="1"/>
      <c r="C1068" s="1"/>
      <c r="D1068" s="1"/>
      <c r="E1068" s="1"/>
      <c r="F1068" s="1"/>
      <c r="H1068" s="1"/>
      <c r="I1068" s="1"/>
      <c r="J1068" s="1"/>
      <c r="K1068" s="1"/>
      <c r="L1068" s="1"/>
      <c r="M1068" s="1"/>
      <c r="N1068" s="1"/>
      <c r="O1068" s="1"/>
      <c r="P1068" s="1"/>
      <c r="Q1068" s="1"/>
      <c r="R1068" s="1"/>
      <c r="S1068" s="1"/>
    </row>
    <row r="1069" spans="1:19" x14ac:dyDescent="0.2">
      <c r="A1069" s="1"/>
      <c r="B1069" s="1"/>
      <c r="C1069" s="1"/>
      <c r="D1069" s="1"/>
      <c r="E1069" s="1"/>
      <c r="F1069" s="1"/>
      <c r="H1069" s="1"/>
      <c r="I1069" s="1"/>
      <c r="J1069" s="1"/>
      <c r="K1069" s="1"/>
      <c r="L1069" s="1"/>
      <c r="M1069" s="1"/>
      <c r="N1069" s="1"/>
      <c r="O1069" s="1"/>
      <c r="P1069" s="1"/>
      <c r="Q1069" s="1"/>
      <c r="R1069" s="1"/>
      <c r="S1069" s="1"/>
    </row>
    <row r="1070" spans="1:19" x14ac:dyDescent="0.2">
      <c r="A1070" s="1"/>
      <c r="B1070" s="1"/>
      <c r="C1070" s="1"/>
      <c r="D1070" s="1"/>
      <c r="E1070" s="1"/>
      <c r="F1070" s="1"/>
      <c r="H1070" s="1"/>
      <c r="I1070" s="1"/>
      <c r="J1070" s="1"/>
      <c r="K1070" s="1"/>
      <c r="L1070" s="1"/>
      <c r="M1070" s="1"/>
      <c r="N1070" s="1"/>
      <c r="O1070" s="1"/>
      <c r="P1070" s="1"/>
      <c r="Q1070" s="1"/>
      <c r="R1070" s="1"/>
      <c r="S1070" s="1"/>
    </row>
    <row r="1071" spans="1:19" x14ac:dyDescent="0.2">
      <c r="A1071" s="1"/>
      <c r="B1071" s="1"/>
      <c r="C1071" s="1"/>
      <c r="D1071" s="1"/>
      <c r="E1071" s="1"/>
      <c r="F1071" s="1"/>
      <c r="H1071" s="1"/>
      <c r="I1071" s="1"/>
      <c r="J1071" s="1"/>
      <c r="K1071" s="1"/>
      <c r="L1071" s="1"/>
      <c r="M1071" s="1"/>
      <c r="N1071" s="1"/>
      <c r="O1071" s="1"/>
      <c r="P1071" s="1"/>
      <c r="Q1071" s="1"/>
      <c r="R1071" s="1"/>
      <c r="S1071" s="1"/>
    </row>
    <row r="1072" spans="1:19" x14ac:dyDescent="0.2">
      <c r="A1072" s="1"/>
      <c r="B1072" s="1"/>
      <c r="C1072" s="1"/>
      <c r="D1072" s="1"/>
      <c r="E1072" s="1"/>
      <c r="F1072" s="1"/>
      <c r="H1072" s="1"/>
      <c r="I1072" s="1"/>
      <c r="J1072" s="1"/>
      <c r="K1072" s="1"/>
      <c r="L1072" s="1"/>
      <c r="M1072" s="1"/>
      <c r="N1072" s="1"/>
      <c r="O1072" s="1"/>
      <c r="P1072" s="1"/>
      <c r="Q1072" s="1"/>
      <c r="R1072" s="1"/>
      <c r="S1072" s="1"/>
    </row>
    <row r="1073" spans="1:19" x14ac:dyDescent="0.2">
      <c r="A1073" s="1"/>
      <c r="B1073" s="1"/>
      <c r="C1073" s="1"/>
      <c r="D1073" s="1"/>
      <c r="E1073" s="1"/>
      <c r="F1073" s="1"/>
      <c r="H1073" s="1"/>
      <c r="I1073" s="1"/>
      <c r="J1073" s="1"/>
      <c r="K1073" s="1"/>
      <c r="L1073" s="1"/>
      <c r="M1073" s="1"/>
      <c r="N1073" s="1"/>
      <c r="O1073" s="1"/>
      <c r="P1073" s="1"/>
      <c r="Q1073" s="1"/>
      <c r="R1073" s="1"/>
      <c r="S1073" s="1"/>
    </row>
    <row r="1074" spans="1:19" x14ac:dyDescent="0.2">
      <c r="A1074" s="1"/>
      <c r="B1074" s="1"/>
      <c r="C1074" s="1"/>
      <c r="D1074" s="1"/>
      <c r="E1074" s="1"/>
      <c r="F1074" s="1"/>
      <c r="H1074" s="1"/>
      <c r="I1074" s="1"/>
      <c r="J1074" s="1"/>
      <c r="K1074" s="1"/>
      <c r="L1074" s="1"/>
      <c r="M1074" s="1"/>
      <c r="N1074" s="1"/>
      <c r="O1074" s="1"/>
      <c r="P1074" s="1"/>
      <c r="Q1074" s="1"/>
      <c r="R1074" s="1"/>
      <c r="S1074" s="1"/>
    </row>
    <row r="1075" spans="1:19" x14ac:dyDescent="0.2">
      <c r="A1075" s="1"/>
      <c r="B1075" s="1"/>
      <c r="C1075" s="1"/>
      <c r="D1075" s="1"/>
      <c r="E1075" s="1"/>
      <c r="F1075" s="1"/>
      <c r="H1075" s="1"/>
      <c r="I1075" s="1"/>
      <c r="J1075" s="1"/>
      <c r="K1075" s="1"/>
      <c r="L1075" s="1"/>
      <c r="M1075" s="1"/>
      <c r="N1075" s="1"/>
      <c r="O1075" s="1"/>
      <c r="P1075" s="1"/>
      <c r="Q1075" s="1"/>
      <c r="R1075" s="1"/>
      <c r="S1075" s="1"/>
    </row>
    <row r="1076" spans="1:19" x14ac:dyDescent="0.2">
      <c r="A1076" s="1"/>
      <c r="B1076" s="1"/>
      <c r="C1076" s="1"/>
      <c r="D1076" s="1"/>
      <c r="E1076" s="1"/>
      <c r="F1076" s="1"/>
      <c r="H1076" s="1"/>
      <c r="I1076" s="1"/>
      <c r="J1076" s="1"/>
      <c r="K1076" s="1"/>
      <c r="L1076" s="1"/>
      <c r="M1076" s="1"/>
      <c r="N1076" s="1"/>
      <c r="O1076" s="1"/>
      <c r="P1076" s="1"/>
      <c r="Q1076" s="1"/>
      <c r="R1076" s="1"/>
      <c r="S1076" s="1"/>
    </row>
    <row r="1077" spans="1:19" x14ac:dyDescent="0.2">
      <c r="A1077" s="1"/>
      <c r="B1077" s="1"/>
      <c r="C1077" s="1"/>
      <c r="D1077" s="1"/>
      <c r="E1077" s="1"/>
      <c r="F1077" s="1"/>
      <c r="H1077" s="1"/>
      <c r="I1077" s="1"/>
      <c r="J1077" s="1"/>
      <c r="K1077" s="1"/>
      <c r="L1077" s="1"/>
      <c r="M1077" s="1"/>
      <c r="N1077" s="1"/>
      <c r="O1077" s="1"/>
      <c r="P1077" s="1"/>
      <c r="Q1077" s="1"/>
      <c r="R1077" s="1"/>
      <c r="S1077" s="1"/>
    </row>
    <row r="1078" spans="1:19" x14ac:dyDescent="0.2">
      <c r="A1078" s="1"/>
      <c r="B1078" s="1"/>
      <c r="C1078" s="1"/>
      <c r="D1078" s="1"/>
      <c r="E1078" s="1"/>
      <c r="F1078" s="1"/>
      <c r="H1078" s="1"/>
      <c r="I1078" s="1"/>
      <c r="J1078" s="1"/>
      <c r="K1078" s="1"/>
      <c r="L1078" s="1"/>
      <c r="M1078" s="1"/>
      <c r="N1078" s="1"/>
      <c r="O1078" s="1"/>
      <c r="P1078" s="1"/>
      <c r="Q1078" s="1"/>
      <c r="R1078" s="1"/>
      <c r="S1078" s="1"/>
    </row>
    <row r="1079" spans="1:19" x14ac:dyDescent="0.2">
      <c r="A1079" s="1"/>
      <c r="B1079" s="1"/>
      <c r="C1079" s="1"/>
      <c r="D1079" s="1"/>
      <c r="E1079" s="1"/>
      <c r="F1079" s="1"/>
      <c r="H1079" s="1"/>
      <c r="I1079" s="1"/>
      <c r="J1079" s="1"/>
      <c r="K1079" s="1"/>
      <c r="L1079" s="1"/>
      <c r="M1079" s="1"/>
      <c r="N1079" s="1"/>
      <c r="O1079" s="1"/>
      <c r="P1079" s="1"/>
      <c r="Q1079" s="1"/>
      <c r="R1079" s="1"/>
      <c r="S1079" s="1"/>
    </row>
    <row r="1080" spans="1:19" x14ac:dyDescent="0.2">
      <c r="A1080" s="1"/>
      <c r="B1080" s="1"/>
      <c r="C1080" s="1"/>
      <c r="D1080" s="1"/>
      <c r="E1080" s="1"/>
      <c r="F1080" s="1"/>
      <c r="H1080" s="1"/>
      <c r="I1080" s="1"/>
      <c r="J1080" s="1"/>
      <c r="K1080" s="1"/>
      <c r="L1080" s="1"/>
      <c r="M1080" s="1"/>
      <c r="N1080" s="1"/>
      <c r="O1080" s="1"/>
      <c r="P1080" s="1"/>
      <c r="Q1080" s="1"/>
      <c r="R1080" s="1"/>
      <c r="S1080" s="1"/>
    </row>
    <row r="1081" spans="1:19" x14ac:dyDescent="0.2">
      <c r="A1081" s="1"/>
      <c r="B1081" s="1"/>
      <c r="C1081" s="1"/>
      <c r="D1081" s="1"/>
      <c r="E1081" s="1"/>
      <c r="F1081" s="1"/>
      <c r="H1081" s="1"/>
      <c r="I1081" s="1"/>
      <c r="J1081" s="1"/>
      <c r="K1081" s="1"/>
      <c r="L1081" s="1"/>
      <c r="M1081" s="1"/>
      <c r="N1081" s="1"/>
      <c r="O1081" s="1"/>
      <c r="P1081" s="1"/>
      <c r="Q1081" s="1"/>
      <c r="R1081" s="1"/>
      <c r="S1081" s="1"/>
    </row>
    <row r="1082" spans="1:19" x14ac:dyDescent="0.2">
      <c r="A1082" s="1"/>
      <c r="B1082" s="1"/>
      <c r="C1082" s="1"/>
      <c r="D1082" s="1"/>
      <c r="E1082" s="1"/>
      <c r="F1082" s="1"/>
      <c r="H1082" s="1"/>
      <c r="I1082" s="1"/>
      <c r="J1082" s="1"/>
      <c r="K1082" s="1"/>
      <c r="L1082" s="1"/>
      <c r="M1082" s="1"/>
      <c r="N1082" s="1"/>
      <c r="O1082" s="1"/>
      <c r="P1082" s="1"/>
      <c r="Q1082" s="1"/>
      <c r="R1082" s="1"/>
      <c r="S1082" s="1"/>
    </row>
    <row r="1083" spans="1:19" x14ac:dyDescent="0.2">
      <c r="A1083" s="1"/>
      <c r="B1083" s="1"/>
      <c r="C1083" s="1"/>
      <c r="D1083" s="1"/>
      <c r="E1083" s="1"/>
      <c r="F1083" s="1"/>
      <c r="H1083" s="1"/>
      <c r="I1083" s="1"/>
      <c r="J1083" s="1"/>
      <c r="K1083" s="1"/>
      <c r="L1083" s="1"/>
      <c r="M1083" s="1"/>
      <c r="N1083" s="1"/>
      <c r="O1083" s="1"/>
      <c r="P1083" s="1"/>
      <c r="Q1083" s="1"/>
      <c r="R1083" s="1"/>
      <c r="S1083" s="1"/>
    </row>
    <row r="1084" spans="1:19" x14ac:dyDescent="0.2">
      <c r="A1084" s="1"/>
      <c r="B1084" s="1"/>
      <c r="C1084" s="1"/>
      <c r="D1084" s="1"/>
      <c r="E1084" s="1"/>
      <c r="F1084" s="1"/>
      <c r="H1084" s="1"/>
      <c r="I1084" s="1"/>
      <c r="J1084" s="1"/>
      <c r="K1084" s="1"/>
      <c r="L1084" s="1"/>
      <c r="M1084" s="1"/>
      <c r="N1084" s="1"/>
      <c r="O1084" s="1"/>
      <c r="P1084" s="1"/>
      <c r="Q1084" s="1"/>
      <c r="R1084" s="1"/>
      <c r="S1084" s="1"/>
    </row>
    <row r="1085" spans="1:19" x14ac:dyDescent="0.2">
      <c r="A1085" s="1"/>
      <c r="B1085" s="1"/>
      <c r="C1085" s="1"/>
      <c r="D1085" s="1"/>
      <c r="E1085" s="1"/>
      <c r="F1085" s="1"/>
      <c r="H1085" s="1"/>
      <c r="I1085" s="1"/>
      <c r="J1085" s="1"/>
      <c r="K1085" s="1"/>
      <c r="L1085" s="1"/>
      <c r="M1085" s="1"/>
      <c r="N1085" s="1"/>
      <c r="O1085" s="1"/>
      <c r="P1085" s="1"/>
      <c r="Q1085" s="1"/>
      <c r="R1085" s="1"/>
      <c r="S1085" s="1"/>
    </row>
    <row r="1086" spans="1:19" x14ac:dyDescent="0.2">
      <c r="A1086" s="1"/>
      <c r="B1086" s="1"/>
      <c r="C1086" s="1"/>
      <c r="D1086" s="1"/>
      <c r="E1086" s="1"/>
      <c r="F1086" s="1"/>
      <c r="H1086" s="1"/>
      <c r="I1086" s="1"/>
      <c r="J1086" s="1"/>
      <c r="K1086" s="1"/>
      <c r="L1086" s="1"/>
      <c r="M1086" s="1"/>
      <c r="N1086" s="1"/>
      <c r="O1086" s="1"/>
      <c r="P1086" s="1"/>
      <c r="Q1086" s="1"/>
      <c r="R1086" s="1"/>
      <c r="S1086" s="1"/>
    </row>
    <row r="1087" spans="1:19" x14ac:dyDescent="0.2">
      <c r="A1087" s="1"/>
      <c r="B1087" s="1"/>
      <c r="C1087" s="1"/>
      <c r="D1087" s="1"/>
      <c r="E1087" s="1"/>
      <c r="F1087" s="1"/>
      <c r="H1087" s="1"/>
      <c r="I1087" s="1"/>
      <c r="J1087" s="1"/>
      <c r="K1087" s="1"/>
      <c r="L1087" s="1"/>
      <c r="M1087" s="1"/>
      <c r="N1087" s="1"/>
      <c r="O1087" s="1"/>
      <c r="P1087" s="1"/>
      <c r="Q1087" s="1"/>
      <c r="R1087" s="1"/>
      <c r="S1087" s="1"/>
    </row>
    <row r="1088" spans="1:19" x14ac:dyDescent="0.2">
      <c r="A1088" s="1"/>
      <c r="B1088" s="1"/>
      <c r="C1088" s="1"/>
      <c r="D1088" s="1"/>
      <c r="E1088" s="1"/>
      <c r="F1088" s="1"/>
      <c r="H1088" s="1"/>
      <c r="I1088" s="1"/>
      <c r="J1088" s="1"/>
      <c r="K1088" s="1"/>
      <c r="L1088" s="1"/>
      <c r="M1088" s="1"/>
      <c r="N1088" s="1"/>
      <c r="O1088" s="1"/>
      <c r="P1088" s="1"/>
      <c r="Q1088" s="1"/>
      <c r="R1088" s="1"/>
      <c r="S1088" s="1"/>
    </row>
    <row r="1089" spans="1:19" x14ac:dyDescent="0.2">
      <c r="A1089" s="1"/>
      <c r="B1089" s="1"/>
      <c r="C1089" s="1"/>
      <c r="D1089" s="1"/>
      <c r="E1089" s="1"/>
      <c r="F1089" s="1"/>
      <c r="H1089" s="1"/>
      <c r="I1089" s="1"/>
      <c r="J1089" s="1"/>
      <c r="K1089" s="1"/>
      <c r="L1089" s="1"/>
      <c r="M1089" s="1"/>
      <c r="N1089" s="1"/>
      <c r="O1089" s="1"/>
      <c r="P1089" s="1"/>
      <c r="Q1089" s="1"/>
      <c r="R1089" s="1"/>
      <c r="S1089" s="1"/>
    </row>
    <row r="1090" spans="1:19" x14ac:dyDescent="0.2">
      <c r="A1090" s="1"/>
      <c r="B1090" s="1"/>
      <c r="C1090" s="1"/>
      <c r="D1090" s="1"/>
      <c r="E1090" s="1"/>
      <c r="F1090" s="1"/>
      <c r="H1090" s="1"/>
      <c r="I1090" s="1"/>
      <c r="J1090" s="1"/>
      <c r="K1090" s="1"/>
      <c r="L1090" s="1"/>
      <c r="M1090" s="1"/>
      <c r="N1090" s="1"/>
      <c r="O1090" s="1"/>
      <c r="P1090" s="1"/>
      <c r="Q1090" s="1"/>
      <c r="R1090" s="1"/>
      <c r="S1090" s="1"/>
    </row>
    <row r="1091" spans="1:19" x14ac:dyDescent="0.2">
      <c r="A1091" s="1"/>
      <c r="B1091" s="1"/>
      <c r="C1091" s="1"/>
      <c r="D1091" s="1"/>
      <c r="E1091" s="1"/>
      <c r="F1091" s="1"/>
      <c r="H1091" s="1"/>
      <c r="I1091" s="1"/>
      <c r="J1091" s="1"/>
      <c r="K1091" s="1"/>
      <c r="L1091" s="1"/>
      <c r="M1091" s="1"/>
      <c r="N1091" s="1"/>
      <c r="O1091" s="1"/>
      <c r="P1091" s="1"/>
      <c r="Q1091" s="1"/>
      <c r="R1091" s="1"/>
      <c r="S1091" s="1"/>
    </row>
    <row r="1092" spans="1:19" x14ac:dyDescent="0.2">
      <c r="A1092" s="1"/>
      <c r="B1092" s="1"/>
      <c r="C1092" s="1"/>
      <c r="D1092" s="1"/>
      <c r="E1092" s="1"/>
      <c r="F1092" s="1"/>
      <c r="H1092" s="1"/>
      <c r="I1092" s="1"/>
      <c r="J1092" s="1"/>
      <c r="K1092" s="1"/>
      <c r="L1092" s="1"/>
      <c r="M1092" s="1"/>
      <c r="N1092" s="1"/>
      <c r="O1092" s="1"/>
      <c r="P1092" s="1"/>
      <c r="Q1092" s="1"/>
      <c r="R1092" s="1"/>
      <c r="S1092" s="1"/>
    </row>
    <row r="1093" spans="1:19" x14ac:dyDescent="0.2">
      <c r="A1093" s="1"/>
      <c r="B1093" s="1"/>
      <c r="C1093" s="1"/>
      <c r="D1093" s="1"/>
      <c r="E1093" s="1"/>
      <c r="F1093" s="1"/>
      <c r="H1093" s="1"/>
      <c r="I1093" s="1"/>
      <c r="J1093" s="1"/>
      <c r="K1093" s="1"/>
      <c r="L1093" s="1"/>
      <c r="M1093" s="1"/>
      <c r="N1093" s="1"/>
      <c r="O1093" s="1"/>
      <c r="P1093" s="1"/>
      <c r="Q1093" s="1"/>
      <c r="R1093" s="1"/>
      <c r="S1093" s="1"/>
    </row>
    <row r="1094" spans="1:19" x14ac:dyDescent="0.2">
      <c r="A1094" s="1"/>
      <c r="B1094" s="1"/>
      <c r="C1094" s="1"/>
      <c r="D1094" s="1"/>
      <c r="E1094" s="1"/>
      <c r="F1094" s="1"/>
      <c r="H1094" s="1"/>
      <c r="I1094" s="1"/>
      <c r="J1094" s="1"/>
      <c r="K1094" s="1"/>
      <c r="L1094" s="1"/>
      <c r="M1094" s="1"/>
      <c r="N1094" s="1"/>
      <c r="O1094" s="1"/>
      <c r="P1094" s="1"/>
      <c r="Q1094" s="1"/>
      <c r="R1094" s="1"/>
      <c r="S1094" s="1"/>
    </row>
    <row r="1095" spans="1:19" x14ac:dyDescent="0.2">
      <c r="A1095" s="1"/>
      <c r="B1095" s="1"/>
      <c r="C1095" s="1"/>
      <c r="D1095" s="1"/>
      <c r="E1095" s="1"/>
      <c r="F1095" s="1"/>
      <c r="H1095" s="1"/>
      <c r="I1095" s="1"/>
      <c r="J1095" s="1"/>
      <c r="K1095" s="1"/>
      <c r="L1095" s="1"/>
      <c r="M1095" s="1"/>
      <c r="N1095" s="1"/>
      <c r="O1095" s="1"/>
      <c r="P1095" s="1"/>
      <c r="Q1095" s="1"/>
      <c r="R1095" s="1"/>
      <c r="S1095" s="1"/>
    </row>
    <row r="1096" spans="1:19" x14ac:dyDescent="0.2">
      <c r="A1096" s="1"/>
      <c r="B1096" s="1"/>
      <c r="C1096" s="1"/>
      <c r="D1096" s="1"/>
      <c r="E1096" s="1"/>
      <c r="F1096" s="1"/>
      <c r="H1096" s="1"/>
      <c r="I1096" s="1"/>
      <c r="J1096" s="1"/>
      <c r="K1096" s="1"/>
      <c r="L1096" s="1"/>
      <c r="M1096" s="1"/>
      <c r="N1096" s="1"/>
      <c r="O1096" s="1"/>
      <c r="P1096" s="1"/>
      <c r="Q1096" s="1"/>
      <c r="R1096" s="1"/>
      <c r="S1096" s="1"/>
    </row>
    <row r="1097" spans="1:19" x14ac:dyDescent="0.2">
      <c r="A1097" s="1"/>
      <c r="B1097" s="1"/>
      <c r="C1097" s="1"/>
      <c r="D1097" s="1"/>
      <c r="E1097" s="1"/>
      <c r="F1097" s="1"/>
      <c r="H1097" s="1"/>
      <c r="I1097" s="1"/>
      <c r="J1097" s="1"/>
      <c r="K1097" s="1"/>
      <c r="L1097" s="1"/>
      <c r="M1097" s="1"/>
      <c r="N1097" s="1"/>
      <c r="O1097" s="1"/>
      <c r="P1097" s="1"/>
      <c r="Q1097" s="1"/>
      <c r="R1097" s="1"/>
      <c r="S1097" s="1"/>
    </row>
    <row r="1098" spans="1:19" x14ac:dyDescent="0.2">
      <c r="A1098" s="1"/>
      <c r="B1098" s="1"/>
      <c r="C1098" s="1"/>
      <c r="D1098" s="1"/>
      <c r="E1098" s="1"/>
      <c r="F1098" s="1"/>
      <c r="H1098" s="1"/>
      <c r="I1098" s="1"/>
      <c r="J1098" s="1"/>
      <c r="K1098" s="1"/>
      <c r="L1098" s="1"/>
      <c r="M1098" s="1"/>
      <c r="N1098" s="1"/>
      <c r="O1098" s="1"/>
      <c r="P1098" s="1"/>
      <c r="Q1098" s="1"/>
      <c r="R1098" s="1"/>
      <c r="S1098" s="1"/>
    </row>
    <row r="1099" spans="1:19" x14ac:dyDescent="0.2">
      <c r="A1099" s="1"/>
      <c r="B1099" s="1"/>
      <c r="C1099" s="1"/>
      <c r="D1099" s="1"/>
      <c r="E1099" s="1"/>
      <c r="F1099" s="1"/>
      <c r="H1099" s="1"/>
      <c r="I1099" s="1"/>
      <c r="J1099" s="1"/>
      <c r="K1099" s="1"/>
      <c r="L1099" s="1"/>
      <c r="M1099" s="1"/>
      <c r="N1099" s="1"/>
      <c r="O1099" s="1"/>
      <c r="P1099" s="1"/>
      <c r="Q1099" s="1"/>
      <c r="R1099" s="1"/>
      <c r="S1099" s="1"/>
    </row>
    <row r="1100" spans="1:19" x14ac:dyDescent="0.2">
      <c r="A1100" s="1"/>
      <c r="B1100" s="1"/>
      <c r="C1100" s="1"/>
      <c r="D1100" s="1"/>
      <c r="E1100" s="1"/>
      <c r="F1100" s="1"/>
      <c r="H1100" s="1"/>
      <c r="I1100" s="1"/>
      <c r="J1100" s="1"/>
      <c r="K1100" s="1"/>
      <c r="L1100" s="1"/>
      <c r="M1100" s="1"/>
      <c r="N1100" s="1"/>
      <c r="O1100" s="1"/>
      <c r="P1100" s="1"/>
      <c r="Q1100" s="1"/>
      <c r="R1100" s="1"/>
      <c r="S1100" s="1"/>
    </row>
    <row r="1101" spans="1:19" x14ac:dyDescent="0.2">
      <c r="A1101" s="1"/>
      <c r="B1101" s="1"/>
      <c r="C1101" s="1"/>
      <c r="D1101" s="1"/>
      <c r="E1101" s="1"/>
      <c r="F1101" s="1"/>
      <c r="H1101" s="1"/>
      <c r="I1101" s="1"/>
      <c r="J1101" s="1"/>
      <c r="K1101" s="1"/>
      <c r="L1101" s="1"/>
      <c r="M1101" s="1"/>
      <c r="N1101" s="1"/>
      <c r="O1101" s="1"/>
      <c r="P1101" s="1"/>
      <c r="Q1101" s="1"/>
      <c r="R1101" s="1"/>
      <c r="S1101" s="1"/>
    </row>
    <row r="1102" spans="1:19" x14ac:dyDescent="0.2">
      <c r="A1102" s="1"/>
      <c r="B1102" s="1"/>
      <c r="C1102" s="1"/>
      <c r="D1102" s="1"/>
      <c r="E1102" s="1"/>
      <c r="F1102" s="1"/>
      <c r="H1102" s="1"/>
      <c r="I1102" s="1"/>
      <c r="J1102" s="1"/>
      <c r="K1102" s="1"/>
      <c r="L1102" s="1"/>
      <c r="M1102" s="1"/>
      <c r="N1102" s="1"/>
      <c r="O1102" s="1"/>
      <c r="P1102" s="1"/>
      <c r="Q1102" s="1"/>
      <c r="R1102" s="1"/>
      <c r="S1102" s="1"/>
    </row>
    <row r="1103" spans="1:19" x14ac:dyDescent="0.2">
      <c r="A1103" s="1"/>
      <c r="B1103" s="1"/>
      <c r="C1103" s="1"/>
      <c r="D1103" s="1"/>
      <c r="E1103" s="1"/>
      <c r="F1103" s="1"/>
      <c r="H1103" s="1"/>
      <c r="I1103" s="1"/>
      <c r="J1103" s="1"/>
      <c r="K1103" s="1"/>
      <c r="L1103" s="1"/>
      <c r="M1103" s="1"/>
      <c r="N1103" s="1"/>
      <c r="O1103" s="1"/>
      <c r="P1103" s="1"/>
      <c r="Q1103" s="1"/>
      <c r="R1103" s="1"/>
      <c r="S1103" s="1"/>
    </row>
    <row r="1104" spans="1:19" x14ac:dyDescent="0.2">
      <c r="A1104" s="1"/>
      <c r="B1104" s="1"/>
      <c r="C1104" s="1"/>
      <c r="D1104" s="1"/>
      <c r="E1104" s="1"/>
      <c r="F1104" s="1"/>
      <c r="H1104" s="1"/>
      <c r="I1104" s="1"/>
      <c r="J1104" s="1"/>
      <c r="K1104" s="1"/>
      <c r="L1104" s="1"/>
      <c r="M1104" s="1"/>
      <c r="N1104" s="1"/>
      <c r="O1104" s="1"/>
      <c r="P1104" s="1"/>
      <c r="Q1104" s="1"/>
      <c r="R1104" s="1"/>
      <c r="S1104" s="1"/>
    </row>
    <row r="1105" spans="1:19" x14ac:dyDescent="0.2">
      <c r="A1105" s="1"/>
      <c r="B1105" s="1"/>
      <c r="C1105" s="1"/>
      <c r="D1105" s="1"/>
      <c r="E1105" s="1"/>
      <c r="F1105" s="1"/>
      <c r="H1105" s="1"/>
      <c r="I1105" s="1"/>
      <c r="J1105" s="1"/>
      <c r="K1105" s="1"/>
      <c r="L1105" s="1"/>
      <c r="M1105" s="1"/>
      <c r="N1105" s="1"/>
      <c r="O1105" s="1"/>
      <c r="P1105" s="1"/>
      <c r="Q1105" s="1"/>
      <c r="R1105" s="1"/>
      <c r="S1105" s="1"/>
    </row>
    <row r="1106" spans="1:19" x14ac:dyDescent="0.2">
      <c r="A1106" s="1"/>
      <c r="B1106" s="1"/>
      <c r="C1106" s="1"/>
      <c r="D1106" s="1"/>
      <c r="E1106" s="1"/>
      <c r="F1106" s="1"/>
      <c r="H1106" s="1"/>
      <c r="I1106" s="1"/>
      <c r="J1106" s="1"/>
      <c r="K1106" s="1"/>
      <c r="L1106" s="1"/>
      <c r="M1106" s="1"/>
      <c r="N1106" s="1"/>
      <c r="O1106" s="1"/>
      <c r="P1106" s="1"/>
      <c r="Q1106" s="1"/>
      <c r="R1106" s="1"/>
      <c r="S1106" s="1"/>
    </row>
    <row r="1107" spans="1:19" x14ac:dyDescent="0.2">
      <c r="A1107" s="1"/>
      <c r="B1107" s="1"/>
      <c r="C1107" s="1"/>
      <c r="D1107" s="1"/>
      <c r="E1107" s="1"/>
      <c r="F1107" s="1"/>
      <c r="H1107" s="1"/>
      <c r="I1107" s="1"/>
      <c r="J1107" s="1"/>
      <c r="K1107" s="1"/>
      <c r="L1107" s="1"/>
      <c r="M1107" s="1"/>
      <c r="N1107" s="1"/>
      <c r="O1107" s="1"/>
      <c r="P1107" s="1"/>
      <c r="Q1107" s="1"/>
      <c r="R1107" s="1"/>
      <c r="S1107" s="1"/>
    </row>
    <row r="1108" spans="1:19" x14ac:dyDescent="0.2">
      <c r="A1108" s="1"/>
      <c r="B1108" s="1"/>
      <c r="C1108" s="1"/>
      <c r="D1108" s="1"/>
      <c r="E1108" s="1"/>
      <c r="F1108" s="1"/>
      <c r="H1108" s="1"/>
      <c r="I1108" s="1"/>
      <c r="J1108" s="1"/>
      <c r="K1108" s="1"/>
      <c r="L1108" s="1"/>
      <c r="M1108" s="1"/>
      <c r="N1108" s="1"/>
      <c r="O1108" s="1"/>
      <c r="P1108" s="1"/>
      <c r="Q1108" s="1"/>
      <c r="R1108" s="1"/>
      <c r="S1108" s="1"/>
    </row>
    <row r="1109" spans="1:19" x14ac:dyDescent="0.2">
      <c r="A1109" s="1"/>
      <c r="B1109" s="1"/>
      <c r="C1109" s="1"/>
      <c r="D1109" s="1"/>
      <c r="E1109" s="1"/>
      <c r="F1109" s="1"/>
      <c r="H1109" s="1"/>
      <c r="I1109" s="1"/>
      <c r="J1109" s="1"/>
      <c r="K1109" s="1"/>
      <c r="L1109" s="1"/>
      <c r="M1109" s="1"/>
      <c r="N1109" s="1"/>
      <c r="O1109" s="1"/>
      <c r="P1109" s="1"/>
      <c r="Q1109" s="1"/>
      <c r="R1109" s="1"/>
      <c r="S1109" s="1"/>
    </row>
    <row r="1110" spans="1:19" x14ac:dyDescent="0.2">
      <c r="A1110" s="1"/>
      <c r="B1110" s="1"/>
      <c r="C1110" s="1"/>
      <c r="D1110" s="1"/>
      <c r="E1110" s="1"/>
      <c r="F1110" s="1"/>
      <c r="H1110" s="1"/>
      <c r="I1110" s="1"/>
      <c r="J1110" s="1"/>
      <c r="K1110" s="1"/>
      <c r="L1110" s="1"/>
      <c r="M1110" s="1"/>
      <c r="N1110" s="1"/>
      <c r="O1110" s="1"/>
      <c r="P1110" s="1"/>
      <c r="Q1110" s="1"/>
      <c r="R1110" s="1"/>
      <c r="S1110" s="1"/>
    </row>
    <row r="1111" spans="1:19" x14ac:dyDescent="0.2">
      <c r="A1111" s="1"/>
      <c r="B1111" s="1"/>
      <c r="C1111" s="1"/>
      <c r="D1111" s="1"/>
      <c r="E1111" s="1"/>
      <c r="F1111" s="1"/>
      <c r="H1111" s="1"/>
      <c r="I1111" s="1"/>
      <c r="J1111" s="1"/>
      <c r="K1111" s="1"/>
      <c r="L1111" s="1"/>
      <c r="M1111" s="1"/>
      <c r="N1111" s="1"/>
      <c r="O1111" s="1"/>
      <c r="P1111" s="1"/>
      <c r="Q1111" s="1"/>
      <c r="R1111" s="1"/>
      <c r="S1111" s="1"/>
    </row>
    <row r="1112" spans="1:19" x14ac:dyDescent="0.2">
      <c r="A1112" s="1"/>
      <c r="B1112" s="1"/>
      <c r="C1112" s="1"/>
      <c r="D1112" s="1"/>
      <c r="E1112" s="1"/>
      <c r="F1112" s="1"/>
      <c r="H1112" s="1"/>
      <c r="I1112" s="1"/>
      <c r="J1112" s="1"/>
      <c r="K1112" s="1"/>
      <c r="L1112" s="1"/>
      <c r="M1112" s="1"/>
      <c r="N1112" s="1"/>
      <c r="O1112" s="1"/>
      <c r="P1112" s="1"/>
      <c r="Q1112" s="1"/>
      <c r="R1112" s="1"/>
      <c r="S1112" s="1"/>
    </row>
    <row r="1113" spans="1:19" x14ac:dyDescent="0.2">
      <c r="A1113" s="1"/>
      <c r="B1113" s="1"/>
      <c r="C1113" s="1"/>
      <c r="D1113" s="1"/>
      <c r="E1113" s="1"/>
      <c r="F1113" s="1"/>
      <c r="H1113" s="1"/>
      <c r="I1113" s="1"/>
      <c r="J1113" s="1"/>
      <c r="K1113" s="1"/>
      <c r="L1113" s="1"/>
      <c r="M1113" s="1"/>
      <c r="N1113" s="1"/>
      <c r="O1113" s="1"/>
      <c r="P1113" s="1"/>
      <c r="Q1113" s="1"/>
      <c r="R1113" s="1"/>
      <c r="S1113" s="1"/>
    </row>
    <row r="1114" spans="1:19" x14ac:dyDescent="0.2">
      <c r="A1114" s="1"/>
      <c r="B1114" s="1"/>
      <c r="C1114" s="1"/>
      <c r="D1114" s="1"/>
      <c r="E1114" s="1"/>
      <c r="F1114" s="1"/>
      <c r="H1114" s="1"/>
      <c r="I1114" s="1"/>
      <c r="J1114" s="1"/>
      <c r="K1114" s="1"/>
      <c r="L1114" s="1"/>
      <c r="M1114" s="1"/>
      <c r="N1114" s="1"/>
      <c r="O1114" s="1"/>
      <c r="P1114" s="1"/>
      <c r="Q1114" s="1"/>
      <c r="R1114" s="1"/>
      <c r="S1114" s="1"/>
    </row>
    <row r="1115" spans="1:19" x14ac:dyDescent="0.2">
      <c r="A1115" s="1"/>
      <c r="B1115" s="1"/>
      <c r="C1115" s="1"/>
      <c r="D1115" s="1"/>
      <c r="E1115" s="1"/>
      <c r="F1115" s="1"/>
      <c r="H1115" s="1"/>
      <c r="I1115" s="1"/>
      <c r="J1115" s="1"/>
      <c r="K1115" s="1"/>
      <c r="L1115" s="1"/>
      <c r="M1115" s="1"/>
      <c r="N1115" s="1"/>
      <c r="O1115" s="1"/>
      <c r="P1115" s="1"/>
      <c r="Q1115" s="1"/>
      <c r="R1115" s="1"/>
      <c r="S1115" s="1"/>
    </row>
    <row r="1116" spans="1:19" x14ac:dyDescent="0.2">
      <c r="A1116" s="1"/>
      <c r="B1116" s="1"/>
      <c r="C1116" s="1"/>
      <c r="D1116" s="1"/>
      <c r="E1116" s="1"/>
      <c r="F1116" s="1"/>
      <c r="H1116" s="1"/>
      <c r="I1116" s="1"/>
      <c r="J1116" s="1"/>
      <c r="K1116" s="1"/>
      <c r="L1116" s="1"/>
      <c r="M1116" s="1"/>
      <c r="N1116" s="1"/>
      <c r="O1116" s="1"/>
      <c r="P1116" s="1"/>
      <c r="Q1116" s="1"/>
      <c r="R1116" s="1"/>
      <c r="S1116" s="1"/>
    </row>
    <row r="1117" spans="1:19" x14ac:dyDescent="0.2">
      <c r="A1117" s="1"/>
      <c r="B1117" s="1"/>
      <c r="C1117" s="1"/>
      <c r="D1117" s="1"/>
      <c r="E1117" s="1"/>
      <c r="F1117" s="1"/>
      <c r="H1117" s="1"/>
      <c r="I1117" s="1"/>
      <c r="J1117" s="1"/>
      <c r="K1117" s="1"/>
      <c r="L1117" s="1"/>
      <c r="M1117" s="1"/>
      <c r="N1117" s="1"/>
      <c r="O1117" s="1"/>
      <c r="P1117" s="1"/>
      <c r="Q1117" s="1"/>
      <c r="R1117" s="1"/>
      <c r="S1117" s="1"/>
    </row>
    <row r="1118" spans="1:19" x14ac:dyDescent="0.2">
      <c r="A1118" s="1"/>
      <c r="B1118" s="1"/>
      <c r="C1118" s="1"/>
      <c r="D1118" s="1"/>
      <c r="E1118" s="1"/>
      <c r="F1118" s="1"/>
      <c r="H1118" s="1"/>
      <c r="I1118" s="1"/>
      <c r="J1118" s="1"/>
      <c r="K1118" s="1"/>
      <c r="L1118" s="1"/>
      <c r="M1118" s="1"/>
      <c r="N1118" s="1"/>
      <c r="O1118" s="1"/>
      <c r="P1118" s="1"/>
      <c r="Q1118" s="1"/>
      <c r="R1118" s="1"/>
      <c r="S1118" s="1"/>
    </row>
    <row r="1119" spans="1:19" x14ac:dyDescent="0.2">
      <c r="A1119" s="1"/>
      <c r="B1119" s="1"/>
      <c r="C1119" s="1"/>
      <c r="D1119" s="1"/>
      <c r="E1119" s="1"/>
      <c r="F1119" s="1"/>
      <c r="H1119" s="1"/>
      <c r="I1119" s="1"/>
      <c r="J1119" s="1"/>
      <c r="K1119" s="1"/>
      <c r="L1119" s="1"/>
      <c r="M1119" s="1"/>
      <c r="N1119" s="1"/>
      <c r="O1119" s="1"/>
      <c r="P1119" s="1"/>
      <c r="Q1119" s="1"/>
      <c r="R1119" s="1"/>
      <c r="S1119" s="1"/>
    </row>
    <row r="1120" spans="1:19" x14ac:dyDescent="0.2">
      <c r="A1120" s="1"/>
      <c r="B1120" s="1"/>
      <c r="C1120" s="1"/>
      <c r="D1120" s="1"/>
      <c r="E1120" s="1"/>
      <c r="F1120" s="1"/>
      <c r="H1120" s="1"/>
      <c r="I1120" s="1"/>
      <c r="J1120" s="1"/>
      <c r="K1120" s="1"/>
      <c r="L1120" s="1"/>
      <c r="M1120" s="1"/>
      <c r="N1120" s="1"/>
      <c r="O1120" s="1"/>
      <c r="P1120" s="1"/>
      <c r="Q1120" s="1"/>
      <c r="R1120" s="1"/>
      <c r="S1120" s="1"/>
    </row>
    <row r="1121" spans="1:19" x14ac:dyDescent="0.2">
      <c r="A1121" s="1"/>
      <c r="B1121" s="1"/>
      <c r="C1121" s="1"/>
      <c r="D1121" s="1"/>
      <c r="E1121" s="1"/>
      <c r="F1121" s="1"/>
      <c r="H1121" s="1"/>
      <c r="I1121" s="1"/>
      <c r="J1121" s="1"/>
      <c r="K1121" s="1"/>
      <c r="L1121" s="1"/>
      <c r="M1121" s="1"/>
      <c r="N1121" s="1"/>
      <c r="O1121" s="1"/>
      <c r="P1121" s="1"/>
      <c r="Q1121" s="1"/>
      <c r="R1121" s="1"/>
      <c r="S1121" s="1"/>
    </row>
    <row r="1122" spans="1:19" x14ac:dyDescent="0.2">
      <c r="A1122" s="1"/>
      <c r="B1122" s="1"/>
      <c r="C1122" s="1"/>
      <c r="D1122" s="1"/>
      <c r="E1122" s="1"/>
      <c r="F1122" s="1"/>
      <c r="H1122" s="1"/>
      <c r="I1122" s="1"/>
      <c r="J1122" s="1"/>
      <c r="K1122" s="1"/>
      <c r="L1122" s="1"/>
      <c r="M1122" s="1"/>
      <c r="N1122" s="1"/>
      <c r="O1122" s="1"/>
      <c r="P1122" s="1"/>
      <c r="Q1122" s="1"/>
      <c r="R1122" s="1"/>
      <c r="S1122" s="1"/>
    </row>
    <row r="1123" spans="1:19" x14ac:dyDescent="0.2">
      <c r="A1123" s="1"/>
      <c r="B1123" s="1"/>
      <c r="C1123" s="1"/>
      <c r="D1123" s="1"/>
      <c r="E1123" s="1"/>
      <c r="F1123" s="1"/>
      <c r="H1123" s="1"/>
      <c r="I1123" s="1"/>
      <c r="J1123" s="1"/>
      <c r="K1123" s="1"/>
      <c r="L1123" s="1"/>
      <c r="M1123" s="1"/>
      <c r="N1123" s="1"/>
      <c r="O1123" s="1"/>
      <c r="P1123" s="1"/>
      <c r="Q1123" s="1"/>
      <c r="R1123" s="1"/>
      <c r="S1123" s="1"/>
    </row>
    <row r="1124" spans="1:19" x14ac:dyDescent="0.2">
      <c r="A1124" s="1"/>
      <c r="B1124" s="1"/>
      <c r="C1124" s="1"/>
      <c r="D1124" s="1"/>
      <c r="E1124" s="1"/>
      <c r="F1124" s="1"/>
      <c r="H1124" s="1"/>
      <c r="I1124" s="1"/>
      <c r="J1124" s="1"/>
      <c r="K1124" s="1"/>
      <c r="L1124" s="1"/>
      <c r="M1124" s="1"/>
      <c r="N1124" s="1"/>
      <c r="O1124" s="1"/>
      <c r="P1124" s="1"/>
      <c r="Q1124" s="1"/>
      <c r="R1124" s="1"/>
      <c r="S1124" s="1"/>
    </row>
    <row r="1125" spans="1:19" x14ac:dyDescent="0.2">
      <c r="A1125" s="1"/>
      <c r="B1125" s="1"/>
      <c r="C1125" s="1"/>
      <c r="D1125" s="1"/>
      <c r="E1125" s="1"/>
      <c r="F1125" s="1"/>
      <c r="H1125" s="1"/>
      <c r="I1125" s="1"/>
      <c r="J1125" s="1"/>
      <c r="K1125" s="1"/>
      <c r="L1125" s="1"/>
      <c r="M1125" s="1"/>
      <c r="N1125" s="1"/>
      <c r="O1125" s="1"/>
      <c r="P1125" s="1"/>
      <c r="Q1125" s="1"/>
      <c r="R1125" s="1"/>
      <c r="S1125" s="1"/>
    </row>
    <row r="1126" spans="1:19" x14ac:dyDescent="0.2">
      <c r="A1126" s="1"/>
      <c r="B1126" s="1"/>
      <c r="C1126" s="1"/>
      <c r="D1126" s="1"/>
      <c r="E1126" s="1"/>
      <c r="F1126" s="1"/>
      <c r="H1126" s="1"/>
      <c r="I1126" s="1"/>
      <c r="J1126" s="1"/>
      <c r="K1126" s="1"/>
      <c r="L1126" s="1"/>
      <c r="M1126" s="1"/>
      <c r="N1126" s="1"/>
      <c r="O1126" s="1"/>
      <c r="P1126" s="1"/>
      <c r="Q1126" s="1"/>
      <c r="R1126" s="1"/>
      <c r="S1126" s="1"/>
    </row>
    <row r="1127" spans="1:19" x14ac:dyDescent="0.2">
      <c r="A1127" s="1"/>
      <c r="B1127" s="1"/>
      <c r="C1127" s="1"/>
      <c r="D1127" s="1"/>
      <c r="E1127" s="1"/>
      <c r="F1127" s="1"/>
      <c r="H1127" s="1"/>
      <c r="I1127" s="1"/>
      <c r="J1127" s="1"/>
      <c r="K1127" s="1"/>
      <c r="L1127" s="1"/>
      <c r="M1127" s="1"/>
      <c r="N1127" s="1"/>
      <c r="O1127" s="1"/>
      <c r="P1127" s="1"/>
      <c r="Q1127" s="1"/>
      <c r="R1127" s="1"/>
      <c r="S1127" s="1"/>
    </row>
    <row r="1128" spans="1:19" x14ac:dyDescent="0.2">
      <c r="A1128" s="1"/>
      <c r="B1128" s="1"/>
      <c r="C1128" s="1"/>
      <c r="D1128" s="1"/>
      <c r="E1128" s="1"/>
      <c r="F1128" s="1"/>
      <c r="H1128" s="1"/>
      <c r="I1128" s="1"/>
      <c r="J1128" s="1"/>
      <c r="K1128" s="1"/>
      <c r="L1128" s="1"/>
      <c r="M1128" s="1"/>
      <c r="N1128" s="1"/>
      <c r="O1128" s="1"/>
      <c r="P1128" s="1"/>
      <c r="Q1128" s="1"/>
      <c r="R1128" s="1"/>
      <c r="S1128" s="1"/>
    </row>
    <row r="1129" spans="1:19" x14ac:dyDescent="0.2">
      <c r="A1129" s="1"/>
      <c r="B1129" s="1"/>
      <c r="C1129" s="1"/>
      <c r="D1129" s="1"/>
      <c r="E1129" s="1"/>
      <c r="F1129" s="1"/>
      <c r="H1129" s="1"/>
      <c r="I1129" s="1"/>
      <c r="J1129" s="1"/>
      <c r="K1129" s="1"/>
      <c r="L1129" s="1"/>
      <c r="M1129" s="1"/>
      <c r="N1129" s="1"/>
      <c r="O1129" s="1"/>
      <c r="P1129" s="1"/>
      <c r="Q1129" s="1"/>
      <c r="R1129" s="1"/>
      <c r="S1129" s="1"/>
    </row>
    <row r="1130" spans="1:19" x14ac:dyDescent="0.2">
      <c r="A1130" s="1"/>
      <c r="B1130" s="1"/>
      <c r="C1130" s="1"/>
      <c r="D1130" s="1"/>
      <c r="E1130" s="1"/>
      <c r="F1130" s="1"/>
      <c r="H1130" s="1"/>
      <c r="I1130" s="1"/>
      <c r="J1130" s="1"/>
      <c r="K1130" s="1"/>
      <c r="L1130" s="1"/>
      <c r="M1130" s="1"/>
      <c r="N1130" s="1"/>
      <c r="O1130" s="1"/>
      <c r="P1130" s="1"/>
      <c r="Q1130" s="1"/>
      <c r="R1130" s="1"/>
      <c r="S1130" s="1"/>
    </row>
    <row r="1131" spans="1:19" x14ac:dyDescent="0.2">
      <c r="A1131" s="1"/>
      <c r="B1131" s="1"/>
      <c r="C1131" s="1"/>
      <c r="D1131" s="1"/>
      <c r="E1131" s="1"/>
      <c r="F1131" s="1"/>
      <c r="H1131" s="1"/>
      <c r="I1131" s="1"/>
      <c r="J1131" s="1"/>
      <c r="K1131" s="1"/>
      <c r="L1131" s="1"/>
      <c r="M1131" s="1"/>
      <c r="N1131" s="1"/>
      <c r="O1131" s="1"/>
      <c r="P1131" s="1"/>
      <c r="Q1131" s="1"/>
      <c r="R1131" s="1"/>
      <c r="S1131" s="1"/>
    </row>
    <row r="1132" spans="1:19" x14ac:dyDescent="0.2">
      <c r="A1132" s="1"/>
      <c r="B1132" s="1"/>
      <c r="C1132" s="1"/>
      <c r="D1132" s="1"/>
      <c r="E1132" s="1"/>
      <c r="F1132" s="1"/>
      <c r="H1132" s="1"/>
      <c r="I1132" s="1"/>
      <c r="J1132" s="1"/>
      <c r="K1132" s="1"/>
      <c r="L1132" s="1"/>
      <c r="M1132" s="1"/>
      <c r="N1132" s="1"/>
      <c r="O1132" s="1"/>
      <c r="P1132" s="1"/>
      <c r="Q1132" s="1"/>
      <c r="R1132" s="1"/>
      <c r="S1132" s="1"/>
    </row>
    <row r="1133" spans="1:19" x14ac:dyDescent="0.2">
      <c r="A1133" s="1"/>
      <c r="B1133" s="1"/>
      <c r="C1133" s="1"/>
      <c r="D1133" s="1"/>
      <c r="E1133" s="1"/>
      <c r="F1133" s="1"/>
      <c r="H1133" s="1"/>
      <c r="I1133" s="1"/>
      <c r="J1133" s="1"/>
      <c r="K1133" s="1"/>
      <c r="L1133" s="1"/>
      <c r="M1133" s="1"/>
      <c r="N1133" s="1"/>
      <c r="O1133" s="1"/>
      <c r="P1133" s="1"/>
      <c r="Q1133" s="1"/>
      <c r="R1133" s="1"/>
      <c r="S1133" s="1"/>
    </row>
    <row r="1134" spans="1:19" x14ac:dyDescent="0.2">
      <c r="A1134" s="1"/>
      <c r="B1134" s="1"/>
      <c r="C1134" s="1"/>
      <c r="D1134" s="1"/>
      <c r="E1134" s="1"/>
      <c r="F1134" s="1"/>
      <c r="H1134" s="1"/>
      <c r="I1134" s="1"/>
      <c r="J1134" s="1"/>
      <c r="K1134" s="1"/>
      <c r="L1134" s="1"/>
      <c r="M1134" s="1"/>
      <c r="N1134" s="1"/>
      <c r="O1134" s="1"/>
      <c r="P1134" s="1"/>
      <c r="Q1134" s="1"/>
      <c r="R1134" s="1"/>
      <c r="S1134" s="1"/>
    </row>
    <row r="1135" spans="1:19" x14ac:dyDescent="0.2">
      <c r="A1135" s="1"/>
      <c r="B1135" s="1"/>
      <c r="C1135" s="1"/>
      <c r="D1135" s="1"/>
      <c r="E1135" s="1"/>
      <c r="F1135" s="1"/>
      <c r="H1135" s="1"/>
      <c r="I1135" s="1"/>
      <c r="J1135" s="1"/>
      <c r="K1135" s="1"/>
      <c r="L1135" s="1"/>
      <c r="M1135" s="1"/>
      <c r="N1135" s="1"/>
      <c r="O1135" s="1"/>
      <c r="P1135" s="1"/>
      <c r="Q1135" s="1"/>
      <c r="R1135" s="1"/>
      <c r="S1135" s="1"/>
    </row>
    <row r="1136" spans="1:19" x14ac:dyDescent="0.2">
      <c r="A1136" s="1"/>
      <c r="B1136" s="1"/>
      <c r="C1136" s="1"/>
      <c r="D1136" s="1"/>
      <c r="E1136" s="1"/>
      <c r="F1136" s="1"/>
      <c r="H1136" s="1"/>
      <c r="I1136" s="1"/>
      <c r="J1136" s="1"/>
      <c r="K1136" s="1"/>
      <c r="L1136" s="1"/>
      <c r="M1136" s="1"/>
      <c r="N1136" s="1"/>
      <c r="O1136" s="1"/>
      <c r="P1136" s="1"/>
      <c r="Q1136" s="1"/>
      <c r="R1136" s="1"/>
      <c r="S1136" s="1"/>
    </row>
    <row r="1137" spans="1:19" x14ac:dyDescent="0.2">
      <c r="A1137" s="1"/>
      <c r="B1137" s="1"/>
      <c r="C1137" s="1"/>
      <c r="D1137" s="1"/>
      <c r="E1137" s="1"/>
      <c r="F1137" s="1"/>
      <c r="H1137" s="1"/>
      <c r="I1137" s="1"/>
      <c r="J1137" s="1"/>
      <c r="K1137" s="1"/>
      <c r="L1137" s="1"/>
      <c r="M1137" s="1"/>
      <c r="N1137" s="1"/>
      <c r="O1137" s="1"/>
      <c r="P1137" s="1"/>
      <c r="Q1137" s="1"/>
      <c r="R1137" s="1"/>
      <c r="S1137" s="1"/>
    </row>
    <row r="1138" spans="1:19" x14ac:dyDescent="0.2">
      <c r="A1138" s="1"/>
      <c r="B1138" s="1"/>
      <c r="C1138" s="1"/>
      <c r="D1138" s="1"/>
      <c r="E1138" s="1"/>
      <c r="F1138" s="1"/>
      <c r="H1138" s="1"/>
      <c r="I1138" s="1"/>
      <c r="J1138" s="1"/>
      <c r="K1138" s="1"/>
      <c r="L1138" s="1"/>
      <c r="M1138" s="1"/>
      <c r="N1138" s="1"/>
      <c r="O1138" s="1"/>
      <c r="P1138" s="1"/>
      <c r="Q1138" s="1"/>
      <c r="R1138" s="1"/>
      <c r="S1138" s="1"/>
    </row>
    <row r="1139" spans="1:19" x14ac:dyDescent="0.2">
      <c r="A1139" s="1"/>
      <c r="B1139" s="1"/>
      <c r="C1139" s="1"/>
      <c r="D1139" s="1"/>
      <c r="E1139" s="1"/>
      <c r="F1139" s="1"/>
      <c r="H1139" s="1"/>
      <c r="I1139" s="1"/>
      <c r="J1139" s="1"/>
      <c r="K1139" s="1"/>
      <c r="L1139" s="1"/>
      <c r="M1139" s="1"/>
      <c r="N1139" s="1"/>
      <c r="O1139" s="1"/>
      <c r="P1139" s="1"/>
      <c r="Q1139" s="1"/>
      <c r="R1139" s="1"/>
      <c r="S1139" s="1"/>
    </row>
    <row r="1140" spans="1:19" x14ac:dyDescent="0.2">
      <c r="A1140" s="1"/>
      <c r="B1140" s="1"/>
      <c r="C1140" s="1"/>
      <c r="D1140" s="1"/>
      <c r="E1140" s="1"/>
      <c r="F1140" s="1"/>
      <c r="H1140" s="1"/>
      <c r="I1140" s="1"/>
      <c r="J1140" s="1"/>
      <c r="K1140" s="1"/>
      <c r="L1140" s="1"/>
      <c r="M1140" s="1"/>
      <c r="N1140" s="1"/>
      <c r="O1140" s="1"/>
      <c r="P1140" s="1"/>
      <c r="Q1140" s="1"/>
      <c r="R1140" s="1"/>
      <c r="S1140" s="1"/>
    </row>
    <row r="1141" spans="1:19" x14ac:dyDescent="0.2">
      <c r="A1141" s="1"/>
      <c r="B1141" s="1"/>
      <c r="C1141" s="1"/>
      <c r="D1141" s="1"/>
      <c r="E1141" s="1"/>
      <c r="F1141" s="1"/>
      <c r="H1141" s="1"/>
      <c r="I1141" s="1"/>
      <c r="J1141" s="1"/>
      <c r="K1141" s="1"/>
      <c r="L1141" s="1"/>
      <c r="M1141" s="1"/>
      <c r="N1141" s="1"/>
      <c r="O1141" s="1"/>
      <c r="P1141" s="1"/>
      <c r="Q1141" s="1"/>
      <c r="R1141" s="1"/>
      <c r="S1141" s="1"/>
    </row>
    <row r="1142" spans="1:19" x14ac:dyDescent="0.2">
      <c r="A1142" s="1"/>
      <c r="B1142" s="1"/>
      <c r="C1142" s="1"/>
      <c r="D1142" s="1"/>
      <c r="E1142" s="1"/>
      <c r="F1142" s="1"/>
      <c r="H1142" s="1"/>
      <c r="I1142" s="1"/>
      <c r="J1142" s="1"/>
      <c r="K1142" s="1"/>
      <c r="L1142" s="1"/>
      <c r="M1142" s="1"/>
      <c r="N1142" s="1"/>
      <c r="O1142" s="1"/>
      <c r="P1142" s="1"/>
      <c r="Q1142" s="1"/>
      <c r="R1142" s="1"/>
      <c r="S1142" s="1"/>
    </row>
    <row r="1143" spans="1:19" x14ac:dyDescent="0.2">
      <c r="A1143" s="1"/>
      <c r="B1143" s="1"/>
      <c r="C1143" s="1"/>
      <c r="D1143" s="1"/>
      <c r="E1143" s="1"/>
      <c r="F1143" s="1"/>
      <c r="H1143" s="1"/>
      <c r="I1143" s="1"/>
      <c r="J1143" s="1"/>
      <c r="K1143" s="1"/>
      <c r="L1143" s="1"/>
      <c r="M1143" s="1"/>
      <c r="N1143" s="1"/>
      <c r="O1143" s="1"/>
      <c r="P1143" s="1"/>
      <c r="Q1143" s="1"/>
      <c r="R1143" s="1"/>
      <c r="S1143" s="1"/>
    </row>
    <row r="1144" spans="1:19" x14ac:dyDescent="0.2">
      <c r="A1144" s="1"/>
      <c r="B1144" s="1"/>
      <c r="C1144" s="1"/>
      <c r="D1144" s="1"/>
      <c r="E1144" s="1"/>
      <c r="F1144" s="1"/>
      <c r="H1144" s="1"/>
      <c r="I1144" s="1"/>
      <c r="J1144" s="1"/>
      <c r="K1144" s="1"/>
      <c r="L1144" s="1"/>
      <c r="M1144" s="1"/>
      <c r="N1144" s="1"/>
      <c r="O1144" s="1"/>
      <c r="P1144" s="1"/>
      <c r="Q1144" s="1"/>
      <c r="R1144" s="1"/>
      <c r="S1144" s="1"/>
    </row>
    <row r="1145" spans="1:19" x14ac:dyDescent="0.2">
      <c r="A1145" s="1"/>
      <c r="B1145" s="1"/>
      <c r="C1145" s="1"/>
      <c r="D1145" s="1"/>
      <c r="E1145" s="1"/>
      <c r="F1145" s="1"/>
      <c r="H1145" s="1"/>
      <c r="I1145" s="1"/>
      <c r="J1145" s="1"/>
      <c r="K1145" s="1"/>
      <c r="L1145" s="1"/>
      <c r="M1145" s="1"/>
      <c r="N1145" s="1"/>
      <c r="O1145" s="1"/>
      <c r="P1145" s="1"/>
      <c r="Q1145" s="1"/>
      <c r="R1145" s="1"/>
      <c r="S1145" s="1"/>
    </row>
    <row r="1146" spans="1:19" x14ac:dyDescent="0.2">
      <c r="A1146" s="1"/>
      <c r="B1146" s="1"/>
      <c r="C1146" s="1"/>
      <c r="D1146" s="1"/>
      <c r="E1146" s="1"/>
      <c r="F1146" s="1"/>
      <c r="H1146" s="1"/>
      <c r="I1146" s="1"/>
      <c r="J1146" s="1"/>
      <c r="K1146" s="1"/>
      <c r="L1146" s="1"/>
      <c r="M1146" s="1"/>
      <c r="N1146" s="1"/>
      <c r="O1146" s="1"/>
      <c r="P1146" s="1"/>
      <c r="Q1146" s="1"/>
      <c r="R1146" s="1"/>
      <c r="S1146" s="1"/>
    </row>
    <row r="1147" spans="1:19" x14ac:dyDescent="0.2">
      <c r="A1147" s="1"/>
      <c r="B1147" s="1"/>
      <c r="C1147" s="1"/>
      <c r="D1147" s="1"/>
      <c r="E1147" s="1"/>
      <c r="F1147" s="1"/>
      <c r="H1147" s="1"/>
      <c r="I1147" s="1"/>
      <c r="J1147" s="1"/>
      <c r="K1147" s="1"/>
      <c r="L1147" s="1"/>
      <c r="M1147" s="1"/>
      <c r="N1147" s="1"/>
      <c r="O1147" s="1"/>
      <c r="P1147" s="1"/>
      <c r="Q1147" s="1"/>
      <c r="R1147" s="1"/>
      <c r="S1147" s="1"/>
    </row>
    <row r="1148" spans="1:19" x14ac:dyDescent="0.2">
      <c r="A1148" s="1"/>
      <c r="B1148" s="1"/>
      <c r="C1148" s="1"/>
      <c r="D1148" s="1"/>
      <c r="E1148" s="1"/>
      <c r="F1148" s="1"/>
      <c r="H1148" s="1"/>
      <c r="I1148" s="1"/>
      <c r="J1148" s="1"/>
      <c r="K1148" s="1"/>
      <c r="L1148" s="1"/>
      <c r="M1148" s="1"/>
      <c r="N1148" s="1"/>
      <c r="O1148" s="1"/>
      <c r="P1148" s="1"/>
      <c r="Q1148" s="1"/>
      <c r="R1148" s="1"/>
      <c r="S1148" s="1"/>
    </row>
    <row r="1149" spans="1:19" x14ac:dyDescent="0.2">
      <c r="A1149" s="1"/>
      <c r="B1149" s="1"/>
      <c r="C1149" s="1"/>
      <c r="D1149" s="1"/>
      <c r="E1149" s="1"/>
      <c r="F1149" s="1"/>
      <c r="H1149" s="1"/>
      <c r="I1149" s="1"/>
      <c r="J1149" s="1"/>
      <c r="K1149" s="1"/>
      <c r="L1149" s="1"/>
      <c r="M1149" s="1"/>
      <c r="N1149" s="1"/>
      <c r="O1149" s="1"/>
      <c r="P1149" s="1"/>
      <c r="Q1149" s="1"/>
      <c r="R1149" s="1"/>
      <c r="S1149" s="1"/>
    </row>
    <row r="1150" spans="1:19" x14ac:dyDescent="0.2">
      <c r="A1150" s="1"/>
      <c r="B1150" s="1"/>
      <c r="C1150" s="1"/>
      <c r="D1150" s="1"/>
      <c r="E1150" s="1"/>
      <c r="F1150" s="1"/>
      <c r="H1150" s="1"/>
      <c r="I1150" s="1"/>
      <c r="J1150" s="1"/>
      <c r="K1150" s="1"/>
      <c r="L1150" s="1"/>
      <c r="M1150" s="1"/>
      <c r="N1150" s="1"/>
      <c r="O1150" s="1"/>
      <c r="P1150" s="1"/>
      <c r="Q1150" s="1"/>
      <c r="R1150" s="1"/>
      <c r="S1150" s="1"/>
    </row>
    <row r="1151" spans="1:19" x14ac:dyDescent="0.2">
      <c r="A1151" s="1"/>
      <c r="B1151" s="1"/>
      <c r="C1151" s="1"/>
      <c r="D1151" s="1"/>
      <c r="E1151" s="1"/>
      <c r="F1151" s="1"/>
      <c r="H1151" s="1"/>
      <c r="I1151" s="1"/>
      <c r="J1151" s="1"/>
      <c r="K1151" s="1"/>
      <c r="L1151" s="1"/>
      <c r="M1151" s="1"/>
      <c r="N1151" s="1"/>
      <c r="O1151" s="1"/>
      <c r="P1151" s="1"/>
      <c r="Q1151" s="1"/>
      <c r="R1151" s="1"/>
      <c r="S1151" s="1"/>
    </row>
    <row r="1152" spans="1:19" x14ac:dyDescent="0.2">
      <c r="A1152" s="1"/>
      <c r="B1152" s="1"/>
      <c r="C1152" s="1"/>
      <c r="D1152" s="1"/>
      <c r="E1152" s="1"/>
      <c r="F1152" s="1"/>
      <c r="H1152" s="1"/>
      <c r="I1152" s="1"/>
      <c r="J1152" s="1"/>
      <c r="K1152" s="1"/>
      <c r="L1152" s="1"/>
      <c r="M1152" s="1"/>
      <c r="N1152" s="1"/>
      <c r="O1152" s="1"/>
      <c r="P1152" s="1"/>
      <c r="Q1152" s="1"/>
      <c r="R1152" s="1"/>
      <c r="S1152" s="1"/>
    </row>
    <row r="1153" spans="1:19" x14ac:dyDescent="0.2">
      <c r="A1153" s="1"/>
      <c r="B1153" s="1"/>
      <c r="C1153" s="1"/>
      <c r="D1153" s="1"/>
      <c r="E1153" s="1"/>
      <c r="F1153" s="1"/>
      <c r="H1153" s="1"/>
      <c r="I1153" s="1"/>
      <c r="J1153" s="1"/>
      <c r="K1153" s="1"/>
      <c r="L1153" s="1"/>
      <c r="M1153" s="1"/>
      <c r="N1153" s="1"/>
      <c r="O1153" s="1"/>
      <c r="P1153" s="1"/>
      <c r="Q1153" s="1"/>
      <c r="R1153" s="1"/>
      <c r="S1153" s="1"/>
    </row>
    <row r="1154" spans="1:19" x14ac:dyDescent="0.2">
      <c r="A1154" s="1"/>
      <c r="B1154" s="1"/>
      <c r="C1154" s="1"/>
      <c r="D1154" s="1"/>
      <c r="E1154" s="1"/>
      <c r="F1154" s="1"/>
      <c r="H1154" s="1"/>
      <c r="I1154" s="1"/>
      <c r="J1154" s="1"/>
      <c r="K1154" s="1"/>
      <c r="L1154" s="1"/>
      <c r="M1154" s="1"/>
      <c r="N1154" s="1"/>
      <c r="O1154" s="1"/>
      <c r="P1154" s="1"/>
      <c r="Q1154" s="1"/>
      <c r="R1154" s="1"/>
      <c r="S1154" s="1"/>
    </row>
    <row r="1155" spans="1:19" x14ac:dyDescent="0.2">
      <c r="A1155" s="1"/>
      <c r="B1155" s="1"/>
      <c r="C1155" s="1"/>
      <c r="D1155" s="1"/>
      <c r="E1155" s="1"/>
      <c r="F1155" s="1"/>
      <c r="H1155" s="1"/>
      <c r="I1155" s="1"/>
      <c r="J1155" s="1"/>
      <c r="K1155" s="1"/>
      <c r="L1155" s="1"/>
      <c r="M1155" s="1"/>
      <c r="N1155" s="1"/>
      <c r="O1155" s="1"/>
      <c r="P1155" s="1"/>
      <c r="Q1155" s="1"/>
      <c r="R1155" s="1"/>
      <c r="S1155" s="1"/>
    </row>
    <row r="1156" spans="1:19" x14ac:dyDescent="0.2">
      <c r="A1156" s="1"/>
      <c r="B1156" s="1"/>
      <c r="C1156" s="1"/>
      <c r="D1156" s="1"/>
      <c r="E1156" s="1"/>
      <c r="F1156" s="1"/>
      <c r="H1156" s="1"/>
      <c r="I1156" s="1"/>
      <c r="J1156" s="1"/>
      <c r="K1156" s="1"/>
      <c r="L1156" s="1"/>
      <c r="M1156" s="1"/>
      <c r="N1156" s="1"/>
      <c r="O1156" s="1"/>
      <c r="P1156" s="1"/>
      <c r="Q1156" s="1"/>
      <c r="R1156" s="1"/>
      <c r="S1156" s="1"/>
    </row>
    <row r="1157" spans="1:19" x14ac:dyDescent="0.2">
      <c r="A1157" s="1"/>
      <c r="B1157" s="1"/>
      <c r="C1157" s="1"/>
      <c r="D1157" s="1"/>
      <c r="E1157" s="1"/>
      <c r="F1157" s="1"/>
      <c r="H1157" s="1"/>
      <c r="I1157" s="1"/>
      <c r="J1157" s="1"/>
      <c r="K1157" s="1"/>
      <c r="L1157" s="1"/>
      <c r="M1157" s="1"/>
      <c r="N1157" s="1"/>
      <c r="O1157" s="1"/>
      <c r="P1157" s="1"/>
      <c r="Q1157" s="1"/>
      <c r="R1157" s="1"/>
      <c r="S1157" s="1"/>
    </row>
    <row r="1158" spans="1:19" x14ac:dyDescent="0.2">
      <c r="A1158" s="1"/>
      <c r="B1158" s="1"/>
      <c r="C1158" s="1"/>
      <c r="D1158" s="1"/>
      <c r="E1158" s="1"/>
      <c r="F1158" s="1"/>
      <c r="H1158" s="1"/>
      <c r="I1158" s="1"/>
      <c r="J1158" s="1"/>
      <c r="K1158" s="1"/>
      <c r="L1158" s="1"/>
      <c r="M1158" s="1"/>
      <c r="N1158" s="1"/>
      <c r="O1158" s="1"/>
      <c r="P1158" s="1"/>
      <c r="Q1158" s="1"/>
      <c r="R1158" s="1"/>
      <c r="S1158" s="1"/>
    </row>
    <row r="1159" spans="1:19" x14ac:dyDescent="0.2">
      <c r="A1159" s="1"/>
      <c r="B1159" s="1"/>
      <c r="C1159" s="1"/>
      <c r="D1159" s="1"/>
      <c r="E1159" s="1"/>
      <c r="F1159" s="1"/>
      <c r="H1159" s="1"/>
      <c r="I1159" s="1"/>
      <c r="J1159" s="1"/>
      <c r="K1159" s="1"/>
      <c r="L1159" s="1"/>
      <c r="M1159" s="1"/>
      <c r="N1159" s="1"/>
      <c r="O1159" s="1"/>
      <c r="P1159" s="1"/>
      <c r="Q1159" s="1"/>
      <c r="R1159" s="1"/>
      <c r="S1159" s="1"/>
    </row>
    <row r="1160" spans="1:19" x14ac:dyDescent="0.2">
      <c r="A1160" s="1"/>
      <c r="B1160" s="1"/>
      <c r="C1160" s="1"/>
      <c r="D1160" s="1"/>
      <c r="E1160" s="1"/>
      <c r="F1160" s="1"/>
      <c r="H1160" s="1"/>
      <c r="I1160" s="1"/>
      <c r="J1160" s="1"/>
      <c r="K1160" s="1"/>
      <c r="L1160" s="1"/>
      <c r="M1160" s="1"/>
      <c r="N1160" s="1"/>
      <c r="O1160" s="1"/>
      <c r="P1160" s="1"/>
      <c r="Q1160" s="1"/>
      <c r="R1160" s="1"/>
      <c r="S1160" s="1"/>
    </row>
    <row r="1161" spans="1:19" x14ac:dyDescent="0.2">
      <c r="A1161" s="1"/>
      <c r="B1161" s="1"/>
      <c r="C1161" s="1"/>
      <c r="D1161" s="1"/>
      <c r="E1161" s="1"/>
      <c r="F1161" s="1"/>
      <c r="H1161" s="1"/>
      <c r="I1161" s="1"/>
      <c r="J1161" s="1"/>
      <c r="K1161" s="1"/>
      <c r="L1161" s="1"/>
      <c r="M1161" s="1"/>
      <c r="N1161" s="1"/>
      <c r="O1161" s="1"/>
      <c r="P1161" s="1"/>
      <c r="Q1161" s="1"/>
      <c r="R1161" s="1"/>
      <c r="S1161" s="1"/>
    </row>
    <row r="1162" spans="1:19" x14ac:dyDescent="0.2">
      <c r="A1162" s="1"/>
      <c r="B1162" s="1"/>
      <c r="C1162" s="1"/>
      <c r="D1162" s="1"/>
      <c r="E1162" s="1"/>
      <c r="F1162" s="1"/>
      <c r="H1162" s="1"/>
      <c r="I1162" s="1"/>
      <c r="J1162" s="1"/>
      <c r="K1162" s="1"/>
      <c r="L1162" s="1"/>
      <c r="M1162" s="1"/>
      <c r="N1162" s="1"/>
      <c r="O1162" s="1"/>
      <c r="P1162" s="1"/>
      <c r="Q1162" s="1"/>
      <c r="R1162" s="1"/>
      <c r="S1162" s="1"/>
    </row>
    <row r="1163" spans="1:19" x14ac:dyDescent="0.2">
      <c r="A1163" s="1"/>
      <c r="B1163" s="1"/>
      <c r="C1163" s="1"/>
      <c r="D1163" s="1"/>
      <c r="E1163" s="1"/>
      <c r="F1163" s="1"/>
      <c r="H1163" s="1"/>
      <c r="I1163" s="1"/>
      <c r="J1163" s="1"/>
      <c r="K1163" s="1"/>
      <c r="L1163" s="1"/>
      <c r="M1163" s="1"/>
      <c r="N1163" s="1"/>
      <c r="O1163" s="1"/>
      <c r="P1163" s="1"/>
      <c r="Q1163" s="1"/>
      <c r="R1163" s="1"/>
      <c r="S1163" s="1"/>
    </row>
    <row r="1164" spans="1:19" x14ac:dyDescent="0.2">
      <c r="A1164" s="1"/>
      <c r="B1164" s="1"/>
      <c r="C1164" s="1"/>
      <c r="D1164" s="1"/>
      <c r="E1164" s="1"/>
      <c r="F1164" s="1"/>
      <c r="H1164" s="1"/>
      <c r="I1164" s="1"/>
      <c r="J1164" s="1"/>
      <c r="K1164" s="1"/>
      <c r="L1164" s="1"/>
      <c r="M1164" s="1"/>
      <c r="N1164" s="1"/>
      <c r="O1164" s="1"/>
      <c r="P1164" s="1"/>
      <c r="Q1164" s="1"/>
      <c r="R1164" s="1"/>
      <c r="S1164" s="1"/>
    </row>
    <row r="1165" spans="1:19" x14ac:dyDescent="0.2">
      <c r="A1165" s="1"/>
      <c r="B1165" s="1"/>
      <c r="C1165" s="1"/>
      <c r="D1165" s="1"/>
      <c r="E1165" s="1"/>
      <c r="F1165" s="1"/>
      <c r="H1165" s="1"/>
      <c r="I1165" s="1"/>
      <c r="J1165" s="1"/>
      <c r="K1165" s="1"/>
      <c r="L1165" s="1"/>
      <c r="M1165" s="1"/>
      <c r="N1165" s="1"/>
      <c r="O1165" s="1"/>
      <c r="P1165" s="1"/>
      <c r="Q1165" s="1"/>
      <c r="R1165" s="1"/>
      <c r="S1165" s="1"/>
    </row>
    <row r="1166" spans="1:19" x14ac:dyDescent="0.2">
      <c r="A1166" s="1"/>
      <c r="B1166" s="1"/>
      <c r="C1166" s="1"/>
      <c r="D1166" s="1"/>
      <c r="E1166" s="1"/>
      <c r="F1166" s="1"/>
      <c r="H1166" s="1"/>
      <c r="I1166" s="1"/>
      <c r="J1166" s="1"/>
      <c r="K1166" s="1"/>
      <c r="L1166" s="1"/>
      <c r="M1166" s="1"/>
      <c r="N1166" s="1"/>
      <c r="O1166" s="1"/>
      <c r="P1166" s="1"/>
      <c r="Q1166" s="1"/>
      <c r="R1166" s="1"/>
      <c r="S1166" s="1"/>
    </row>
    <row r="1167" spans="1:19" x14ac:dyDescent="0.2">
      <c r="A1167" s="1"/>
      <c r="B1167" s="1"/>
      <c r="C1167" s="1"/>
      <c r="D1167" s="1"/>
      <c r="E1167" s="1"/>
      <c r="F1167" s="1"/>
      <c r="H1167" s="1"/>
      <c r="I1167" s="1"/>
      <c r="J1167" s="1"/>
      <c r="K1167" s="1"/>
      <c r="L1167" s="1"/>
      <c r="M1167" s="1"/>
      <c r="N1167" s="1"/>
      <c r="O1167" s="1"/>
      <c r="P1167" s="1"/>
      <c r="Q1167" s="1"/>
      <c r="R1167" s="1"/>
      <c r="S1167" s="1"/>
    </row>
    <row r="1168" spans="1:19" x14ac:dyDescent="0.2">
      <c r="A1168" s="1"/>
      <c r="B1168" s="1"/>
      <c r="C1168" s="1"/>
      <c r="D1168" s="1"/>
      <c r="E1168" s="1"/>
      <c r="F1168" s="1"/>
      <c r="H1168" s="1"/>
      <c r="I1168" s="1"/>
      <c r="J1168" s="1"/>
      <c r="K1168" s="1"/>
      <c r="L1168" s="1"/>
      <c r="M1168" s="1"/>
      <c r="N1168" s="1"/>
      <c r="O1168" s="1"/>
      <c r="P1168" s="1"/>
      <c r="Q1168" s="1"/>
      <c r="R1168" s="1"/>
      <c r="S1168" s="1"/>
    </row>
    <row r="1169" spans="1:19" x14ac:dyDescent="0.2">
      <c r="A1169" s="1"/>
      <c r="B1169" s="1"/>
      <c r="C1169" s="1"/>
      <c r="D1169" s="1"/>
      <c r="E1169" s="1"/>
      <c r="F1169" s="1"/>
      <c r="H1169" s="1"/>
      <c r="I1169" s="1"/>
      <c r="J1169" s="1"/>
      <c r="K1169" s="1"/>
      <c r="L1169" s="1"/>
      <c r="M1169" s="1"/>
      <c r="N1169" s="1"/>
      <c r="O1169" s="1"/>
      <c r="P1169" s="1"/>
      <c r="Q1169" s="1"/>
      <c r="R1169" s="1"/>
      <c r="S1169" s="1"/>
    </row>
    <row r="1170" spans="1:19" x14ac:dyDescent="0.2">
      <c r="A1170" s="1"/>
      <c r="B1170" s="1"/>
      <c r="C1170" s="1"/>
      <c r="D1170" s="1"/>
      <c r="E1170" s="1"/>
      <c r="F1170" s="1"/>
      <c r="H1170" s="1"/>
      <c r="I1170" s="1"/>
      <c r="J1170" s="1"/>
      <c r="K1170" s="1"/>
      <c r="L1170" s="1"/>
      <c r="M1170" s="1"/>
      <c r="N1170" s="1"/>
      <c r="O1170" s="1"/>
      <c r="P1170" s="1"/>
      <c r="Q1170" s="1"/>
      <c r="R1170" s="1"/>
      <c r="S1170" s="1"/>
    </row>
    <row r="1171" spans="1:19" x14ac:dyDescent="0.2">
      <c r="A1171" s="1"/>
      <c r="B1171" s="1"/>
      <c r="C1171" s="1"/>
      <c r="D1171" s="1"/>
      <c r="E1171" s="1"/>
      <c r="F1171" s="1"/>
      <c r="H1171" s="1"/>
      <c r="I1171" s="1"/>
      <c r="J1171" s="1"/>
      <c r="K1171" s="1"/>
      <c r="L1171" s="1"/>
      <c r="M1171" s="1"/>
      <c r="N1171" s="1"/>
      <c r="O1171" s="1"/>
      <c r="P1171" s="1"/>
      <c r="Q1171" s="1"/>
      <c r="R1171" s="1"/>
      <c r="S1171" s="1"/>
    </row>
    <row r="1172" spans="1:19" x14ac:dyDescent="0.2">
      <c r="A1172" s="1"/>
      <c r="B1172" s="1"/>
      <c r="C1172" s="1"/>
      <c r="D1172" s="1"/>
      <c r="E1172" s="1"/>
      <c r="F1172" s="1"/>
      <c r="H1172" s="1"/>
      <c r="I1172" s="1"/>
      <c r="J1172" s="1"/>
      <c r="K1172" s="1"/>
      <c r="L1172" s="1"/>
      <c r="M1172" s="1"/>
      <c r="N1172" s="1"/>
      <c r="O1172" s="1"/>
      <c r="P1172" s="1"/>
      <c r="Q1172" s="1"/>
      <c r="R1172" s="1"/>
      <c r="S1172" s="1"/>
    </row>
    <row r="1173" spans="1:19" x14ac:dyDescent="0.2">
      <c r="A1173" s="1"/>
      <c r="B1173" s="1"/>
      <c r="C1173" s="1"/>
      <c r="D1173" s="1"/>
      <c r="E1173" s="1"/>
      <c r="F1173" s="1"/>
      <c r="H1173" s="1"/>
      <c r="I1173" s="1"/>
      <c r="J1173" s="1"/>
      <c r="K1173" s="1"/>
      <c r="L1173" s="1"/>
      <c r="M1173" s="1"/>
      <c r="N1173" s="1"/>
      <c r="O1173" s="1"/>
      <c r="P1173" s="1"/>
      <c r="Q1173" s="1"/>
      <c r="R1173" s="1"/>
      <c r="S1173" s="1"/>
    </row>
    <row r="1174" spans="1:19" x14ac:dyDescent="0.2">
      <c r="A1174" s="1"/>
      <c r="B1174" s="1"/>
      <c r="C1174" s="1"/>
      <c r="D1174" s="1"/>
      <c r="E1174" s="1"/>
      <c r="F1174" s="1"/>
      <c r="H1174" s="1"/>
      <c r="I1174" s="1"/>
      <c r="J1174" s="1"/>
      <c r="K1174" s="1"/>
      <c r="L1174" s="1"/>
      <c r="M1174" s="1"/>
      <c r="N1174" s="1"/>
      <c r="O1174" s="1"/>
      <c r="P1174" s="1"/>
      <c r="Q1174" s="1"/>
      <c r="R1174" s="1"/>
      <c r="S1174" s="1"/>
    </row>
    <row r="1175" spans="1:19" x14ac:dyDescent="0.2">
      <c r="A1175" s="1"/>
      <c r="B1175" s="1"/>
      <c r="C1175" s="1"/>
      <c r="D1175" s="1"/>
      <c r="E1175" s="1"/>
      <c r="F1175" s="1"/>
      <c r="H1175" s="1"/>
      <c r="I1175" s="1"/>
      <c r="J1175" s="1"/>
      <c r="K1175" s="1"/>
      <c r="L1175" s="1"/>
      <c r="M1175" s="1"/>
      <c r="N1175" s="1"/>
      <c r="O1175" s="1"/>
      <c r="P1175" s="1"/>
      <c r="Q1175" s="1"/>
      <c r="R1175" s="1"/>
      <c r="S1175" s="1"/>
    </row>
    <row r="1176" spans="1:19" x14ac:dyDescent="0.2">
      <c r="A1176" s="1"/>
      <c r="B1176" s="1"/>
      <c r="C1176" s="1"/>
      <c r="D1176" s="1"/>
      <c r="E1176" s="1"/>
      <c r="F1176" s="1"/>
      <c r="H1176" s="1"/>
      <c r="I1176" s="1"/>
      <c r="J1176" s="1"/>
      <c r="K1176" s="1"/>
      <c r="L1176" s="1"/>
      <c r="M1176" s="1"/>
      <c r="N1176" s="1"/>
      <c r="O1176" s="1"/>
      <c r="P1176" s="1"/>
      <c r="Q1176" s="1"/>
      <c r="R1176" s="1"/>
      <c r="S1176" s="1"/>
    </row>
    <row r="1177" spans="1:19" x14ac:dyDescent="0.2">
      <c r="A1177" s="1"/>
      <c r="B1177" s="1"/>
      <c r="C1177" s="1"/>
      <c r="D1177" s="1"/>
      <c r="E1177" s="1"/>
      <c r="F1177" s="1"/>
      <c r="H1177" s="1"/>
      <c r="I1177" s="1"/>
      <c r="J1177" s="1"/>
      <c r="K1177" s="1"/>
      <c r="L1177" s="1"/>
      <c r="M1177" s="1"/>
      <c r="N1177" s="1"/>
      <c r="O1177" s="1"/>
      <c r="P1177" s="1"/>
      <c r="Q1177" s="1"/>
      <c r="R1177" s="1"/>
      <c r="S1177" s="1"/>
    </row>
    <row r="1178" spans="1:19" x14ac:dyDescent="0.2">
      <c r="A1178" s="1"/>
      <c r="B1178" s="1"/>
      <c r="C1178" s="1"/>
      <c r="D1178" s="1"/>
      <c r="E1178" s="1"/>
      <c r="F1178" s="1"/>
      <c r="H1178" s="1"/>
      <c r="I1178" s="1"/>
      <c r="J1178" s="1"/>
      <c r="K1178" s="1"/>
      <c r="L1178" s="1"/>
      <c r="M1178" s="1"/>
      <c r="N1178" s="1"/>
      <c r="O1178" s="1"/>
      <c r="P1178" s="1"/>
      <c r="Q1178" s="1"/>
      <c r="R1178" s="1"/>
      <c r="S1178" s="1"/>
    </row>
    <row r="1179" spans="1:19" x14ac:dyDescent="0.2">
      <c r="A1179" s="1"/>
      <c r="B1179" s="1"/>
      <c r="C1179" s="1"/>
      <c r="D1179" s="1"/>
      <c r="E1179" s="1"/>
      <c r="F1179" s="1"/>
      <c r="H1179" s="1"/>
      <c r="I1179" s="1"/>
      <c r="J1179" s="1"/>
      <c r="K1179" s="1"/>
      <c r="L1179" s="1"/>
      <c r="M1179" s="1"/>
      <c r="N1179" s="1"/>
      <c r="O1179" s="1"/>
      <c r="P1179" s="1"/>
      <c r="Q1179" s="1"/>
      <c r="R1179" s="1"/>
      <c r="S1179" s="1"/>
    </row>
    <row r="1180" spans="1:19" x14ac:dyDescent="0.2">
      <c r="A1180" s="1"/>
      <c r="B1180" s="1"/>
      <c r="C1180" s="1"/>
      <c r="D1180" s="1"/>
      <c r="E1180" s="1"/>
      <c r="F1180" s="1"/>
      <c r="H1180" s="1"/>
      <c r="I1180" s="1"/>
      <c r="J1180" s="1"/>
      <c r="K1180" s="1"/>
      <c r="L1180" s="1"/>
      <c r="M1180" s="1"/>
      <c r="N1180" s="1"/>
      <c r="O1180" s="1"/>
      <c r="P1180" s="1"/>
      <c r="Q1180" s="1"/>
      <c r="R1180" s="1"/>
      <c r="S1180" s="1"/>
    </row>
    <row r="1181" spans="1:19" x14ac:dyDescent="0.2">
      <c r="A1181" s="1"/>
      <c r="B1181" s="1"/>
      <c r="C1181" s="1"/>
      <c r="D1181" s="1"/>
      <c r="E1181" s="1"/>
      <c r="F1181" s="1"/>
      <c r="H1181" s="1"/>
      <c r="I1181" s="1"/>
      <c r="J1181" s="1"/>
      <c r="K1181" s="1"/>
      <c r="L1181" s="1"/>
      <c r="M1181" s="1"/>
      <c r="N1181" s="1"/>
      <c r="O1181" s="1"/>
      <c r="P1181" s="1"/>
      <c r="Q1181" s="1"/>
      <c r="R1181" s="1"/>
      <c r="S1181" s="1"/>
    </row>
    <row r="1182" spans="1:19" x14ac:dyDescent="0.2">
      <c r="A1182" s="1"/>
      <c r="B1182" s="1"/>
      <c r="C1182" s="1"/>
      <c r="D1182" s="1"/>
      <c r="E1182" s="1"/>
      <c r="F1182" s="1"/>
      <c r="H1182" s="1"/>
      <c r="I1182" s="1"/>
      <c r="J1182" s="1"/>
      <c r="K1182" s="1"/>
      <c r="L1182" s="1"/>
      <c r="M1182" s="1"/>
      <c r="N1182" s="1"/>
      <c r="O1182" s="1"/>
      <c r="P1182" s="1"/>
      <c r="Q1182" s="1"/>
      <c r="R1182" s="1"/>
      <c r="S1182" s="1"/>
    </row>
    <row r="1183" spans="1:19" x14ac:dyDescent="0.2">
      <c r="A1183" s="1"/>
      <c r="B1183" s="1"/>
      <c r="C1183" s="1"/>
      <c r="D1183" s="1"/>
      <c r="E1183" s="1"/>
      <c r="F1183" s="1"/>
      <c r="H1183" s="1"/>
      <c r="I1183" s="1"/>
      <c r="J1183" s="1"/>
      <c r="K1183" s="1"/>
      <c r="L1183" s="1"/>
      <c r="M1183" s="1"/>
      <c r="N1183" s="1"/>
      <c r="O1183" s="1"/>
      <c r="P1183" s="1"/>
      <c r="Q1183" s="1"/>
      <c r="R1183" s="1"/>
      <c r="S1183" s="1"/>
    </row>
    <row r="1184" spans="1:19" x14ac:dyDescent="0.2">
      <c r="A1184" s="1"/>
      <c r="B1184" s="1"/>
      <c r="C1184" s="1"/>
      <c r="D1184" s="1"/>
      <c r="E1184" s="1"/>
      <c r="F1184" s="1"/>
      <c r="H1184" s="1"/>
      <c r="I1184" s="1"/>
      <c r="J1184" s="1"/>
      <c r="K1184" s="1"/>
      <c r="L1184" s="1"/>
      <c r="M1184" s="1"/>
      <c r="N1184" s="1"/>
      <c r="O1184" s="1"/>
      <c r="P1184" s="1"/>
      <c r="Q1184" s="1"/>
      <c r="R1184" s="1"/>
      <c r="S1184" s="1"/>
    </row>
    <row r="1185" spans="1:19" x14ac:dyDescent="0.2">
      <c r="A1185" s="1"/>
      <c r="B1185" s="1"/>
      <c r="C1185" s="1"/>
      <c r="D1185" s="1"/>
      <c r="E1185" s="1"/>
      <c r="F1185" s="1"/>
      <c r="H1185" s="1"/>
      <c r="I1185" s="1"/>
      <c r="J1185" s="1"/>
      <c r="K1185" s="1"/>
      <c r="L1185" s="1"/>
      <c r="M1185" s="1"/>
      <c r="N1185" s="1"/>
      <c r="O1185" s="1"/>
      <c r="P1185" s="1"/>
      <c r="Q1185" s="1"/>
      <c r="R1185" s="1"/>
      <c r="S1185" s="1"/>
    </row>
    <row r="1186" spans="1:19" x14ac:dyDescent="0.2">
      <c r="A1186" s="1"/>
      <c r="B1186" s="1"/>
      <c r="C1186" s="1"/>
      <c r="D1186" s="1"/>
      <c r="E1186" s="1"/>
      <c r="F1186" s="1"/>
      <c r="H1186" s="1"/>
      <c r="I1186" s="1"/>
      <c r="J1186" s="1"/>
      <c r="K1186" s="1"/>
      <c r="L1186" s="1"/>
      <c r="M1186" s="1"/>
      <c r="N1186" s="1"/>
      <c r="O1186" s="1"/>
      <c r="P1186" s="1"/>
      <c r="Q1186" s="1"/>
      <c r="R1186" s="1"/>
      <c r="S1186" s="1"/>
    </row>
    <row r="1187" spans="1:19" x14ac:dyDescent="0.2">
      <c r="A1187" s="1"/>
      <c r="B1187" s="1"/>
      <c r="C1187" s="1"/>
      <c r="D1187" s="1"/>
      <c r="E1187" s="1"/>
      <c r="F1187" s="1"/>
      <c r="H1187" s="1"/>
      <c r="I1187" s="1"/>
      <c r="J1187" s="1"/>
      <c r="K1187" s="1"/>
      <c r="L1187" s="1"/>
      <c r="M1187" s="1"/>
      <c r="N1187" s="1"/>
      <c r="O1187" s="1"/>
      <c r="P1187" s="1"/>
      <c r="Q1187" s="1"/>
      <c r="R1187" s="1"/>
      <c r="S1187" s="1"/>
    </row>
    <row r="1188" spans="1:19" x14ac:dyDescent="0.2">
      <c r="A1188" s="1"/>
      <c r="B1188" s="1"/>
      <c r="C1188" s="1"/>
      <c r="D1188" s="1"/>
      <c r="E1188" s="1"/>
      <c r="F1188" s="1"/>
      <c r="H1188" s="1"/>
      <c r="I1188" s="1"/>
      <c r="J1188" s="1"/>
      <c r="K1188" s="1"/>
      <c r="L1188" s="1"/>
      <c r="M1188" s="1"/>
      <c r="N1188" s="1"/>
      <c r="O1188" s="1"/>
      <c r="P1188" s="1"/>
      <c r="Q1188" s="1"/>
      <c r="R1188" s="1"/>
      <c r="S1188" s="1"/>
    </row>
    <row r="1189" spans="1:19" x14ac:dyDescent="0.2">
      <c r="A1189" s="1"/>
      <c r="B1189" s="1"/>
      <c r="C1189" s="1"/>
      <c r="D1189" s="1"/>
      <c r="E1189" s="1"/>
      <c r="F1189" s="1"/>
      <c r="H1189" s="1"/>
      <c r="I1189" s="1"/>
      <c r="J1189" s="1"/>
      <c r="K1189" s="1"/>
      <c r="L1189" s="1"/>
      <c r="M1189" s="1"/>
      <c r="N1189" s="1"/>
      <c r="O1189" s="1"/>
      <c r="P1189" s="1"/>
      <c r="Q1189" s="1"/>
      <c r="R1189" s="1"/>
      <c r="S1189" s="1"/>
    </row>
    <row r="1190" spans="1:19" x14ac:dyDescent="0.2">
      <c r="A1190" s="1"/>
      <c r="B1190" s="1"/>
      <c r="C1190" s="1"/>
      <c r="D1190" s="1"/>
      <c r="E1190" s="1"/>
      <c r="F1190" s="1"/>
      <c r="H1190" s="1"/>
      <c r="I1190" s="1"/>
      <c r="J1190" s="1"/>
      <c r="K1190" s="1"/>
      <c r="L1190" s="1"/>
      <c r="M1190" s="1"/>
      <c r="N1190" s="1"/>
      <c r="O1190" s="1"/>
      <c r="P1190" s="1"/>
      <c r="Q1190" s="1"/>
      <c r="R1190" s="1"/>
      <c r="S1190" s="1"/>
    </row>
    <row r="1191" spans="1:19" x14ac:dyDescent="0.2">
      <c r="A1191" s="1"/>
      <c r="B1191" s="1"/>
      <c r="C1191" s="1"/>
      <c r="D1191" s="1"/>
      <c r="E1191" s="1"/>
      <c r="F1191" s="1"/>
      <c r="H1191" s="1"/>
      <c r="I1191" s="1"/>
      <c r="J1191" s="1"/>
      <c r="K1191" s="1"/>
      <c r="L1191" s="1"/>
      <c r="M1191" s="1"/>
      <c r="N1191" s="1"/>
      <c r="O1191" s="1"/>
      <c r="P1191" s="1"/>
      <c r="Q1191" s="1"/>
      <c r="R1191" s="1"/>
      <c r="S1191" s="1"/>
    </row>
    <row r="1192" spans="1:19" x14ac:dyDescent="0.2">
      <c r="A1192" s="1"/>
      <c r="B1192" s="1"/>
      <c r="C1192" s="1"/>
      <c r="D1192" s="1"/>
      <c r="E1192" s="1"/>
      <c r="F1192" s="1"/>
      <c r="H1192" s="1"/>
      <c r="I1192" s="1"/>
      <c r="J1192" s="1"/>
      <c r="K1192" s="1"/>
      <c r="L1192" s="1"/>
      <c r="M1192" s="1"/>
      <c r="N1192" s="1"/>
      <c r="O1192" s="1"/>
      <c r="P1192" s="1"/>
      <c r="Q1192" s="1"/>
      <c r="R1192" s="1"/>
      <c r="S1192" s="1"/>
    </row>
    <row r="1193" spans="1:19" x14ac:dyDescent="0.2">
      <c r="A1193" s="1"/>
      <c r="B1193" s="1"/>
      <c r="C1193" s="1"/>
      <c r="D1193" s="1"/>
      <c r="E1193" s="1"/>
      <c r="F1193" s="1"/>
      <c r="H1193" s="1"/>
      <c r="I1193" s="1"/>
      <c r="J1193" s="1"/>
      <c r="K1193" s="1"/>
      <c r="L1193" s="1"/>
      <c r="M1193" s="1"/>
      <c r="N1193" s="1"/>
      <c r="O1193" s="1"/>
      <c r="P1193" s="1"/>
      <c r="Q1193" s="1"/>
      <c r="R1193" s="1"/>
      <c r="S1193" s="1"/>
    </row>
    <row r="1194" spans="1:19" x14ac:dyDescent="0.2">
      <c r="A1194" s="1"/>
      <c r="B1194" s="1"/>
      <c r="C1194" s="1"/>
      <c r="D1194" s="1"/>
      <c r="E1194" s="1"/>
      <c r="F1194" s="1"/>
      <c r="H1194" s="1"/>
      <c r="I1194" s="1"/>
      <c r="J1194" s="1"/>
      <c r="K1194" s="1"/>
      <c r="L1194" s="1"/>
      <c r="M1194" s="1"/>
      <c r="N1194" s="1"/>
      <c r="O1194" s="1"/>
      <c r="P1194" s="1"/>
      <c r="Q1194" s="1"/>
      <c r="R1194" s="1"/>
      <c r="S1194" s="1"/>
    </row>
    <row r="1195" spans="1:19" x14ac:dyDescent="0.2">
      <c r="A1195" s="1"/>
      <c r="B1195" s="1"/>
      <c r="C1195" s="1"/>
      <c r="D1195" s="1"/>
      <c r="E1195" s="1"/>
      <c r="F1195" s="1"/>
      <c r="H1195" s="1"/>
      <c r="I1195" s="1"/>
      <c r="J1195" s="1"/>
      <c r="K1195" s="1"/>
      <c r="L1195" s="1"/>
      <c r="M1195" s="1"/>
      <c r="N1195" s="1"/>
      <c r="O1195" s="1"/>
      <c r="P1195" s="1"/>
      <c r="Q1195" s="1"/>
      <c r="R1195" s="1"/>
      <c r="S1195" s="1"/>
    </row>
    <row r="1196" spans="1:19" x14ac:dyDescent="0.2">
      <c r="A1196" s="1"/>
      <c r="B1196" s="1"/>
      <c r="C1196" s="1"/>
      <c r="D1196" s="1"/>
      <c r="E1196" s="1"/>
      <c r="F1196" s="1"/>
      <c r="H1196" s="1"/>
      <c r="I1196" s="1"/>
      <c r="J1196" s="1"/>
      <c r="K1196" s="1"/>
      <c r="L1196" s="1"/>
      <c r="M1196" s="1"/>
      <c r="N1196" s="1"/>
      <c r="O1196" s="1"/>
      <c r="P1196" s="1"/>
      <c r="Q1196" s="1"/>
      <c r="R1196" s="1"/>
      <c r="S1196" s="1"/>
    </row>
    <row r="1197" spans="1:19" x14ac:dyDescent="0.2">
      <c r="A1197" s="1"/>
      <c r="B1197" s="1"/>
      <c r="C1197" s="1"/>
      <c r="D1197" s="1"/>
      <c r="E1197" s="1"/>
      <c r="F1197" s="1"/>
      <c r="H1197" s="1"/>
      <c r="I1197" s="1"/>
      <c r="J1197" s="1"/>
      <c r="K1197" s="1"/>
      <c r="L1197" s="1"/>
      <c r="M1197" s="1"/>
      <c r="N1197" s="1"/>
      <c r="O1197" s="1"/>
      <c r="P1197" s="1"/>
      <c r="Q1197" s="1"/>
      <c r="R1197" s="1"/>
      <c r="S1197" s="1"/>
    </row>
    <row r="1198" spans="1:19" x14ac:dyDescent="0.2">
      <c r="A1198" s="1"/>
      <c r="B1198" s="1"/>
      <c r="C1198" s="1"/>
      <c r="D1198" s="1"/>
      <c r="E1198" s="1"/>
      <c r="F1198" s="1"/>
      <c r="H1198" s="1"/>
      <c r="I1198" s="1"/>
      <c r="J1198" s="1"/>
      <c r="K1198" s="1"/>
      <c r="L1198" s="1"/>
      <c r="M1198" s="1"/>
      <c r="N1198" s="1"/>
      <c r="O1198" s="1"/>
      <c r="P1198" s="1"/>
      <c r="Q1198" s="1"/>
      <c r="R1198" s="1"/>
      <c r="S1198" s="1"/>
    </row>
    <row r="1199" spans="1:19" x14ac:dyDescent="0.2">
      <c r="A1199" s="1"/>
      <c r="B1199" s="1"/>
      <c r="C1199" s="1"/>
      <c r="D1199" s="1"/>
      <c r="E1199" s="1"/>
      <c r="F1199" s="1"/>
      <c r="H1199" s="1"/>
      <c r="I1199" s="1"/>
      <c r="J1199" s="1"/>
      <c r="K1199" s="1"/>
      <c r="L1199" s="1"/>
      <c r="M1199" s="1"/>
      <c r="N1199" s="1"/>
      <c r="O1199" s="1"/>
      <c r="P1199" s="1"/>
      <c r="Q1199" s="1"/>
      <c r="R1199" s="1"/>
      <c r="S1199" s="1"/>
    </row>
    <row r="1200" spans="1:19" x14ac:dyDescent="0.2">
      <c r="A1200" s="1"/>
      <c r="B1200" s="1"/>
      <c r="C1200" s="1"/>
      <c r="D1200" s="1"/>
      <c r="E1200" s="1"/>
      <c r="F1200" s="1"/>
      <c r="H1200" s="1"/>
      <c r="I1200" s="1"/>
      <c r="J1200" s="1"/>
      <c r="K1200" s="1"/>
      <c r="L1200" s="1"/>
      <c r="M1200" s="1"/>
      <c r="N1200" s="1"/>
      <c r="O1200" s="1"/>
      <c r="P1200" s="1"/>
      <c r="Q1200" s="1"/>
      <c r="R1200" s="1"/>
      <c r="S1200" s="1"/>
    </row>
    <row r="1201" spans="1:19" x14ac:dyDescent="0.2">
      <c r="A1201" s="1"/>
      <c r="B1201" s="1"/>
      <c r="C1201" s="1"/>
      <c r="D1201" s="1"/>
      <c r="E1201" s="1"/>
      <c r="F1201" s="1"/>
      <c r="H1201" s="1"/>
      <c r="I1201" s="1"/>
      <c r="J1201" s="1"/>
      <c r="K1201" s="1"/>
      <c r="L1201" s="1"/>
      <c r="M1201" s="1"/>
      <c r="N1201" s="1"/>
      <c r="O1201" s="1"/>
      <c r="P1201" s="1"/>
      <c r="Q1201" s="1"/>
      <c r="R1201" s="1"/>
      <c r="S1201" s="1"/>
    </row>
    <row r="1202" spans="1:19" x14ac:dyDescent="0.2">
      <c r="A1202" s="1"/>
      <c r="B1202" s="1"/>
      <c r="C1202" s="1"/>
      <c r="D1202" s="1"/>
      <c r="E1202" s="1"/>
      <c r="F1202" s="1"/>
      <c r="H1202" s="1"/>
      <c r="I1202" s="1"/>
      <c r="J1202" s="1"/>
      <c r="K1202" s="1"/>
      <c r="L1202" s="1"/>
      <c r="M1202" s="1"/>
      <c r="N1202" s="1"/>
      <c r="O1202" s="1"/>
      <c r="P1202" s="1"/>
      <c r="Q1202" s="1"/>
      <c r="R1202" s="1"/>
      <c r="S1202" s="1"/>
    </row>
    <row r="1203" spans="1:19" x14ac:dyDescent="0.2">
      <c r="A1203" s="1"/>
      <c r="B1203" s="1"/>
      <c r="C1203" s="1"/>
      <c r="D1203" s="1"/>
      <c r="E1203" s="1"/>
      <c r="F1203" s="1"/>
      <c r="H1203" s="1"/>
      <c r="I1203" s="1"/>
      <c r="J1203" s="1"/>
      <c r="K1203" s="1"/>
      <c r="L1203" s="1"/>
      <c r="M1203" s="1"/>
      <c r="N1203" s="1"/>
      <c r="O1203" s="1"/>
      <c r="P1203" s="1"/>
      <c r="Q1203" s="1"/>
      <c r="R1203" s="1"/>
      <c r="S1203" s="1"/>
    </row>
    <row r="1204" spans="1:19" x14ac:dyDescent="0.2">
      <c r="A1204" s="1"/>
      <c r="B1204" s="1"/>
      <c r="C1204" s="1"/>
      <c r="D1204" s="1"/>
      <c r="E1204" s="1"/>
      <c r="F1204" s="1"/>
      <c r="H1204" s="1"/>
      <c r="I1204" s="1"/>
      <c r="J1204" s="1"/>
      <c r="K1204" s="1"/>
      <c r="L1204" s="1"/>
      <c r="M1204" s="1"/>
      <c r="N1204" s="1"/>
      <c r="O1204" s="1"/>
      <c r="P1204" s="1"/>
      <c r="Q1204" s="1"/>
      <c r="R1204" s="1"/>
      <c r="S1204" s="1"/>
    </row>
    <row r="1205" spans="1:19" x14ac:dyDescent="0.2">
      <c r="A1205" s="1"/>
      <c r="B1205" s="1"/>
      <c r="C1205" s="1"/>
      <c r="D1205" s="1"/>
      <c r="E1205" s="1"/>
      <c r="F1205" s="1"/>
      <c r="H1205" s="1"/>
      <c r="I1205" s="1"/>
      <c r="J1205" s="1"/>
      <c r="K1205" s="1"/>
      <c r="L1205" s="1"/>
      <c r="M1205" s="1"/>
      <c r="N1205" s="1"/>
      <c r="O1205" s="1"/>
      <c r="P1205" s="1"/>
      <c r="Q1205" s="1"/>
      <c r="R1205" s="1"/>
      <c r="S1205" s="1"/>
    </row>
    <row r="1206" spans="1:19" x14ac:dyDescent="0.2">
      <c r="A1206" s="1"/>
      <c r="B1206" s="1"/>
      <c r="C1206" s="1"/>
      <c r="D1206" s="1"/>
      <c r="E1206" s="1"/>
      <c r="F1206" s="1"/>
      <c r="H1206" s="1"/>
      <c r="I1206" s="1"/>
      <c r="J1206" s="1"/>
      <c r="K1206" s="1"/>
      <c r="L1206" s="1"/>
      <c r="M1206" s="1"/>
      <c r="N1206" s="1"/>
      <c r="O1206" s="1"/>
      <c r="P1206" s="1"/>
      <c r="Q1206" s="1"/>
      <c r="R1206" s="1"/>
      <c r="S1206" s="1"/>
    </row>
    <row r="1207" spans="1:19" x14ac:dyDescent="0.2">
      <c r="A1207" s="1"/>
      <c r="B1207" s="1"/>
      <c r="C1207" s="1"/>
      <c r="D1207" s="1"/>
      <c r="E1207" s="1"/>
      <c r="F1207" s="1"/>
      <c r="H1207" s="1"/>
      <c r="I1207" s="1"/>
      <c r="J1207" s="1"/>
      <c r="K1207" s="1"/>
      <c r="L1207" s="1"/>
      <c r="M1207" s="1"/>
      <c r="N1207" s="1"/>
      <c r="O1207" s="1"/>
      <c r="P1207" s="1"/>
      <c r="Q1207" s="1"/>
      <c r="R1207" s="1"/>
      <c r="S1207" s="1"/>
    </row>
    <row r="1208" spans="1:19" x14ac:dyDescent="0.2">
      <c r="A1208" s="1"/>
      <c r="B1208" s="1"/>
      <c r="C1208" s="1"/>
      <c r="D1208" s="1"/>
      <c r="E1208" s="1"/>
      <c r="F1208" s="1"/>
      <c r="H1208" s="1"/>
      <c r="I1208" s="1"/>
      <c r="J1208" s="1"/>
      <c r="K1208" s="1"/>
      <c r="L1208" s="1"/>
      <c r="M1208" s="1"/>
      <c r="N1208" s="1"/>
      <c r="O1208" s="1"/>
      <c r="P1208" s="1"/>
      <c r="Q1208" s="1"/>
      <c r="R1208" s="1"/>
      <c r="S1208" s="1"/>
    </row>
    <row r="1209" spans="1:19" x14ac:dyDescent="0.2">
      <c r="A1209" s="1"/>
      <c r="B1209" s="1"/>
      <c r="C1209" s="1"/>
      <c r="D1209" s="1"/>
      <c r="E1209" s="1"/>
      <c r="F1209" s="1"/>
      <c r="H1209" s="1"/>
      <c r="I1209" s="1"/>
      <c r="J1209" s="1"/>
      <c r="K1209" s="1"/>
      <c r="L1209" s="1"/>
      <c r="M1209" s="1"/>
      <c r="N1209" s="1"/>
      <c r="O1209" s="1"/>
      <c r="P1209" s="1"/>
      <c r="Q1209" s="1"/>
      <c r="R1209" s="1"/>
      <c r="S1209" s="1"/>
    </row>
    <row r="1210" spans="1:19" x14ac:dyDescent="0.2">
      <c r="A1210" s="1"/>
      <c r="B1210" s="1"/>
      <c r="C1210" s="1"/>
      <c r="D1210" s="1"/>
      <c r="E1210" s="1"/>
      <c r="F1210" s="1"/>
      <c r="H1210" s="1"/>
      <c r="I1210" s="1"/>
      <c r="J1210" s="1"/>
      <c r="K1210" s="1"/>
      <c r="L1210" s="1"/>
      <c r="M1210" s="1"/>
      <c r="N1210" s="1"/>
      <c r="O1210" s="1"/>
      <c r="P1210" s="1"/>
      <c r="Q1210" s="1"/>
      <c r="R1210" s="1"/>
      <c r="S1210" s="1"/>
    </row>
    <row r="1211" spans="1:19" x14ac:dyDescent="0.2">
      <c r="A1211" s="1"/>
      <c r="B1211" s="1"/>
      <c r="C1211" s="1"/>
      <c r="D1211" s="1"/>
      <c r="E1211" s="1"/>
      <c r="F1211" s="1"/>
      <c r="H1211" s="1"/>
      <c r="I1211" s="1"/>
      <c r="J1211" s="1"/>
      <c r="K1211" s="1"/>
      <c r="L1211" s="1"/>
      <c r="M1211" s="1"/>
      <c r="N1211" s="1"/>
      <c r="O1211" s="1"/>
      <c r="P1211" s="1"/>
      <c r="Q1211" s="1"/>
      <c r="R1211" s="1"/>
      <c r="S1211" s="1"/>
    </row>
    <row r="1212" spans="1:19" x14ac:dyDescent="0.2">
      <c r="A1212" s="1"/>
      <c r="B1212" s="1"/>
      <c r="C1212" s="1"/>
      <c r="D1212" s="1"/>
      <c r="E1212" s="1"/>
      <c r="F1212" s="1"/>
      <c r="H1212" s="1"/>
      <c r="I1212" s="1"/>
      <c r="J1212" s="1"/>
      <c r="K1212" s="1"/>
      <c r="L1212" s="1"/>
      <c r="M1212" s="1"/>
      <c r="N1212" s="1"/>
      <c r="O1212" s="1"/>
      <c r="P1212" s="1"/>
      <c r="Q1212" s="1"/>
      <c r="R1212" s="1"/>
      <c r="S1212" s="1"/>
    </row>
    <row r="1213" spans="1:19" x14ac:dyDescent="0.2">
      <c r="A1213" s="1"/>
      <c r="B1213" s="1"/>
      <c r="C1213" s="1"/>
      <c r="D1213" s="1"/>
      <c r="E1213" s="1"/>
      <c r="F1213" s="1"/>
      <c r="H1213" s="1"/>
      <c r="I1213" s="1"/>
      <c r="J1213" s="1"/>
      <c r="K1213" s="1"/>
      <c r="L1213" s="1"/>
      <c r="M1213" s="1"/>
      <c r="N1213" s="1"/>
      <c r="O1213" s="1"/>
      <c r="P1213" s="1"/>
      <c r="Q1213" s="1"/>
      <c r="R1213" s="1"/>
      <c r="S1213" s="1"/>
    </row>
    <row r="1214" spans="1:19" x14ac:dyDescent="0.2">
      <c r="A1214" s="1"/>
      <c r="B1214" s="1"/>
      <c r="C1214" s="1"/>
      <c r="D1214" s="1"/>
      <c r="E1214" s="1"/>
      <c r="F1214" s="1"/>
      <c r="H1214" s="1"/>
      <c r="I1214" s="1"/>
      <c r="J1214" s="1"/>
      <c r="K1214" s="1"/>
      <c r="L1214" s="1"/>
      <c r="M1214" s="1"/>
      <c r="N1214" s="1"/>
      <c r="O1214" s="1"/>
      <c r="P1214" s="1"/>
      <c r="Q1214" s="1"/>
      <c r="R1214" s="1"/>
      <c r="S1214" s="1"/>
    </row>
    <row r="1215" spans="1:19" x14ac:dyDescent="0.2">
      <c r="A1215" s="1"/>
      <c r="B1215" s="1"/>
      <c r="C1215" s="1"/>
      <c r="D1215" s="1"/>
      <c r="E1215" s="1"/>
      <c r="F1215" s="1"/>
      <c r="H1215" s="1"/>
      <c r="I1215" s="1"/>
      <c r="J1215" s="1"/>
      <c r="K1215" s="1"/>
      <c r="L1215" s="1"/>
      <c r="M1215" s="1"/>
      <c r="N1215" s="1"/>
      <c r="O1215" s="1"/>
      <c r="P1215" s="1"/>
      <c r="Q1215" s="1"/>
      <c r="R1215" s="1"/>
      <c r="S1215" s="1"/>
    </row>
    <row r="1216" spans="1:19" x14ac:dyDescent="0.2">
      <c r="A1216" s="1"/>
      <c r="B1216" s="1"/>
      <c r="C1216" s="1"/>
      <c r="D1216" s="1"/>
      <c r="E1216" s="1"/>
      <c r="F1216" s="1"/>
      <c r="H1216" s="1"/>
      <c r="I1216" s="1"/>
      <c r="J1216" s="1"/>
      <c r="K1216" s="1"/>
      <c r="L1216" s="1"/>
      <c r="M1216" s="1"/>
      <c r="N1216" s="1"/>
      <c r="O1216" s="1"/>
      <c r="P1216" s="1"/>
      <c r="Q1216" s="1"/>
      <c r="R1216" s="1"/>
      <c r="S1216" s="1"/>
    </row>
    <row r="1217" spans="1:19" x14ac:dyDescent="0.2">
      <c r="A1217" s="1"/>
      <c r="B1217" s="1"/>
      <c r="C1217" s="1"/>
      <c r="D1217" s="1"/>
      <c r="E1217" s="1"/>
      <c r="F1217" s="1"/>
      <c r="H1217" s="1"/>
      <c r="I1217" s="1"/>
      <c r="J1217" s="1"/>
      <c r="K1217" s="1"/>
      <c r="L1217" s="1"/>
      <c r="M1217" s="1"/>
      <c r="N1217" s="1"/>
      <c r="O1217" s="1"/>
      <c r="P1217" s="1"/>
      <c r="Q1217" s="1"/>
      <c r="R1217" s="1"/>
      <c r="S1217" s="1"/>
    </row>
    <row r="1218" spans="1:19" x14ac:dyDescent="0.2">
      <c r="A1218" s="1"/>
      <c r="B1218" s="1"/>
      <c r="C1218" s="1"/>
      <c r="D1218" s="1"/>
      <c r="E1218" s="1"/>
      <c r="F1218" s="1"/>
      <c r="H1218" s="1"/>
      <c r="I1218" s="1"/>
      <c r="J1218" s="1"/>
      <c r="K1218" s="1"/>
      <c r="L1218" s="1"/>
      <c r="M1218" s="1"/>
      <c r="N1218" s="1"/>
      <c r="O1218" s="1"/>
      <c r="P1218" s="1"/>
      <c r="Q1218" s="1"/>
      <c r="R1218" s="1"/>
      <c r="S1218" s="1"/>
    </row>
    <row r="1219" spans="1:19" x14ac:dyDescent="0.2">
      <c r="A1219" s="1"/>
      <c r="B1219" s="1"/>
      <c r="C1219" s="1"/>
      <c r="D1219" s="1"/>
      <c r="E1219" s="1"/>
      <c r="F1219" s="1"/>
      <c r="H1219" s="1"/>
      <c r="I1219" s="1"/>
      <c r="J1219" s="1"/>
      <c r="K1219" s="1"/>
      <c r="L1219" s="1"/>
      <c r="M1219" s="1"/>
      <c r="N1219" s="1"/>
      <c r="O1219" s="1"/>
      <c r="P1219" s="1"/>
      <c r="Q1219" s="1"/>
      <c r="R1219" s="1"/>
      <c r="S1219" s="1"/>
    </row>
    <row r="1220" spans="1:19" x14ac:dyDescent="0.2">
      <c r="A1220" s="1"/>
      <c r="B1220" s="1"/>
      <c r="C1220" s="1"/>
      <c r="D1220" s="1"/>
      <c r="E1220" s="1"/>
      <c r="F1220" s="1"/>
      <c r="H1220" s="1"/>
      <c r="I1220" s="1"/>
      <c r="J1220" s="1"/>
      <c r="K1220" s="1"/>
      <c r="L1220" s="1"/>
      <c r="M1220" s="1"/>
      <c r="N1220" s="1"/>
      <c r="O1220" s="1"/>
      <c r="P1220" s="1"/>
      <c r="Q1220" s="1"/>
      <c r="R1220" s="1"/>
      <c r="S1220" s="1"/>
    </row>
    <row r="1221" spans="1:19" x14ac:dyDescent="0.2">
      <c r="A1221" s="1"/>
      <c r="B1221" s="1"/>
      <c r="C1221" s="1"/>
      <c r="D1221" s="1"/>
      <c r="E1221" s="1"/>
      <c r="F1221" s="1"/>
      <c r="H1221" s="1"/>
      <c r="I1221" s="1"/>
      <c r="J1221" s="1"/>
      <c r="K1221" s="1"/>
      <c r="L1221" s="1"/>
      <c r="M1221" s="1"/>
      <c r="N1221" s="1"/>
      <c r="O1221" s="1"/>
      <c r="P1221" s="1"/>
      <c r="Q1221" s="1"/>
      <c r="R1221" s="1"/>
      <c r="S1221" s="1"/>
    </row>
    <row r="1222" spans="1:19" x14ac:dyDescent="0.2">
      <c r="A1222" s="1"/>
      <c r="B1222" s="1"/>
      <c r="C1222" s="1"/>
      <c r="D1222" s="1"/>
      <c r="E1222" s="1"/>
      <c r="F1222" s="1"/>
      <c r="H1222" s="1"/>
      <c r="I1222" s="1"/>
      <c r="J1222" s="1"/>
      <c r="K1222" s="1"/>
      <c r="L1222" s="1"/>
      <c r="M1222" s="1"/>
      <c r="N1222" s="1"/>
      <c r="O1222" s="1"/>
      <c r="P1222" s="1"/>
      <c r="Q1222" s="1"/>
      <c r="R1222" s="1"/>
      <c r="S1222" s="1"/>
    </row>
    <row r="1223" spans="1:19" x14ac:dyDescent="0.2">
      <c r="A1223" s="1"/>
      <c r="B1223" s="1"/>
      <c r="C1223" s="1"/>
      <c r="D1223" s="1"/>
      <c r="E1223" s="1"/>
      <c r="F1223" s="1"/>
      <c r="H1223" s="1"/>
      <c r="I1223" s="1"/>
      <c r="J1223" s="1"/>
      <c r="K1223" s="1"/>
      <c r="L1223" s="1"/>
      <c r="M1223" s="1"/>
      <c r="N1223" s="1"/>
      <c r="O1223" s="1"/>
      <c r="P1223" s="1"/>
      <c r="Q1223" s="1"/>
      <c r="R1223" s="1"/>
      <c r="S1223" s="1"/>
    </row>
    <row r="1224" spans="1:19" x14ac:dyDescent="0.2">
      <c r="A1224" s="1"/>
      <c r="B1224" s="1"/>
      <c r="C1224" s="1"/>
      <c r="D1224" s="1"/>
      <c r="E1224" s="1"/>
      <c r="F1224" s="1"/>
      <c r="H1224" s="1"/>
      <c r="I1224" s="1"/>
      <c r="J1224" s="1"/>
      <c r="K1224" s="1"/>
      <c r="L1224" s="1"/>
      <c r="M1224" s="1"/>
      <c r="N1224" s="1"/>
      <c r="O1224" s="1"/>
      <c r="P1224" s="1"/>
      <c r="Q1224" s="1"/>
      <c r="R1224" s="1"/>
      <c r="S1224" s="1"/>
    </row>
    <row r="1225" spans="1:19" x14ac:dyDescent="0.2">
      <c r="A1225" s="1"/>
      <c r="B1225" s="1"/>
      <c r="C1225" s="1"/>
      <c r="D1225" s="1"/>
      <c r="E1225" s="1"/>
      <c r="F1225" s="1"/>
      <c r="H1225" s="1"/>
      <c r="I1225" s="1"/>
      <c r="J1225" s="1"/>
      <c r="K1225" s="1"/>
      <c r="L1225" s="1"/>
      <c r="M1225" s="1"/>
      <c r="N1225" s="1"/>
      <c r="O1225" s="1"/>
      <c r="P1225" s="1"/>
      <c r="Q1225" s="1"/>
      <c r="R1225" s="1"/>
      <c r="S1225" s="1"/>
    </row>
    <row r="1226" spans="1:19" x14ac:dyDescent="0.2">
      <c r="A1226" s="1"/>
      <c r="B1226" s="1"/>
      <c r="C1226" s="1"/>
      <c r="D1226" s="1"/>
      <c r="E1226" s="1"/>
      <c r="F1226" s="1"/>
      <c r="H1226" s="1"/>
      <c r="I1226" s="1"/>
      <c r="J1226" s="1"/>
      <c r="K1226" s="1"/>
      <c r="L1226" s="1"/>
      <c r="M1226" s="1"/>
      <c r="N1226" s="1"/>
      <c r="O1226" s="1"/>
      <c r="P1226" s="1"/>
      <c r="Q1226" s="1"/>
      <c r="R1226" s="1"/>
      <c r="S1226" s="1"/>
    </row>
    <row r="1227" spans="1:19" x14ac:dyDescent="0.2">
      <c r="A1227" s="1"/>
      <c r="B1227" s="1"/>
      <c r="C1227" s="1"/>
      <c r="D1227" s="1"/>
      <c r="E1227" s="1"/>
      <c r="F1227" s="1"/>
      <c r="H1227" s="1"/>
      <c r="I1227" s="1"/>
      <c r="J1227" s="1"/>
      <c r="K1227" s="1"/>
      <c r="L1227" s="1"/>
      <c r="M1227" s="1"/>
      <c r="N1227" s="1"/>
      <c r="O1227" s="1"/>
      <c r="P1227" s="1"/>
      <c r="Q1227" s="1"/>
      <c r="R1227" s="1"/>
      <c r="S1227" s="1"/>
    </row>
    <row r="1228" spans="1:19" x14ac:dyDescent="0.2">
      <c r="A1228" s="1"/>
      <c r="B1228" s="1"/>
      <c r="C1228" s="1"/>
      <c r="D1228" s="1"/>
      <c r="E1228" s="1"/>
      <c r="F1228" s="1"/>
      <c r="H1228" s="1"/>
      <c r="I1228" s="1"/>
      <c r="J1228" s="1"/>
      <c r="K1228" s="1"/>
      <c r="L1228" s="1"/>
      <c r="M1228" s="1"/>
      <c r="N1228" s="1"/>
      <c r="O1228" s="1"/>
      <c r="P1228" s="1"/>
      <c r="Q1228" s="1"/>
      <c r="R1228" s="1"/>
      <c r="S1228" s="1"/>
    </row>
    <row r="1229" spans="1:19" x14ac:dyDescent="0.2">
      <c r="A1229" s="1"/>
      <c r="B1229" s="1"/>
      <c r="C1229" s="1"/>
      <c r="D1229" s="1"/>
      <c r="E1229" s="1"/>
      <c r="F1229" s="1"/>
      <c r="H1229" s="1"/>
      <c r="I1229" s="1"/>
      <c r="J1229" s="1"/>
      <c r="K1229" s="1"/>
      <c r="L1229" s="1"/>
      <c r="M1229" s="1"/>
      <c r="N1229" s="1"/>
      <c r="O1229" s="1"/>
      <c r="P1229" s="1"/>
      <c r="Q1229" s="1"/>
      <c r="R1229" s="1"/>
      <c r="S1229" s="1"/>
    </row>
    <row r="1230" spans="1:19" x14ac:dyDescent="0.2">
      <c r="A1230" s="1"/>
      <c r="B1230" s="1"/>
      <c r="C1230" s="1"/>
      <c r="D1230" s="1"/>
      <c r="E1230" s="1"/>
      <c r="F1230" s="1"/>
      <c r="H1230" s="1"/>
      <c r="I1230" s="1"/>
      <c r="J1230" s="1"/>
      <c r="K1230" s="1"/>
      <c r="L1230" s="1"/>
      <c r="M1230" s="1"/>
      <c r="N1230" s="1"/>
      <c r="O1230" s="1"/>
      <c r="P1230" s="1"/>
      <c r="Q1230" s="1"/>
      <c r="R1230" s="1"/>
      <c r="S1230" s="1"/>
    </row>
    <row r="1231" spans="1:19" x14ac:dyDescent="0.2">
      <c r="A1231" s="1"/>
      <c r="B1231" s="1"/>
      <c r="C1231" s="1"/>
      <c r="D1231" s="1"/>
      <c r="E1231" s="1"/>
      <c r="F1231" s="1"/>
      <c r="H1231" s="1"/>
      <c r="I1231" s="1"/>
      <c r="J1231" s="1"/>
      <c r="K1231" s="1"/>
      <c r="L1231" s="1"/>
      <c r="M1231" s="1"/>
      <c r="N1231" s="1"/>
      <c r="O1231" s="1"/>
      <c r="P1231" s="1"/>
      <c r="Q1231" s="1"/>
      <c r="R1231" s="1"/>
      <c r="S1231" s="1"/>
    </row>
    <row r="1232" spans="1:19" x14ac:dyDescent="0.2">
      <c r="A1232" s="1"/>
      <c r="B1232" s="1"/>
      <c r="C1232" s="1"/>
      <c r="D1232" s="1"/>
      <c r="E1232" s="1"/>
      <c r="F1232" s="1"/>
      <c r="H1232" s="1"/>
      <c r="I1232" s="1"/>
      <c r="J1232" s="1"/>
      <c r="K1232" s="1"/>
      <c r="L1232" s="1"/>
      <c r="M1232" s="1"/>
      <c r="N1232" s="1"/>
      <c r="O1232" s="1"/>
      <c r="P1232" s="1"/>
      <c r="Q1232" s="1"/>
      <c r="R1232" s="1"/>
      <c r="S1232" s="1"/>
    </row>
    <row r="1233" spans="1:19" x14ac:dyDescent="0.2">
      <c r="A1233" s="1"/>
      <c r="B1233" s="1"/>
      <c r="C1233" s="1"/>
      <c r="D1233" s="1"/>
      <c r="E1233" s="1"/>
      <c r="F1233" s="1"/>
      <c r="H1233" s="1"/>
      <c r="I1233" s="1"/>
      <c r="J1233" s="1"/>
      <c r="K1233" s="1"/>
      <c r="L1233" s="1"/>
      <c r="M1233" s="1"/>
      <c r="N1233" s="1"/>
      <c r="O1233" s="1"/>
      <c r="P1233" s="1"/>
      <c r="Q1233" s="1"/>
      <c r="R1233" s="1"/>
      <c r="S1233" s="1"/>
    </row>
    <row r="1234" spans="1:19" x14ac:dyDescent="0.2">
      <c r="A1234" s="1"/>
      <c r="B1234" s="1"/>
      <c r="C1234" s="1"/>
      <c r="D1234" s="1"/>
      <c r="E1234" s="1"/>
      <c r="F1234" s="1"/>
      <c r="H1234" s="1"/>
      <c r="I1234" s="1"/>
      <c r="J1234" s="1"/>
      <c r="K1234" s="1"/>
      <c r="L1234" s="1"/>
      <c r="M1234" s="1"/>
      <c r="N1234" s="1"/>
      <c r="O1234" s="1"/>
      <c r="P1234" s="1"/>
      <c r="Q1234" s="1"/>
      <c r="R1234" s="1"/>
      <c r="S1234" s="1"/>
    </row>
    <row r="1235" spans="1:19" x14ac:dyDescent="0.2">
      <c r="A1235" s="1"/>
      <c r="B1235" s="1"/>
      <c r="C1235" s="1"/>
      <c r="D1235" s="1"/>
      <c r="E1235" s="1"/>
      <c r="F1235" s="1"/>
      <c r="H1235" s="1"/>
      <c r="I1235" s="1"/>
      <c r="J1235" s="1"/>
      <c r="K1235" s="1"/>
      <c r="L1235" s="1"/>
      <c r="M1235" s="1"/>
      <c r="N1235" s="1"/>
      <c r="O1235" s="1"/>
      <c r="P1235" s="1"/>
      <c r="Q1235" s="1"/>
      <c r="R1235" s="1"/>
      <c r="S1235" s="1"/>
    </row>
    <row r="1236" spans="1:19" x14ac:dyDescent="0.2">
      <c r="A1236" s="1"/>
      <c r="B1236" s="1"/>
      <c r="C1236" s="1"/>
      <c r="D1236" s="1"/>
      <c r="E1236" s="1"/>
      <c r="F1236" s="1"/>
      <c r="H1236" s="1"/>
      <c r="I1236" s="1"/>
      <c r="J1236" s="1"/>
      <c r="K1236" s="1"/>
      <c r="L1236" s="1"/>
      <c r="M1236" s="1"/>
      <c r="N1236" s="1"/>
      <c r="O1236" s="1"/>
      <c r="P1236" s="1"/>
      <c r="Q1236" s="1"/>
      <c r="R1236" s="1"/>
      <c r="S1236" s="1"/>
    </row>
    <row r="1237" spans="1:19" x14ac:dyDescent="0.2">
      <c r="A1237" s="1"/>
      <c r="B1237" s="1"/>
      <c r="C1237" s="1"/>
      <c r="D1237" s="1"/>
      <c r="E1237" s="1"/>
      <c r="F1237" s="1"/>
      <c r="H1237" s="1"/>
      <c r="I1237" s="1"/>
      <c r="J1237" s="1"/>
      <c r="K1237" s="1"/>
      <c r="L1237" s="1"/>
      <c r="M1237" s="1"/>
      <c r="N1237" s="1"/>
      <c r="O1237" s="1"/>
      <c r="P1237" s="1"/>
      <c r="Q1237" s="1"/>
      <c r="R1237" s="1"/>
      <c r="S1237" s="1"/>
    </row>
    <row r="1238" spans="1:19" x14ac:dyDescent="0.2">
      <c r="A1238" s="1"/>
      <c r="B1238" s="1"/>
      <c r="C1238" s="1"/>
      <c r="D1238" s="1"/>
      <c r="E1238" s="1"/>
      <c r="F1238" s="1"/>
      <c r="H1238" s="1"/>
      <c r="I1238" s="1"/>
      <c r="J1238" s="1"/>
      <c r="K1238" s="1"/>
      <c r="L1238" s="1"/>
      <c r="M1238" s="1"/>
      <c r="N1238" s="1"/>
      <c r="O1238" s="1"/>
      <c r="P1238" s="1"/>
      <c r="Q1238" s="1"/>
      <c r="R1238" s="1"/>
      <c r="S1238" s="1"/>
    </row>
    <row r="1239" spans="1:19" x14ac:dyDescent="0.2">
      <c r="A1239" s="1"/>
      <c r="B1239" s="1"/>
      <c r="C1239" s="1"/>
      <c r="D1239" s="1"/>
      <c r="E1239" s="1"/>
      <c r="F1239" s="1"/>
      <c r="H1239" s="1"/>
      <c r="I1239" s="1"/>
      <c r="J1239" s="1"/>
      <c r="K1239" s="1"/>
      <c r="L1239" s="1"/>
      <c r="M1239" s="1"/>
      <c r="N1239" s="1"/>
      <c r="O1239" s="1"/>
      <c r="P1239" s="1"/>
      <c r="Q1239" s="1"/>
      <c r="R1239" s="1"/>
      <c r="S1239" s="1"/>
    </row>
    <row r="1240" spans="1:19" x14ac:dyDescent="0.2">
      <c r="A1240" s="1"/>
      <c r="B1240" s="1"/>
      <c r="C1240" s="1"/>
      <c r="D1240" s="1"/>
      <c r="E1240" s="1"/>
      <c r="F1240" s="1"/>
      <c r="H1240" s="1"/>
      <c r="I1240" s="1"/>
      <c r="J1240" s="1"/>
      <c r="K1240" s="1"/>
      <c r="L1240" s="1"/>
      <c r="M1240" s="1"/>
      <c r="N1240" s="1"/>
      <c r="O1240" s="1"/>
      <c r="P1240" s="1"/>
      <c r="Q1240" s="1"/>
      <c r="R1240" s="1"/>
      <c r="S1240" s="1"/>
    </row>
    <row r="1241" spans="1:19" x14ac:dyDescent="0.2">
      <c r="A1241" s="1"/>
      <c r="B1241" s="1"/>
      <c r="C1241" s="1"/>
      <c r="D1241" s="1"/>
      <c r="E1241" s="1"/>
      <c r="F1241" s="1"/>
      <c r="H1241" s="1"/>
      <c r="I1241" s="1"/>
      <c r="J1241" s="1"/>
      <c r="K1241" s="1"/>
      <c r="L1241" s="1"/>
      <c r="M1241" s="1"/>
      <c r="N1241" s="1"/>
      <c r="O1241" s="1"/>
      <c r="P1241" s="1"/>
      <c r="Q1241" s="1"/>
      <c r="R1241" s="1"/>
      <c r="S1241" s="1"/>
    </row>
    <row r="1242" spans="1:19" x14ac:dyDescent="0.2">
      <c r="A1242" s="1"/>
      <c r="B1242" s="1"/>
      <c r="C1242" s="1"/>
      <c r="D1242" s="1"/>
      <c r="E1242" s="1"/>
      <c r="F1242" s="1"/>
      <c r="H1242" s="1"/>
      <c r="I1242" s="1"/>
      <c r="J1242" s="1"/>
      <c r="K1242" s="1"/>
      <c r="L1242" s="1"/>
      <c r="M1242" s="1"/>
      <c r="N1242" s="1"/>
      <c r="O1242" s="1"/>
      <c r="P1242" s="1"/>
      <c r="Q1242" s="1"/>
      <c r="R1242" s="1"/>
      <c r="S1242" s="1"/>
    </row>
    <row r="1243" spans="1:19" x14ac:dyDescent="0.2">
      <c r="A1243" s="1"/>
      <c r="B1243" s="1"/>
      <c r="C1243" s="1"/>
      <c r="D1243" s="1"/>
      <c r="E1243" s="1"/>
      <c r="F1243" s="1"/>
      <c r="H1243" s="1"/>
      <c r="I1243" s="1"/>
      <c r="J1243" s="1"/>
      <c r="K1243" s="1"/>
      <c r="L1243" s="1"/>
      <c r="M1243" s="1"/>
      <c r="N1243" s="1"/>
      <c r="O1243" s="1"/>
      <c r="P1243" s="1"/>
      <c r="Q1243" s="1"/>
      <c r="R1243" s="1"/>
      <c r="S1243" s="1"/>
    </row>
    <row r="1244" spans="1:19" x14ac:dyDescent="0.2">
      <c r="A1244" s="1"/>
      <c r="B1244" s="1"/>
      <c r="C1244" s="1"/>
      <c r="D1244" s="1"/>
      <c r="E1244" s="1"/>
      <c r="F1244" s="1"/>
      <c r="H1244" s="1"/>
      <c r="I1244" s="1"/>
      <c r="J1244" s="1"/>
      <c r="K1244" s="1"/>
      <c r="L1244" s="1"/>
      <c r="M1244" s="1"/>
      <c r="N1244" s="1"/>
      <c r="O1244" s="1"/>
      <c r="P1244" s="1"/>
      <c r="Q1244" s="1"/>
      <c r="R1244" s="1"/>
      <c r="S1244" s="1"/>
    </row>
    <row r="1245" spans="1:19" x14ac:dyDescent="0.2">
      <c r="A1245" s="1"/>
      <c r="B1245" s="1"/>
      <c r="C1245" s="1"/>
      <c r="D1245" s="1"/>
      <c r="E1245" s="1"/>
      <c r="F1245" s="1"/>
      <c r="H1245" s="1"/>
      <c r="I1245" s="1"/>
      <c r="J1245" s="1"/>
      <c r="K1245" s="1"/>
      <c r="L1245" s="1"/>
      <c r="M1245" s="1"/>
      <c r="N1245" s="1"/>
      <c r="O1245" s="1"/>
      <c r="P1245" s="1"/>
      <c r="Q1245" s="1"/>
      <c r="R1245" s="1"/>
      <c r="S1245" s="1"/>
    </row>
    <row r="1246" spans="1:19" x14ac:dyDescent="0.2">
      <c r="A1246" s="1"/>
      <c r="B1246" s="1"/>
      <c r="C1246" s="1"/>
      <c r="D1246" s="1"/>
      <c r="E1246" s="1"/>
      <c r="F1246" s="1"/>
      <c r="H1246" s="1"/>
      <c r="I1246" s="1"/>
      <c r="J1246" s="1"/>
      <c r="K1246" s="1"/>
      <c r="L1246" s="1"/>
      <c r="M1246" s="1"/>
      <c r="N1246" s="1"/>
      <c r="O1246" s="1"/>
      <c r="P1246" s="1"/>
      <c r="Q1246" s="1"/>
      <c r="R1246" s="1"/>
      <c r="S1246" s="1"/>
    </row>
    <row r="1247" spans="1:19" x14ac:dyDescent="0.2">
      <c r="A1247" s="1"/>
      <c r="B1247" s="1"/>
      <c r="C1247" s="1"/>
      <c r="D1247" s="1"/>
      <c r="E1247" s="1"/>
      <c r="F1247" s="1"/>
      <c r="H1247" s="1"/>
      <c r="I1247" s="1"/>
      <c r="J1247" s="1"/>
      <c r="K1247" s="1"/>
      <c r="L1247" s="1"/>
      <c r="M1247" s="1"/>
      <c r="N1247" s="1"/>
      <c r="O1247" s="1"/>
      <c r="P1247" s="1"/>
      <c r="Q1247" s="1"/>
      <c r="R1247" s="1"/>
      <c r="S1247" s="1"/>
    </row>
    <row r="1248" spans="1:19" x14ac:dyDescent="0.2">
      <c r="A1248" s="1"/>
      <c r="B1248" s="1"/>
      <c r="C1248" s="1"/>
      <c r="D1248" s="1"/>
      <c r="E1248" s="1"/>
      <c r="F1248" s="1"/>
      <c r="H1248" s="1"/>
      <c r="I1248" s="1"/>
      <c r="J1248" s="1"/>
      <c r="K1248" s="1"/>
      <c r="L1248" s="1"/>
      <c r="M1248" s="1"/>
      <c r="N1248" s="1"/>
      <c r="O1248" s="1"/>
      <c r="P1248" s="1"/>
      <c r="Q1248" s="1"/>
      <c r="R1248" s="1"/>
      <c r="S1248" s="1"/>
    </row>
    <row r="1249" spans="1:19" x14ac:dyDescent="0.2">
      <c r="A1249" s="1"/>
      <c r="B1249" s="1"/>
      <c r="C1249" s="1"/>
      <c r="D1249" s="1"/>
      <c r="E1249" s="1"/>
      <c r="F1249" s="1"/>
      <c r="H1249" s="1"/>
      <c r="I1249" s="1"/>
      <c r="J1249" s="1"/>
      <c r="K1249" s="1"/>
      <c r="L1249" s="1"/>
      <c r="M1249" s="1"/>
      <c r="N1249" s="1"/>
      <c r="O1249" s="1"/>
      <c r="P1249" s="1"/>
      <c r="Q1249" s="1"/>
      <c r="R1249" s="1"/>
      <c r="S1249" s="1"/>
    </row>
    <row r="1250" spans="1:19" x14ac:dyDescent="0.2">
      <c r="A1250" s="1"/>
      <c r="B1250" s="1"/>
      <c r="C1250" s="1"/>
      <c r="D1250" s="1"/>
      <c r="E1250" s="1"/>
      <c r="F1250" s="1"/>
      <c r="H1250" s="1"/>
      <c r="I1250" s="1"/>
      <c r="J1250" s="1"/>
      <c r="K1250" s="1"/>
      <c r="L1250" s="1"/>
      <c r="M1250" s="1"/>
      <c r="N1250" s="1"/>
      <c r="O1250" s="1"/>
      <c r="P1250" s="1"/>
      <c r="Q1250" s="1"/>
      <c r="R1250" s="1"/>
      <c r="S1250" s="1"/>
    </row>
    <row r="1251" spans="1:19" x14ac:dyDescent="0.2">
      <c r="A1251" s="1"/>
      <c r="B1251" s="1"/>
      <c r="C1251" s="1"/>
      <c r="D1251" s="1"/>
      <c r="E1251" s="1"/>
      <c r="F1251" s="1"/>
      <c r="H1251" s="1"/>
      <c r="I1251" s="1"/>
      <c r="J1251" s="1"/>
      <c r="K1251" s="1"/>
      <c r="L1251" s="1"/>
      <c r="M1251" s="1"/>
      <c r="N1251" s="1"/>
      <c r="O1251" s="1"/>
      <c r="P1251" s="1"/>
      <c r="Q1251" s="1"/>
      <c r="R1251" s="1"/>
      <c r="S1251" s="1"/>
    </row>
    <row r="1252" spans="1:19" x14ac:dyDescent="0.2">
      <c r="A1252" s="1"/>
      <c r="B1252" s="1"/>
      <c r="C1252" s="1"/>
      <c r="D1252" s="1"/>
      <c r="E1252" s="1"/>
      <c r="F1252" s="1"/>
      <c r="H1252" s="1"/>
      <c r="I1252" s="1"/>
      <c r="J1252" s="1"/>
      <c r="K1252" s="1"/>
      <c r="L1252" s="1"/>
      <c r="M1252" s="1"/>
      <c r="N1252" s="1"/>
      <c r="O1252" s="1"/>
      <c r="P1252" s="1"/>
      <c r="Q1252" s="1"/>
      <c r="R1252" s="1"/>
      <c r="S1252" s="1"/>
    </row>
    <row r="1253" spans="1:19" x14ac:dyDescent="0.2">
      <c r="A1253" s="1"/>
      <c r="B1253" s="1"/>
      <c r="C1253" s="1"/>
      <c r="D1253" s="1"/>
      <c r="E1253" s="1"/>
      <c r="F1253" s="1"/>
      <c r="H1253" s="1"/>
      <c r="I1253" s="1"/>
      <c r="J1253" s="1"/>
      <c r="K1253" s="1"/>
      <c r="L1253" s="1"/>
      <c r="M1253" s="1"/>
      <c r="N1253" s="1"/>
      <c r="O1253" s="1"/>
      <c r="P1253" s="1"/>
      <c r="Q1253" s="1"/>
      <c r="R1253" s="1"/>
      <c r="S1253" s="1"/>
    </row>
    <row r="1254" spans="1:19" x14ac:dyDescent="0.2">
      <c r="A1254" s="1"/>
      <c r="B1254" s="1"/>
      <c r="C1254" s="1"/>
      <c r="D1254" s="1"/>
      <c r="E1254" s="1"/>
      <c r="F1254" s="1"/>
      <c r="H1254" s="1"/>
      <c r="I1254" s="1"/>
      <c r="J1254" s="1"/>
      <c r="K1254" s="1"/>
      <c r="L1254" s="1"/>
      <c r="M1254" s="1"/>
      <c r="N1254" s="1"/>
      <c r="O1254" s="1"/>
      <c r="P1254" s="1"/>
      <c r="Q1254" s="1"/>
      <c r="R1254" s="1"/>
      <c r="S1254" s="1"/>
    </row>
    <row r="1255" spans="1:19" x14ac:dyDescent="0.2">
      <c r="A1255" s="1"/>
      <c r="B1255" s="1"/>
      <c r="C1255" s="1"/>
      <c r="D1255" s="1"/>
      <c r="E1255" s="1"/>
      <c r="F1255" s="1"/>
      <c r="H1255" s="1"/>
      <c r="I1255" s="1"/>
      <c r="J1255" s="1"/>
      <c r="K1255" s="1"/>
      <c r="L1255" s="1"/>
      <c r="M1255" s="1"/>
      <c r="N1255" s="1"/>
      <c r="O1255" s="1"/>
      <c r="P1255" s="1"/>
      <c r="Q1255" s="1"/>
      <c r="R1255" s="1"/>
      <c r="S1255" s="1"/>
    </row>
    <row r="1256" spans="1:19" x14ac:dyDescent="0.2">
      <c r="A1256" s="1"/>
      <c r="B1256" s="1"/>
      <c r="C1256" s="1"/>
      <c r="D1256" s="1"/>
      <c r="E1256" s="1"/>
      <c r="F1256" s="1"/>
      <c r="H1256" s="1"/>
      <c r="I1256" s="1"/>
      <c r="J1256" s="1"/>
      <c r="K1256" s="1"/>
      <c r="L1256" s="1"/>
      <c r="M1256" s="1"/>
      <c r="N1256" s="1"/>
      <c r="O1256" s="1"/>
      <c r="P1256" s="1"/>
      <c r="Q1256" s="1"/>
      <c r="R1256" s="1"/>
      <c r="S1256" s="1"/>
    </row>
    <row r="1257" spans="1:19" x14ac:dyDescent="0.2">
      <c r="A1257" s="1"/>
      <c r="B1257" s="1"/>
      <c r="C1257" s="1"/>
      <c r="D1257" s="1"/>
      <c r="E1257" s="1"/>
      <c r="F1257" s="1"/>
      <c r="H1257" s="1"/>
      <c r="I1257" s="1"/>
      <c r="J1257" s="1"/>
      <c r="K1257" s="1"/>
      <c r="L1257" s="1"/>
      <c r="M1257" s="1"/>
      <c r="N1257" s="1"/>
      <c r="O1257" s="1"/>
      <c r="P1257" s="1"/>
      <c r="Q1257" s="1"/>
      <c r="R1257" s="1"/>
      <c r="S1257" s="1"/>
    </row>
    <row r="1258" spans="1:19" x14ac:dyDescent="0.2">
      <c r="A1258" s="1"/>
      <c r="B1258" s="1"/>
      <c r="C1258" s="1"/>
      <c r="D1258" s="1"/>
      <c r="E1258" s="1"/>
      <c r="F1258" s="1"/>
      <c r="H1258" s="1"/>
      <c r="I1258" s="1"/>
      <c r="J1258" s="1"/>
      <c r="K1258" s="1"/>
      <c r="L1258" s="1"/>
      <c r="M1258" s="1"/>
      <c r="N1258" s="1"/>
      <c r="O1258" s="1"/>
      <c r="P1258" s="1"/>
      <c r="Q1258" s="1"/>
      <c r="R1258" s="1"/>
      <c r="S1258" s="1"/>
    </row>
    <row r="1259" spans="1:19" x14ac:dyDescent="0.2">
      <c r="A1259" s="1"/>
      <c r="B1259" s="1"/>
      <c r="C1259" s="1"/>
      <c r="D1259" s="1"/>
      <c r="E1259" s="1"/>
      <c r="F1259" s="1"/>
      <c r="H1259" s="1"/>
      <c r="I1259" s="1"/>
      <c r="J1259" s="1"/>
      <c r="K1259" s="1"/>
      <c r="L1259" s="1"/>
      <c r="M1259" s="1"/>
      <c r="N1259" s="1"/>
      <c r="O1259" s="1"/>
      <c r="P1259" s="1"/>
      <c r="Q1259" s="1"/>
      <c r="R1259" s="1"/>
      <c r="S1259" s="1"/>
    </row>
    <row r="1260" spans="1:19" x14ac:dyDescent="0.2">
      <c r="A1260" s="1"/>
      <c r="B1260" s="1"/>
      <c r="C1260" s="1"/>
      <c r="D1260" s="1"/>
      <c r="E1260" s="1"/>
      <c r="F1260" s="1"/>
      <c r="H1260" s="1"/>
      <c r="I1260" s="1"/>
      <c r="J1260" s="1"/>
      <c r="K1260" s="1"/>
      <c r="L1260" s="1"/>
      <c r="M1260" s="1"/>
      <c r="N1260" s="1"/>
      <c r="O1260" s="1"/>
      <c r="P1260" s="1"/>
      <c r="Q1260" s="1"/>
      <c r="R1260" s="1"/>
      <c r="S1260" s="1"/>
    </row>
    <row r="1261" spans="1:19" x14ac:dyDescent="0.2">
      <c r="A1261" s="1"/>
      <c r="B1261" s="1"/>
      <c r="C1261" s="1"/>
      <c r="D1261" s="1"/>
      <c r="E1261" s="1"/>
      <c r="F1261" s="1"/>
      <c r="H1261" s="1"/>
      <c r="I1261" s="1"/>
      <c r="J1261" s="1"/>
      <c r="K1261" s="1"/>
      <c r="L1261" s="1"/>
      <c r="M1261" s="1"/>
      <c r="N1261" s="1"/>
      <c r="O1261" s="1"/>
      <c r="P1261" s="1"/>
      <c r="Q1261" s="1"/>
      <c r="R1261" s="1"/>
      <c r="S1261" s="1"/>
    </row>
    <row r="1262" spans="1:19" x14ac:dyDescent="0.2">
      <c r="A1262" s="1"/>
      <c r="B1262" s="1"/>
      <c r="C1262" s="1"/>
      <c r="D1262" s="1"/>
      <c r="E1262" s="1"/>
      <c r="F1262" s="1"/>
      <c r="H1262" s="1"/>
      <c r="I1262" s="1"/>
      <c r="J1262" s="1"/>
      <c r="K1262" s="1"/>
      <c r="L1262" s="1"/>
      <c r="M1262" s="1"/>
      <c r="N1262" s="1"/>
      <c r="O1262" s="1"/>
      <c r="P1262" s="1"/>
      <c r="Q1262" s="1"/>
      <c r="R1262" s="1"/>
      <c r="S1262" s="1"/>
    </row>
    <row r="1263" spans="1:19" x14ac:dyDescent="0.2">
      <c r="A1263" s="1"/>
      <c r="B1263" s="1"/>
      <c r="C1263" s="1"/>
      <c r="D1263" s="1"/>
      <c r="E1263" s="1"/>
      <c r="F1263" s="1"/>
      <c r="H1263" s="1"/>
      <c r="I1263" s="1"/>
      <c r="J1263" s="1"/>
      <c r="K1263" s="1"/>
      <c r="L1263" s="1"/>
      <c r="M1263" s="1"/>
      <c r="N1263" s="1"/>
      <c r="O1263" s="1"/>
      <c r="P1263" s="1"/>
      <c r="Q1263" s="1"/>
      <c r="R1263" s="1"/>
      <c r="S1263" s="1"/>
    </row>
    <row r="1264" spans="1:19" x14ac:dyDescent="0.2">
      <c r="A1264" s="1"/>
      <c r="B1264" s="1"/>
      <c r="C1264" s="1"/>
      <c r="D1264" s="1"/>
      <c r="E1264" s="1"/>
      <c r="F1264" s="1"/>
      <c r="H1264" s="1"/>
      <c r="I1264" s="1"/>
      <c r="J1264" s="1"/>
      <c r="K1264" s="1"/>
      <c r="L1264" s="1"/>
      <c r="M1264" s="1"/>
      <c r="N1264" s="1"/>
      <c r="O1264" s="1"/>
      <c r="P1264" s="1"/>
      <c r="Q1264" s="1"/>
      <c r="R1264" s="1"/>
      <c r="S1264" s="1"/>
    </row>
    <row r="1265" spans="1:19" x14ac:dyDescent="0.2">
      <c r="A1265" s="1"/>
      <c r="B1265" s="1"/>
      <c r="C1265" s="1"/>
      <c r="D1265" s="1"/>
      <c r="E1265" s="1"/>
      <c r="F1265" s="1"/>
      <c r="H1265" s="1"/>
      <c r="I1265" s="1"/>
      <c r="J1265" s="1"/>
      <c r="K1265" s="1"/>
      <c r="L1265" s="1"/>
      <c r="M1265" s="1"/>
      <c r="N1265" s="1"/>
      <c r="O1265" s="1"/>
      <c r="P1265" s="1"/>
      <c r="Q1265" s="1"/>
      <c r="R1265" s="1"/>
      <c r="S1265" s="1"/>
    </row>
    <row r="1266" spans="1:19" x14ac:dyDescent="0.2">
      <c r="A1266" s="1"/>
      <c r="B1266" s="1"/>
      <c r="C1266" s="1"/>
      <c r="D1266" s="1"/>
      <c r="E1266" s="1"/>
      <c r="F1266" s="1"/>
      <c r="H1266" s="1"/>
      <c r="I1266" s="1"/>
      <c r="J1266" s="1"/>
      <c r="K1266" s="1"/>
      <c r="L1266" s="1"/>
      <c r="M1266" s="1"/>
      <c r="N1266" s="1"/>
      <c r="O1266" s="1"/>
      <c r="P1266" s="1"/>
      <c r="Q1266" s="1"/>
      <c r="R1266" s="1"/>
      <c r="S1266" s="1"/>
    </row>
    <row r="1267" spans="1:19" x14ac:dyDescent="0.2">
      <c r="A1267" s="1"/>
      <c r="B1267" s="1"/>
      <c r="C1267" s="1"/>
      <c r="D1267" s="1"/>
      <c r="E1267" s="1"/>
      <c r="F1267" s="1"/>
      <c r="H1267" s="1"/>
      <c r="I1267" s="1"/>
      <c r="J1267" s="1"/>
      <c r="K1267" s="1"/>
      <c r="L1267" s="1"/>
      <c r="M1267" s="1"/>
      <c r="N1267" s="1"/>
      <c r="O1267" s="1"/>
      <c r="P1267" s="1"/>
      <c r="Q1267" s="1"/>
      <c r="R1267" s="1"/>
      <c r="S1267" s="1"/>
    </row>
    <row r="1268" spans="1:19" x14ac:dyDescent="0.2">
      <c r="A1268" s="1"/>
      <c r="B1268" s="1"/>
      <c r="C1268" s="1"/>
      <c r="D1268" s="1"/>
      <c r="E1268" s="1"/>
      <c r="F1268" s="1"/>
      <c r="H1268" s="1"/>
      <c r="I1268" s="1"/>
      <c r="J1268" s="1"/>
      <c r="K1268" s="1"/>
      <c r="L1268" s="1"/>
      <c r="M1268" s="1"/>
      <c r="N1268" s="1"/>
      <c r="O1268" s="1"/>
      <c r="P1268" s="1"/>
      <c r="Q1268" s="1"/>
      <c r="R1268" s="1"/>
      <c r="S1268" s="1"/>
    </row>
    <row r="1269" spans="1:19" x14ac:dyDescent="0.2">
      <c r="A1269" s="1"/>
      <c r="B1269" s="1"/>
      <c r="C1269" s="1"/>
      <c r="D1269" s="1"/>
      <c r="E1269" s="1"/>
      <c r="F1269" s="1"/>
      <c r="H1269" s="1"/>
      <c r="I1269" s="1"/>
      <c r="J1269" s="1"/>
      <c r="K1269" s="1"/>
      <c r="L1269" s="1"/>
      <c r="M1269" s="1"/>
      <c r="N1269" s="1"/>
      <c r="O1269" s="1"/>
      <c r="P1269" s="1"/>
      <c r="Q1269" s="1"/>
      <c r="R1269" s="1"/>
      <c r="S1269" s="1"/>
    </row>
    <row r="1270" spans="1:19" x14ac:dyDescent="0.2">
      <c r="A1270" s="1"/>
      <c r="B1270" s="1"/>
      <c r="C1270" s="1"/>
      <c r="D1270" s="1"/>
      <c r="E1270" s="1"/>
      <c r="F1270" s="1"/>
      <c r="H1270" s="1"/>
      <c r="I1270" s="1"/>
      <c r="J1270" s="1"/>
      <c r="K1270" s="1"/>
      <c r="L1270" s="1"/>
      <c r="M1270" s="1"/>
      <c r="N1270" s="1"/>
      <c r="O1270" s="1"/>
      <c r="P1270" s="1"/>
      <c r="Q1270" s="1"/>
      <c r="R1270" s="1"/>
      <c r="S1270" s="1"/>
    </row>
    <row r="1271" spans="1:19" x14ac:dyDescent="0.2">
      <c r="A1271" s="1"/>
      <c r="B1271" s="1"/>
      <c r="C1271" s="1"/>
      <c r="D1271" s="1"/>
      <c r="E1271" s="1"/>
      <c r="F1271" s="1"/>
      <c r="H1271" s="1"/>
      <c r="I1271" s="1"/>
      <c r="J1271" s="1"/>
      <c r="K1271" s="1"/>
      <c r="L1271" s="1"/>
      <c r="M1271" s="1"/>
      <c r="N1271" s="1"/>
      <c r="O1271" s="1"/>
      <c r="P1271" s="1"/>
      <c r="Q1271" s="1"/>
      <c r="R1271" s="1"/>
      <c r="S1271" s="1"/>
    </row>
    <row r="1272" spans="1:19" x14ac:dyDescent="0.2">
      <c r="A1272" s="1"/>
      <c r="B1272" s="1"/>
      <c r="C1272" s="1"/>
      <c r="D1272" s="1"/>
      <c r="E1272" s="1"/>
      <c r="F1272" s="1"/>
      <c r="H1272" s="1"/>
      <c r="I1272" s="1"/>
      <c r="J1272" s="1"/>
      <c r="K1272" s="1"/>
      <c r="L1272" s="1"/>
      <c r="M1272" s="1"/>
      <c r="N1272" s="1"/>
      <c r="O1272" s="1"/>
      <c r="P1272" s="1"/>
      <c r="Q1272" s="1"/>
      <c r="R1272" s="1"/>
      <c r="S1272" s="1"/>
    </row>
    <row r="1273" spans="1:19" x14ac:dyDescent="0.2">
      <c r="A1273" s="1"/>
      <c r="B1273" s="1"/>
      <c r="C1273" s="1"/>
      <c r="D1273" s="1"/>
      <c r="E1273" s="1"/>
      <c r="F1273" s="1"/>
      <c r="H1273" s="1"/>
      <c r="I1273" s="1"/>
      <c r="J1273" s="1"/>
      <c r="K1273" s="1"/>
      <c r="L1273" s="1"/>
      <c r="M1273" s="1"/>
      <c r="N1273" s="1"/>
      <c r="O1273" s="1"/>
      <c r="P1273" s="1"/>
      <c r="Q1273" s="1"/>
      <c r="R1273" s="1"/>
      <c r="S1273" s="1"/>
    </row>
    <row r="1274" spans="1:19" x14ac:dyDescent="0.2">
      <c r="A1274" s="1"/>
      <c r="B1274" s="1"/>
      <c r="C1274" s="1"/>
      <c r="D1274" s="1"/>
      <c r="E1274" s="1"/>
      <c r="F1274" s="1"/>
      <c r="H1274" s="1"/>
      <c r="I1274" s="1"/>
      <c r="J1274" s="1"/>
      <c r="K1274" s="1"/>
      <c r="L1274" s="1"/>
      <c r="M1274" s="1"/>
      <c r="N1274" s="1"/>
      <c r="O1274" s="1"/>
      <c r="P1274" s="1"/>
      <c r="Q1274" s="1"/>
      <c r="R1274" s="1"/>
      <c r="S1274" s="1"/>
    </row>
    <row r="1275" spans="1:19" x14ac:dyDescent="0.2">
      <c r="A1275" s="1"/>
      <c r="B1275" s="1"/>
      <c r="C1275" s="1"/>
      <c r="D1275" s="1"/>
      <c r="E1275" s="1"/>
      <c r="F1275" s="1"/>
      <c r="H1275" s="1"/>
      <c r="I1275" s="1"/>
      <c r="J1275" s="1"/>
      <c r="K1275" s="1"/>
      <c r="L1275" s="1"/>
      <c r="M1275" s="1"/>
      <c r="N1275" s="1"/>
      <c r="O1275" s="1"/>
      <c r="P1275" s="1"/>
      <c r="Q1275" s="1"/>
      <c r="R1275" s="1"/>
      <c r="S1275" s="1"/>
    </row>
    <row r="1276" spans="1:19" x14ac:dyDescent="0.2">
      <c r="A1276" s="1"/>
      <c r="B1276" s="1"/>
      <c r="C1276" s="1"/>
      <c r="D1276" s="1"/>
      <c r="E1276" s="1"/>
      <c r="F1276" s="1"/>
      <c r="H1276" s="1"/>
      <c r="I1276" s="1"/>
      <c r="J1276" s="1"/>
      <c r="K1276" s="1"/>
      <c r="L1276" s="1"/>
      <c r="M1276" s="1"/>
      <c r="N1276" s="1"/>
      <c r="O1276" s="1"/>
      <c r="P1276" s="1"/>
      <c r="Q1276" s="1"/>
      <c r="R1276" s="1"/>
      <c r="S1276" s="1"/>
    </row>
    <row r="1277" spans="1:19" x14ac:dyDescent="0.2">
      <c r="A1277" s="1"/>
      <c r="B1277" s="1"/>
      <c r="C1277" s="1"/>
      <c r="D1277" s="1"/>
      <c r="E1277" s="1"/>
      <c r="F1277" s="1"/>
      <c r="H1277" s="1"/>
      <c r="I1277" s="1"/>
      <c r="J1277" s="1"/>
      <c r="K1277" s="1"/>
      <c r="L1277" s="1"/>
      <c r="M1277" s="1"/>
      <c r="N1277" s="1"/>
      <c r="O1277" s="1"/>
      <c r="P1277" s="1"/>
      <c r="Q1277" s="1"/>
      <c r="R1277" s="1"/>
      <c r="S1277" s="1"/>
    </row>
    <row r="1278" spans="1:19" x14ac:dyDescent="0.2">
      <c r="A1278" s="1"/>
      <c r="B1278" s="1"/>
      <c r="C1278" s="1"/>
      <c r="D1278" s="1"/>
      <c r="E1278" s="1"/>
      <c r="F1278" s="1"/>
      <c r="H1278" s="1"/>
      <c r="I1278" s="1"/>
      <c r="J1278" s="1"/>
      <c r="K1278" s="1"/>
      <c r="L1278" s="1"/>
      <c r="M1278" s="1"/>
      <c r="N1278" s="1"/>
      <c r="O1278" s="1"/>
      <c r="P1278" s="1"/>
      <c r="Q1278" s="1"/>
      <c r="R1278" s="1"/>
      <c r="S1278" s="1"/>
    </row>
    <row r="1279" spans="1:19" x14ac:dyDescent="0.2">
      <c r="A1279" s="1"/>
      <c r="B1279" s="1"/>
      <c r="C1279" s="1"/>
      <c r="D1279" s="1"/>
      <c r="E1279" s="1"/>
      <c r="F1279" s="1"/>
      <c r="H1279" s="1"/>
      <c r="I1279" s="1"/>
      <c r="J1279" s="1"/>
      <c r="K1279" s="1"/>
      <c r="L1279" s="1"/>
      <c r="M1279" s="1"/>
      <c r="N1279" s="1"/>
      <c r="O1279" s="1"/>
      <c r="P1279" s="1"/>
      <c r="Q1279" s="1"/>
      <c r="R1279" s="1"/>
      <c r="S1279" s="1"/>
    </row>
    <row r="1280" spans="1:19" x14ac:dyDescent="0.2">
      <c r="A1280" s="1"/>
      <c r="B1280" s="1"/>
      <c r="C1280" s="1"/>
      <c r="D1280" s="1"/>
      <c r="E1280" s="1"/>
      <c r="F1280" s="1"/>
      <c r="H1280" s="1"/>
      <c r="I1280" s="1"/>
      <c r="J1280" s="1"/>
      <c r="K1280" s="1"/>
      <c r="L1280" s="1"/>
      <c r="M1280" s="1"/>
      <c r="N1280" s="1"/>
      <c r="O1280" s="1"/>
      <c r="P1280" s="1"/>
      <c r="Q1280" s="1"/>
      <c r="R1280" s="1"/>
      <c r="S1280" s="1"/>
    </row>
    <row r="1281" spans="1:19" x14ac:dyDescent="0.2">
      <c r="A1281" s="1"/>
      <c r="B1281" s="1"/>
      <c r="C1281" s="1"/>
      <c r="D1281" s="1"/>
      <c r="E1281" s="1"/>
      <c r="F1281" s="1"/>
      <c r="H1281" s="1"/>
      <c r="I1281" s="1"/>
      <c r="J1281" s="1"/>
      <c r="K1281" s="1"/>
      <c r="L1281" s="1"/>
      <c r="M1281" s="1"/>
      <c r="N1281" s="1"/>
      <c r="O1281" s="1"/>
      <c r="P1281" s="1"/>
      <c r="Q1281" s="1"/>
      <c r="R1281" s="1"/>
      <c r="S1281" s="1"/>
    </row>
    <row r="1282" spans="1:19" x14ac:dyDescent="0.2">
      <c r="A1282" s="1"/>
      <c r="B1282" s="1"/>
      <c r="C1282" s="1"/>
      <c r="D1282" s="1"/>
      <c r="E1282" s="1"/>
      <c r="F1282" s="1"/>
      <c r="H1282" s="1"/>
      <c r="I1282" s="1"/>
      <c r="J1282" s="1"/>
      <c r="K1282" s="1"/>
      <c r="L1282" s="1"/>
      <c r="M1282" s="1"/>
      <c r="N1282" s="1"/>
      <c r="O1282" s="1"/>
      <c r="P1282" s="1"/>
      <c r="Q1282" s="1"/>
      <c r="R1282" s="1"/>
      <c r="S1282" s="1"/>
    </row>
    <row r="1283" spans="1:19" x14ac:dyDescent="0.2">
      <c r="A1283" s="1"/>
      <c r="B1283" s="1"/>
      <c r="C1283" s="1"/>
      <c r="D1283" s="1"/>
      <c r="E1283" s="1"/>
      <c r="F1283" s="1"/>
      <c r="H1283" s="1"/>
      <c r="I1283" s="1"/>
      <c r="J1283" s="1"/>
      <c r="K1283" s="1"/>
      <c r="L1283" s="1"/>
      <c r="M1283" s="1"/>
      <c r="N1283" s="1"/>
      <c r="O1283" s="1"/>
      <c r="P1283" s="1"/>
      <c r="Q1283" s="1"/>
      <c r="R1283" s="1"/>
      <c r="S1283" s="1"/>
    </row>
    <row r="1284" spans="1:19" x14ac:dyDescent="0.2">
      <c r="A1284" s="1"/>
      <c r="B1284" s="1"/>
      <c r="C1284" s="1"/>
      <c r="D1284" s="1"/>
      <c r="E1284" s="1"/>
      <c r="F1284" s="1"/>
      <c r="H1284" s="1"/>
      <c r="I1284" s="1"/>
      <c r="J1284" s="1"/>
      <c r="K1284" s="1"/>
      <c r="L1284" s="1"/>
      <c r="M1284" s="1"/>
      <c r="N1284" s="1"/>
      <c r="O1284" s="1"/>
      <c r="P1284" s="1"/>
      <c r="Q1284" s="1"/>
      <c r="R1284" s="1"/>
      <c r="S1284" s="1"/>
    </row>
    <row r="1285" spans="1:19" x14ac:dyDescent="0.2">
      <c r="A1285" s="1"/>
      <c r="B1285" s="1"/>
      <c r="C1285" s="1"/>
      <c r="D1285" s="1"/>
      <c r="E1285" s="1"/>
      <c r="F1285" s="1"/>
      <c r="H1285" s="1"/>
      <c r="I1285" s="1"/>
      <c r="J1285" s="1"/>
      <c r="K1285" s="1"/>
      <c r="L1285" s="1"/>
      <c r="M1285" s="1"/>
      <c r="N1285" s="1"/>
      <c r="O1285" s="1"/>
      <c r="P1285" s="1"/>
      <c r="Q1285" s="1"/>
      <c r="R1285" s="1"/>
      <c r="S1285" s="1"/>
    </row>
    <row r="1286" spans="1:19" x14ac:dyDescent="0.2">
      <c r="A1286" s="1"/>
      <c r="B1286" s="1"/>
      <c r="C1286" s="1"/>
      <c r="D1286" s="1"/>
      <c r="E1286" s="1"/>
      <c r="F1286" s="1"/>
      <c r="H1286" s="1"/>
      <c r="I1286" s="1"/>
      <c r="J1286" s="1"/>
      <c r="K1286" s="1"/>
      <c r="L1286" s="1"/>
      <c r="M1286" s="1"/>
      <c r="N1286" s="1"/>
      <c r="O1286" s="1"/>
      <c r="P1286" s="1"/>
      <c r="Q1286" s="1"/>
      <c r="R1286" s="1"/>
      <c r="S1286" s="1"/>
    </row>
    <row r="1287" spans="1:19" x14ac:dyDescent="0.2">
      <c r="A1287" s="1"/>
      <c r="B1287" s="1"/>
      <c r="C1287" s="1"/>
      <c r="D1287" s="1"/>
      <c r="E1287" s="1"/>
      <c r="F1287" s="1"/>
      <c r="H1287" s="1"/>
      <c r="I1287" s="1"/>
      <c r="J1287" s="1"/>
      <c r="K1287" s="1"/>
      <c r="L1287" s="1"/>
      <c r="M1287" s="1"/>
      <c r="N1287" s="1"/>
      <c r="O1287" s="1"/>
      <c r="P1287" s="1"/>
      <c r="Q1287" s="1"/>
      <c r="R1287" s="1"/>
      <c r="S1287" s="1"/>
    </row>
    <row r="1288" spans="1:19" x14ac:dyDescent="0.2">
      <c r="A1288" s="1"/>
      <c r="B1288" s="1"/>
      <c r="C1288" s="1"/>
      <c r="D1288" s="1"/>
      <c r="E1288" s="1"/>
      <c r="F1288" s="1"/>
      <c r="H1288" s="1"/>
      <c r="I1288" s="1"/>
      <c r="J1288" s="1"/>
      <c r="K1288" s="1"/>
      <c r="L1288" s="1"/>
      <c r="M1288" s="1"/>
      <c r="N1288" s="1"/>
      <c r="O1288" s="1"/>
      <c r="P1288" s="1"/>
      <c r="Q1288" s="1"/>
      <c r="R1288" s="1"/>
      <c r="S1288" s="1"/>
    </row>
    <row r="1289" spans="1:19" x14ac:dyDescent="0.2">
      <c r="A1289" s="1"/>
      <c r="B1289" s="1"/>
      <c r="C1289" s="1"/>
      <c r="D1289" s="1"/>
      <c r="E1289" s="1"/>
      <c r="F1289" s="1"/>
      <c r="H1289" s="1"/>
      <c r="I1289" s="1"/>
      <c r="J1289" s="1"/>
      <c r="K1289" s="1"/>
      <c r="L1289" s="1"/>
      <c r="M1289" s="1"/>
      <c r="N1289" s="1"/>
      <c r="O1289" s="1"/>
      <c r="P1289" s="1"/>
      <c r="Q1289" s="1"/>
      <c r="R1289" s="1"/>
      <c r="S1289" s="1"/>
    </row>
    <row r="1290" spans="1:19" x14ac:dyDescent="0.2">
      <c r="A1290" s="1"/>
      <c r="B1290" s="1"/>
      <c r="C1290" s="1"/>
      <c r="D1290" s="1"/>
      <c r="E1290" s="1"/>
      <c r="F1290" s="1"/>
      <c r="H1290" s="1"/>
      <c r="I1290" s="1"/>
      <c r="J1290" s="1"/>
      <c r="K1290" s="1"/>
      <c r="L1290" s="1"/>
      <c r="M1290" s="1"/>
      <c r="N1290" s="1"/>
      <c r="O1290" s="1"/>
      <c r="P1290" s="1"/>
      <c r="Q1290" s="1"/>
      <c r="R1290" s="1"/>
      <c r="S1290" s="1"/>
    </row>
    <row r="1291" spans="1:19" x14ac:dyDescent="0.2">
      <c r="A1291" s="1"/>
      <c r="B1291" s="1"/>
      <c r="C1291" s="1"/>
      <c r="D1291" s="1"/>
      <c r="E1291" s="1"/>
      <c r="F1291" s="1"/>
      <c r="H1291" s="1"/>
      <c r="I1291" s="1"/>
      <c r="J1291" s="1"/>
      <c r="K1291" s="1"/>
      <c r="L1291" s="1"/>
      <c r="M1291" s="1"/>
      <c r="N1291" s="1"/>
      <c r="O1291" s="1"/>
      <c r="P1291" s="1"/>
      <c r="Q1291" s="1"/>
      <c r="R1291" s="1"/>
      <c r="S1291" s="1"/>
    </row>
    <row r="1292" spans="1:19" x14ac:dyDescent="0.2">
      <c r="A1292" s="1"/>
      <c r="B1292" s="1"/>
      <c r="C1292" s="1"/>
      <c r="D1292" s="1"/>
      <c r="E1292" s="1"/>
      <c r="F1292" s="1"/>
      <c r="H1292" s="1"/>
      <c r="I1292" s="1"/>
      <c r="J1292" s="1"/>
      <c r="K1292" s="1"/>
      <c r="L1292" s="1"/>
      <c r="M1292" s="1"/>
      <c r="N1292" s="1"/>
      <c r="O1292" s="1"/>
      <c r="P1292" s="1"/>
      <c r="Q1292" s="1"/>
      <c r="R1292" s="1"/>
      <c r="S1292" s="1"/>
    </row>
    <row r="1293" spans="1:19" x14ac:dyDescent="0.2">
      <c r="A1293" s="1"/>
      <c r="B1293" s="1"/>
      <c r="C1293" s="1"/>
      <c r="D1293" s="1"/>
      <c r="E1293" s="1"/>
      <c r="F1293" s="1"/>
      <c r="H1293" s="1"/>
      <c r="I1293" s="1"/>
      <c r="J1293" s="1"/>
      <c r="K1293" s="1"/>
      <c r="L1293" s="1"/>
      <c r="M1293" s="1"/>
      <c r="N1293" s="1"/>
      <c r="O1293" s="1"/>
      <c r="P1293" s="1"/>
      <c r="Q1293" s="1"/>
      <c r="R1293" s="1"/>
      <c r="S1293" s="1"/>
    </row>
    <row r="1294" spans="1:19" x14ac:dyDescent="0.2">
      <c r="A1294" s="1"/>
      <c r="B1294" s="1"/>
      <c r="C1294" s="1"/>
      <c r="D1294" s="1"/>
      <c r="E1294" s="1"/>
      <c r="F1294" s="1"/>
      <c r="H1294" s="1"/>
      <c r="I1294" s="1"/>
      <c r="J1294" s="1"/>
      <c r="K1294" s="1"/>
      <c r="L1294" s="1"/>
      <c r="M1294" s="1"/>
      <c r="N1294" s="1"/>
      <c r="O1294" s="1"/>
      <c r="P1294" s="1"/>
      <c r="Q1294" s="1"/>
      <c r="R1294" s="1"/>
      <c r="S1294" s="1"/>
    </row>
    <row r="1295" spans="1:19" x14ac:dyDescent="0.2">
      <c r="A1295" s="1"/>
      <c r="B1295" s="1"/>
      <c r="C1295" s="1"/>
      <c r="D1295" s="1"/>
      <c r="E1295" s="1"/>
      <c r="F1295" s="1"/>
      <c r="H1295" s="1"/>
      <c r="I1295" s="1"/>
      <c r="J1295" s="1"/>
      <c r="K1295" s="1"/>
      <c r="L1295" s="1"/>
      <c r="M1295" s="1"/>
      <c r="N1295" s="1"/>
      <c r="O1295" s="1"/>
      <c r="P1295" s="1"/>
      <c r="Q1295" s="1"/>
      <c r="R1295" s="1"/>
      <c r="S1295" s="1"/>
    </row>
    <row r="1296" spans="1:19" x14ac:dyDescent="0.2">
      <c r="A1296" s="1"/>
      <c r="B1296" s="1"/>
      <c r="C1296" s="1"/>
      <c r="D1296" s="1"/>
      <c r="E1296" s="1"/>
      <c r="F1296" s="1"/>
      <c r="H1296" s="1"/>
      <c r="I1296" s="1"/>
      <c r="J1296" s="1"/>
      <c r="K1296" s="1"/>
      <c r="L1296" s="1"/>
      <c r="M1296" s="1"/>
      <c r="N1296" s="1"/>
      <c r="O1296" s="1"/>
      <c r="P1296" s="1"/>
      <c r="Q1296" s="1"/>
      <c r="R1296" s="1"/>
      <c r="S1296" s="1"/>
    </row>
    <row r="1297" spans="1:19" x14ac:dyDescent="0.2">
      <c r="A1297" s="1"/>
      <c r="B1297" s="1"/>
      <c r="C1297" s="1"/>
      <c r="D1297" s="1"/>
      <c r="E1297" s="1"/>
      <c r="F1297" s="1"/>
      <c r="H1297" s="1"/>
      <c r="I1297" s="1"/>
      <c r="J1297" s="1"/>
      <c r="K1297" s="1"/>
      <c r="L1297" s="1"/>
      <c r="M1297" s="1"/>
      <c r="N1297" s="1"/>
      <c r="O1297" s="1"/>
      <c r="P1297" s="1"/>
      <c r="Q1297" s="1"/>
      <c r="R1297" s="1"/>
      <c r="S1297" s="1"/>
    </row>
    <row r="1298" spans="1:19" x14ac:dyDescent="0.2">
      <c r="A1298" s="1"/>
      <c r="B1298" s="1"/>
      <c r="C1298" s="1"/>
      <c r="D1298" s="1"/>
      <c r="E1298" s="1"/>
      <c r="F1298" s="1"/>
      <c r="H1298" s="1"/>
      <c r="I1298" s="1"/>
      <c r="J1298" s="1"/>
      <c r="K1298" s="1"/>
      <c r="L1298" s="1"/>
      <c r="M1298" s="1"/>
      <c r="N1298" s="1"/>
      <c r="O1298" s="1"/>
      <c r="P1298" s="1"/>
      <c r="Q1298" s="1"/>
      <c r="R1298" s="1"/>
      <c r="S1298" s="1"/>
    </row>
    <row r="1299" spans="1:19" x14ac:dyDescent="0.2">
      <c r="A1299" s="1"/>
      <c r="B1299" s="1"/>
      <c r="C1299" s="1"/>
      <c r="D1299" s="1"/>
      <c r="E1299" s="1"/>
      <c r="F1299" s="1"/>
      <c r="H1299" s="1"/>
      <c r="I1299" s="1"/>
      <c r="J1299" s="1"/>
      <c r="K1299" s="1"/>
      <c r="L1299" s="1"/>
      <c r="M1299" s="1"/>
      <c r="N1299" s="1"/>
      <c r="O1299" s="1"/>
      <c r="P1299" s="1"/>
      <c r="Q1299" s="1"/>
      <c r="R1299" s="1"/>
      <c r="S1299" s="1"/>
    </row>
    <row r="1300" spans="1:19" x14ac:dyDescent="0.2">
      <c r="A1300" s="1"/>
      <c r="B1300" s="1"/>
      <c r="C1300" s="1"/>
      <c r="D1300" s="1"/>
      <c r="E1300" s="1"/>
      <c r="F1300" s="1"/>
      <c r="H1300" s="1"/>
      <c r="I1300" s="1"/>
      <c r="J1300" s="1"/>
      <c r="K1300" s="1"/>
      <c r="L1300" s="1"/>
      <c r="M1300" s="1"/>
      <c r="N1300" s="1"/>
      <c r="O1300" s="1"/>
      <c r="P1300" s="1"/>
      <c r="Q1300" s="1"/>
      <c r="R1300" s="1"/>
      <c r="S1300" s="1"/>
    </row>
    <row r="1301" spans="1:19" x14ac:dyDescent="0.2">
      <c r="A1301" s="1"/>
      <c r="B1301" s="1"/>
      <c r="C1301" s="1"/>
      <c r="D1301" s="1"/>
      <c r="E1301" s="1"/>
      <c r="F1301" s="1"/>
      <c r="H1301" s="1"/>
      <c r="I1301" s="1"/>
      <c r="J1301" s="1"/>
      <c r="K1301" s="1"/>
      <c r="L1301" s="1"/>
      <c r="M1301" s="1"/>
      <c r="N1301" s="1"/>
      <c r="O1301" s="1"/>
      <c r="P1301" s="1"/>
      <c r="Q1301" s="1"/>
      <c r="R1301" s="1"/>
      <c r="S1301" s="1"/>
    </row>
    <row r="1302" spans="1:19" x14ac:dyDescent="0.2">
      <c r="A1302" s="1"/>
      <c r="B1302" s="1"/>
      <c r="C1302" s="1"/>
      <c r="D1302" s="1"/>
      <c r="E1302" s="1"/>
      <c r="F1302" s="1"/>
      <c r="H1302" s="1"/>
      <c r="I1302" s="1"/>
      <c r="J1302" s="1"/>
      <c r="K1302" s="1"/>
      <c r="L1302" s="1"/>
      <c r="M1302" s="1"/>
      <c r="N1302" s="1"/>
      <c r="O1302" s="1"/>
      <c r="P1302" s="1"/>
      <c r="Q1302" s="1"/>
      <c r="R1302" s="1"/>
      <c r="S1302" s="1"/>
    </row>
    <row r="1303" spans="1:19" x14ac:dyDescent="0.2">
      <c r="A1303" s="1"/>
      <c r="B1303" s="1"/>
      <c r="C1303" s="1"/>
      <c r="D1303" s="1"/>
      <c r="E1303" s="1"/>
      <c r="F1303" s="1"/>
      <c r="H1303" s="1"/>
      <c r="I1303" s="1"/>
      <c r="J1303" s="1"/>
      <c r="K1303" s="1"/>
      <c r="L1303" s="1"/>
      <c r="M1303" s="1"/>
      <c r="N1303" s="1"/>
      <c r="O1303" s="1"/>
      <c r="P1303" s="1"/>
      <c r="Q1303" s="1"/>
      <c r="R1303" s="1"/>
      <c r="S1303" s="1"/>
    </row>
    <row r="1304" spans="1:19" x14ac:dyDescent="0.2">
      <c r="A1304" s="1"/>
      <c r="B1304" s="1"/>
      <c r="C1304" s="1"/>
      <c r="D1304" s="1"/>
      <c r="E1304" s="1"/>
      <c r="F1304" s="1"/>
      <c r="H1304" s="1"/>
      <c r="I1304" s="1"/>
      <c r="J1304" s="1"/>
      <c r="K1304" s="1"/>
      <c r="L1304" s="1"/>
      <c r="M1304" s="1"/>
      <c r="N1304" s="1"/>
      <c r="O1304" s="1"/>
      <c r="P1304" s="1"/>
      <c r="Q1304" s="1"/>
      <c r="R1304" s="1"/>
      <c r="S1304" s="1"/>
    </row>
    <row r="1305" spans="1:19" x14ac:dyDescent="0.2">
      <c r="A1305" s="1"/>
      <c r="B1305" s="1"/>
      <c r="C1305" s="1"/>
      <c r="D1305" s="1"/>
      <c r="E1305" s="1"/>
      <c r="F1305" s="1"/>
      <c r="H1305" s="1"/>
      <c r="I1305" s="1"/>
      <c r="J1305" s="1"/>
      <c r="K1305" s="1"/>
      <c r="L1305" s="1"/>
      <c r="M1305" s="1"/>
      <c r="N1305" s="1"/>
      <c r="O1305" s="1"/>
      <c r="P1305" s="1"/>
      <c r="Q1305" s="1"/>
      <c r="R1305" s="1"/>
      <c r="S1305" s="1"/>
    </row>
    <row r="1306" spans="1:19" x14ac:dyDescent="0.2">
      <c r="A1306" s="1"/>
      <c r="B1306" s="1"/>
      <c r="C1306" s="1"/>
      <c r="D1306" s="1"/>
      <c r="E1306" s="1"/>
      <c r="F1306" s="1"/>
      <c r="H1306" s="1"/>
      <c r="I1306" s="1"/>
      <c r="J1306" s="1"/>
      <c r="K1306" s="1"/>
      <c r="L1306" s="1"/>
      <c r="M1306" s="1"/>
      <c r="N1306" s="1"/>
      <c r="O1306" s="1"/>
      <c r="P1306" s="1"/>
      <c r="Q1306" s="1"/>
      <c r="R1306" s="1"/>
      <c r="S1306" s="1"/>
    </row>
    <row r="1307" spans="1:19" x14ac:dyDescent="0.2">
      <c r="A1307" s="1"/>
      <c r="B1307" s="1"/>
      <c r="C1307" s="1"/>
      <c r="D1307" s="1"/>
      <c r="E1307" s="1"/>
      <c r="F1307" s="1"/>
      <c r="H1307" s="1"/>
      <c r="I1307" s="1"/>
      <c r="J1307" s="1"/>
      <c r="K1307" s="1"/>
      <c r="L1307" s="1"/>
      <c r="M1307" s="1"/>
      <c r="N1307" s="1"/>
      <c r="O1307" s="1"/>
      <c r="P1307" s="1"/>
      <c r="Q1307" s="1"/>
      <c r="R1307" s="1"/>
      <c r="S1307" s="1"/>
    </row>
    <row r="1308" spans="1:19" x14ac:dyDescent="0.2">
      <c r="A1308" s="1"/>
      <c r="B1308" s="1"/>
      <c r="C1308" s="1"/>
      <c r="D1308" s="1"/>
      <c r="E1308" s="1"/>
      <c r="F1308" s="1"/>
      <c r="H1308" s="1"/>
      <c r="I1308" s="1"/>
      <c r="J1308" s="1"/>
      <c r="K1308" s="1"/>
      <c r="L1308" s="1"/>
      <c r="M1308" s="1"/>
      <c r="N1308" s="1"/>
      <c r="O1308" s="1"/>
      <c r="P1308" s="1"/>
      <c r="Q1308" s="1"/>
      <c r="R1308" s="1"/>
      <c r="S1308" s="1"/>
    </row>
    <row r="1309" spans="1:19" x14ac:dyDescent="0.2">
      <c r="A1309" s="1"/>
      <c r="B1309" s="1"/>
      <c r="C1309" s="1"/>
      <c r="D1309" s="1"/>
      <c r="E1309" s="1"/>
      <c r="F1309" s="1"/>
      <c r="H1309" s="1"/>
      <c r="I1309" s="1"/>
      <c r="J1309" s="1"/>
      <c r="K1309" s="1"/>
      <c r="L1309" s="1"/>
      <c r="M1309" s="1"/>
      <c r="N1309" s="1"/>
      <c r="O1309" s="1"/>
      <c r="P1309" s="1"/>
      <c r="Q1309" s="1"/>
      <c r="R1309" s="1"/>
      <c r="S1309" s="1"/>
    </row>
    <row r="1310" spans="1:19" x14ac:dyDescent="0.2">
      <c r="A1310" s="1"/>
      <c r="B1310" s="1"/>
      <c r="C1310" s="1"/>
      <c r="D1310" s="1"/>
      <c r="E1310" s="1"/>
      <c r="F1310" s="1"/>
      <c r="H1310" s="1"/>
      <c r="I1310" s="1"/>
      <c r="J1310" s="1"/>
      <c r="K1310" s="1"/>
      <c r="L1310" s="1"/>
      <c r="M1310" s="1"/>
      <c r="N1310" s="1"/>
      <c r="O1310" s="1"/>
      <c r="P1310" s="1"/>
      <c r="Q1310" s="1"/>
      <c r="R1310" s="1"/>
      <c r="S1310" s="1"/>
    </row>
    <row r="1311" spans="1:19" x14ac:dyDescent="0.2">
      <c r="A1311" s="1"/>
      <c r="B1311" s="1"/>
      <c r="C1311" s="1"/>
      <c r="D1311" s="1"/>
      <c r="E1311" s="1"/>
      <c r="F1311" s="1"/>
      <c r="H1311" s="1"/>
      <c r="I1311" s="1"/>
      <c r="J1311" s="1"/>
      <c r="K1311" s="1"/>
      <c r="L1311" s="1"/>
      <c r="M1311" s="1"/>
      <c r="N1311" s="1"/>
      <c r="O1311" s="1"/>
      <c r="P1311" s="1"/>
      <c r="Q1311" s="1"/>
      <c r="R1311" s="1"/>
      <c r="S1311" s="1"/>
    </row>
    <row r="1312" spans="1:19" x14ac:dyDescent="0.2">
      <c r="A1312" s="1"/>
      <c r="B1312" s="1"/>
      <c r="C1312" s="1"/>
      <c r="D1312" s="1"/>
      <c r="E1312" s="1"/>
      <c r="F1312" s="1"/>
      <c r="H1312" s="1"/>
      <c r="I1312" s="1"/>
      <c r="J1312" s="1"/>
      <c r="K1312" s="1"/>
      <c r="L1312" s="1"/>
      <c r="M1312" s="1"/>
      <c r="N1312" s="1"/>
      <c r="O1312" s="1"/>
      <c r="P1312" s="1"/>
      <c r="Q1312" s="1"/>
      <c r="R1312" s="1"/>
      <c r="S1312" s="1"/>
    </row>
    <row r="1313" spans="1:19" x14ac:dyDescent="0.2">
      <c r="A1313" s="1"/>
      <c r="B1313" s="1"/>
      <c r="C1313" s="1"/>
      <c r="D1313" s="1"/>
      <c r="E1313" s="1"/>
      <c r="F1313" s="1"/>
      <c r="H1313" s="1"/>
      <c r="I1313" s="1"/>
      <c r="J1313" s="1"/>
      <c r="K1313" s="1"/>
      <c r="L1313" s="1"/>
      <c r="M1313" s="1"/>
      <c r="N1313" s="1"/>
      <c r="O1313" s="1"/>
      <c r="P1313" s="1"/>
      <c r="Q1313" s="1"/>
      <c r="R1313" s="1"/>
      <c r="S1313" s="1"/>
    </row>
    <row r="1314" spans="1:19" x14ac:dyDescent="0.2">
      <c r="A1314" s="1"/>
      <c r="B1314" s="1"/>
      <c r="C1314" s="1"/>
      <c r="D1314" s="1"/>
      <c r="E1314" s="1"/>
      <c r="F1314" s="1"/>
      <c r="H1314" s="1"/>
      <c r="I1314" s="1"/>
      <c r="J1314" s="1"/>
      <c r="K1314" s="1"/>
      <c r="L1314" s="1"/>
      <c r="M1314" s="1"/>
      <c r="N1314" s="1"/>
      <c r="O1314" s="1"/>
      <c r="P1314" s="1"/>
      <c r="Q1314" s="1"/>
      <c r="R1314" s="1"/>
      <c r="S1314" s="1"/>
    </row>
    <row r="1315" spans="1:19" x14ac:dyDescent="0.2">
      <c r="A1315" s="1"/>
      <c r="B1315" s="1"/>
      <c r="C1315" s="1"/>
      <c r="D1315" s="1"/>
      <c r="E1315" s="1"/>
      <c r="F1315" s="1"/>
      <c r="H1315" s="1"/>
      <c r="I1315" s="1"/>
      <c r="J1315" s="1"/>
      <c r="K1315" s="1"/>
      <c r="L1315" s="1"/>
      <c r="M1315" s="1"/>
      <c r="N1315" s="1"/>
      <c r="O1315" s="1"/>
      <c r="P1315" s="1"/>
      <c r="Q1315" s="1"/>
      <c r="R1315" s="1"/>
      <c r="S1315" s="1"/>
    </row>
    <row r="1316" spans="1:19" x14ac:dyDescent="0.2">
      <c r="A1316" s="1"/>
      <c r="B1316" s="1"/>
      <c r="C1316" s="1"/>
      <c r="D1316" s="1"/>
      <c r="E1316" s="1"/>
      <c r="F1316" s="1"/>
      <c r="H1316" s="1"/>
      <c r="I1316" s="1"/>
      <c r="J1316" s="1"/>
      <c r="K1316" s="1"/>
      <c r="L1316" s="1"/>
      <c r="M1316" s="1"/>
      <c r="N1316" s="1"/>
      <c r="O1316" s="1"/>
      <c r="P1316" s="1"/>
      <c r="Q1316" s="1"/>
      <c r="R1316" s="1"/>
      <c r="S1316" s="1"/>
    </row>
    <row r="1317" spans="1:19" x14ac:dyDescent="0.2">
      <c r="A1317" s="1"/>
      <c r="B1317" s="1"/>
      <c r="C1317" s="1"/>
      <c r="D1317" s="1"/>
      <c r="E1317" s="1"/>
      <c r="F1317" s="1"/>
      <c r="H1317" s="1"/>
      <c r="I1317" s="1"/>
      <c r="J1317" s="1"/>
      <c r="K1317" s="1"/>
      <c r="L1317" s="1"/>
      <c r="M1317" s="1"/>
      <c r="N1317" s="1"/>
      <c r="O1317" s="1"/>
      <c r="P1317" s="1"/>
      <c r="Q1317" s="1"/>
      <c r="R1317" s="1"/>
      <c r="S1317" s="1"/>
    </row>
    <row r="1318" spans="1:19" x14ac:dyDescent="0.2">
      <c r="A1318" s="1"/>
      <c r="B1318" s="1"/>
      <c r="C1318" s="1"/>
      <c r="D1318" s="1"/>
      <c r="E1318" s="1"/>
      <c r="F1318" s="1"/>
      <c r="H1318" s="1"/>
      <c r="I1318" s="1"/>
      <c r="J1318" s="1"/>
      <c r="K1318" s="1"/>
      <c r="L1318" s="1"/>
      <c r="M1318" s="1"/>
      <c r="N1318" s="1"/>
      <c r="O1318" s="1"/>
      <c r="P1318" s="1"/>
      <c r="Q1318" s="1"/>
      <c r="R1318" s="1"/>
      <c r="S1318" s="1"/>
    </row>
    <row r="1319" spans="1:19" x14ac:dyDescent="0.2">
      <c r="A1319" s="1"/>
      <c r="B1319" s="1"/>
      <c r="C1319" s="1"/>
      <c r="D1319" s="1"/>
      <c r="E1319" s="1"/>
      <c r="F1319" s="1"/>
      <c r="H1319" s="1"/>
      <c r="I1319" s="1"/>
      <c r="J1319" s="1"/>
      <c r="K1319" s="1"/>
      <c r="L1319" s="1"/>
      <c r="M1319" s="1"/>
      <c r="N1319" s="1"/>
      <c r="O1319" s="1"/>
      <c r="P1319" s="1"/>
      <c r="Q1319" s="1"/>
      <c r="R1319" s="1"/>
      <c r="S1319" s="1"/>
    </row>
    <row r="1320" spans="1:19" x14ac:dyDescent="0.2">
      <c r="A1320" s="1"/>
      <c r="B1320" s="1"/>
      <c r="C1320" s="1"/>
      <c r="D1320" s="1"/>
      <c r="E1320" s="1"/>
      <c r="F1320" s="1"/>
      <c r="H1320" s="1"/>
      <c r="I1320" s="1"/>
      <c r="J1320" s="1"/>
      <c r="K1320" s="1"/>
      <c r="L1320" s="1"/>
      <c r="M1320" s="1"/>
      <c r="N1320" s="1"/>
      <c r="O1320" s="1"/>
      <c r="P1320" s="1"/>
      <c r="Q1320" s="1"/>
      <c r="R1320" s="1"/>
      <c r="S1320" s="1"/>
    </row>
    <row r="1321" spans="1:19" x14ac:dyDescent="0.2">
      <c r="A1321" s="1"/>
      <c r="B1321" s="1"/>
      <c r="C1321" s="1"/>
      <c r="D1321" s="1"/>
      <c r="E1321" s="1"/>
      <c r="F1321" s="1"/>
      <c r="H1321" s="1"/>
      <c r="I1321" s="1"/>
      <c r="J1321" s="1"/>
      <c r="K1321" s="1"/>
      <c r="L1321" s="1"/>
      <c r="M1321" s="1"/>
      <c r="N1321" s="1"/>
      <c r="O1321" s="1"/>
      <c r="P1321" s="1"/>
      <c r="Q1321" s="1"/>
      <c r="R1321" s="1"/>
      <c r="S1321" s="1"/>
    </row>
    <row r="1322" spans="1:19" x14ac:dyDescent="0.2">
      <c r="A1322" s="1"/>
      <c r="B1322" s="1"/>
      <c r="C1322" s="1"/>
      <c r="D1322" s="1"/>
      <c r="E1322" s="1"/>
      <c r="F1322" s="1"/>
      <c r="H1322" s="1"/>
      <c r="I1322" s="1"/>
      <c r="J1322" s="1"/>
      <c r="K1322" s="1"/>
      <c r="L1322" s="1"/>
      <c r="M1322" s="1"/>
      <c r="N1322" s="1"/>
      <c r="O1322" s="1"/>
      <c r="P1322" s="1"/>
      <c r="Q1322" s="1"/>
      <c r="R1322" s="1"/>
      <c r="S1322" s="1"/>
    </row>
    <row r="1323" spans="1:19" x14ac:dyDescent="0.2">
      <c r="A1323" s="1"/>
      <c r="B1323" s="1"/>
      <c r="C1323" s="1"/>
      <c r="D1323" s="1"/>
      <c r="E1323" s="1"/>
      <c r="F1323" s="1"/>
      <c r="H1323" s="1"/>
      <c r="I1323" s="1"/>
      <c r="J1323" s="1"/>
      <c r="K1323" s="1"/>
      <c r="L1323" s="1"/>
      <c r="M1323" s="1"/>
      <c r="N1323" s="1"/>
      <c r="O1323" s="1"/>
      <c r="P1323" s="1"/>
      <c r="Q1323" s="1"/>
      <c r="R1323" s="1"/>
      <c r="S1323" s="1"/>
    </row>
    <row r="1324" spans="1:19" x14ac:dyDescent="0.2">
      <c r="A1324" s="1"/>
      <c r="B1324" s="1"/>
      <c r="C1324" s="1"/>
      <c r="D1324" s="1"/>
      <c r="E1324" s="1"/>
      <c r="F1324" s="1"/>
      <c r="H1324" s="1"/>
      <c r="I1324" s="1"/>
      <c r="J1324" s="1"/>
      <c r="K1324" s="1"/>
      <c r="L1324" s="1"/>
      <c r="M1324" s="1"/>
      <c r="N1324" s="1"/>
      <c r="O1324" s="1"/>
      <c r="P1324" s="1"/>
      <c r="Q1324" s="1"/>
      <c r="R1324" s="1"/>
      <c r="S1324" s="1"/>
    </row>
    <row r="1325" spans="1:19" x14ac:dyDescent="0.2">
      <c r="A1325" s="1"/>
      <c r="B1325" s="1"/>
      <c r="C1325" s="1"/>
      <c r="D1325" s="1"/>
      <c r="E1325" s="1"/>
      <c r="F1325" s="1"/>
      <c r="H1325" s="1"/>
      <c r="I1325" s="1"/>
      <c r="J1325" s="1"/>
      <c r="K1325" s="1"/>
      <c r="L1325" s="1"/>
      <c r="M1325" s="1"/>
      <c r="N1325" s="1"/>
      <c r="O1325" s="1"/>
      <c r="P1325" s="1"/>
      <c r="Q1325" s="1"/>
      <c r="R1325" s="1"/>
      <c r="S1325" s="1"/>
    </row>
    <row r="1326" spans="1:19" x14ac:dyDescent="0.2">
      <c r="A1326" s="1"/>
      <c r="B1326" s="1"/>
      <c r="C1326" s="1"/>
      <c r="D1326" s="1"/>
      <c r="E1326" s="1"/>
      <c r="F1326" s="1"/>
      <c r="H1326" s="1"/>
      <c r="I1326" s="1"/>
      <c r="J1326" s="1"/>
      <c r="K1326" s="1"/>
      <c r="L1326" s="1"/>
      <c r="M1326" s="1"/>
      <c r="N1326" s="1"/>
      <c r="O1326" s="1"/>
      <c r="P1326" s="1"/>
      <c r="Q1326" s="1"/>
      <c r="R1326" s="1"/>
      <c r="S1326" s="1"/>
    </row>
    <row r="1327" spans="1:19" x14ac:dyDescent="0.2">
      <c r="A1327" s="1"/>
      <c r="B1327" s="1"/>
      <c r="C1327" s="1"/>
      <c r="D1327" s="1"/>
      <c r="E1327" s="1"/>
      <c r="F1327" s="1"/>
      <c r="H1327" s="1"/>
      <c r="I1327" s="1"/>
      <c r="J1327" s="1"/>
      <c r="K1327" s="1"/>
      <c r="L1327" s="1"/>
      <c r="M1327" s="1"/>
      <c r="N1327" s="1"/>
      <c r="O1327" s="1"/>
      <c r="P1327" s="1"/>
      <c r="Q1327" s="1"/>
      <c r="R1327" s="1"/>
      <c r="S1327" s="1"/>
    </row>
    <row r="1328" spans="1:19" x14ac:dyDescent="0.2">
      <c r="A1328" s="1"/>
      <c r="B1328" s="1"/>
      <c r="C1328" s="1"/>
      <c r="D1328" s="1"/>
      <c r="E1328" s="1"/>
      <c r="F1328" s="1"/>
      <c r="H1328" s="1"/>
      <c r="I1328" s="1"/>
      <c r="J1328" s="1"/>
      <c r="K1328" s="1"/>
      <c r="L1328" s="1"/>
      <c r="M1328" s="1"/>
      <c r="N1328" s="1"/>
      <c r="O1328" s="1"/>
      <c r="P1328" s="1"/>
      <c r="Q1328" s="1"/>
      <c r="R1328" s="1"/>
      <c r="S1328" s="1"/>
    </row>
    <row r="1329" spans="1:19" x14ac:dyDescent="0.2">
      <c r="A1329" s="1"/>
      <c r="B1329" s="1"/>
      <c r="C1329" s="1"/>
      <c r="D1329" s="1"/>
      <c r="E1329" s="1"/>
      <c r="F1329" s="1"/>
      <c r="H1329" s="1"/>
      <c r="I1329" s="1"/>
      <c r="J1329" s="1"/>
      <c r="K1329" s="1"/>
      <c r="L1329" s="1"/>
      <c r="M1329" s="1"/>
      <c r="N1329" s="1"/>
      <c r="O1329" s="1"/>
      <c r="P1329" s="1"/>
      <c r="Q1329" s="1"/>
      <c r="R1329" s="1"/>
      <c r="S1329" s="1"/>
    </row>
    <row r="1330" spans="1:19" x14ac:dyDescent="0.2">
      <c r="A1330" s="1"/>
      <c r="B1330" s="1"/>
      <c r="C1330" s="1"/>
      <c r="D1330" s="1"/>
      <c r="E1330" s="1"/>
      <c r="F1330" s="1"/>
      <c r="H1330" s="1"/>
      <c r="I1330" s="1"/>
      <c r="J1330" s="1"/>
      <c r="K1330" s="1"/>
      <c r="L1330" s="1"/>
      <c r="M1330" s="1"/>
      <c r="N1330" s="1"/>
      <c r="O1330" s="1"/>
      <c r="P1330" s="1"/>
      <c r="Q1330" s="1"/>
      <c r="R1330" s="1"/>
      <c r="S1330" s="1"/>
    </row>
    <row r="1331" spans="1:19" x14ac:dyDescent="0.2">
      <c r="A1331" s="1"/>
      <c r="B1331" s="1"/>
      <c r="C1331" s="1"/>
      <c r="D1331" s="1"/>
      <c r="E1331" s="1"/>
      <c r="F1331" s="1"/>
      <c r="H1331" s="1"/>
      <c r="I1331" s="1"/>
      <c r="J1331" s="1"/>
      <c r="K1331" s="1"/>
      <c r="L1331" s="1"/>
      <c r="M1331" s="1"/>
      <c r="N1331" s="1"/>
      <c r="O1331" s="1"/>
      <c r="P1331" s="1"/>
      <c r="Q1331" s="1"/>
      <c r="R1331" s="1"/>
      <c r="S1331" s="1"/>
    </row>
    <row r="1332" spans="1:19" x14ac:dyDescent="0.2">
      <c r="A1332" s="1"/>
      <c r="B1332" s="1"/>
      <c r="C1332" s="1"/>
      <c r="D1332" s="1"/>
      <c r="E1332" s="1"/>
      <c r="F1332" s="1"/>
      <c r="H1332" s="1"/>
      <c r="I1332" s="1"/>
      <c r="J1332" s="1"/>
      <c r="K1332" s="1"/>
      <c r="L1332" s="1"/>
      <c r="M1332" s="1"/>
      <c r="N1332" s="1"/>
      <c r="O1332" s="1"/>
      <c r="P1332" s="1"/>
      <c r="Q1332" s="1"/>
      <c r="R1332" s="1"/>
      <c r="S1332" s="1"/>
    </row>
    <row r="1333" spans="1:19" x14ac:dyDescent="0.2">
      <c r="A1333" s="1"/>
      <c r="B1333" s="1"/>
      <c r="C1333" s="1"/>
      <c r="D1333" s="1"/>
      <c r="E1333" s="1"/>
      <c r="F1333" s="1"/>
      <c r="H1333" s="1"/>
      <c r="I1333" s="1"/>
      <c r="J1333" s="1"/>
      <c r="K1333" s="1"/>
      <c r="L1333" s="1"/>
      <c r="M1333" s="1"/>
      <c r="N1333" s="1"/>
      <c r="O1333" s="1"/>
      <c r="P1333" s="1"/>
      <c r="Q1333" s="1"/>
      <c r="R1333" s="1"/>
      <c r="S1333" s="1"/>
    </row>
    <row r="1334" spans="1:19" x14ac:dyDescent="0.2">
      <c r="A1334" s="1"/>
      <c r="B1334" s="1"/>
      <c r="C1334" s="1"/>
      <c r="D1334" s="1"/>
      <c r="E1334" s="1"/>
      <c r="F1334" s="1"/>
      <c r="H1334" s="1"/>
      <c r="I1334" s="1"/>
      <c r="J1334" s="1"/>
      <c r="K1334" s="1"/>
      <c r="L1334" s="1"/>
      <c r="M1334" s="1"/>
      <c r="N1334" s="1"/>
      <c r="O1334" s="1"/>
      <c r="P1334" s="1"/>
      <c r="Q1334" s="1"/>
      <c r="R1334" s="1"/>
      <c r="S1334" s="1"/>
    </row>
    <row r="1335" spans="1:19" x14ac:dyDescent="0.2">
      <c r="A1335" s="1"/>
      <c r="B1335" s="1"/>
      <c r="C1335" s="1"/>
      <c r="D1335" s="1"/>
      <c r="E1335" s="1"/>
      <c r="F1335" s="1"/>
      <c r="H1335" s="1"/>
      <c r="I1335" s="1"/>
      <c r="J1335" s="1"/>
      <c r="K1335" s="1"/>
      <c r="L1335" s="1"/>
      <c r="M1335" s="1"/>
      <c r="N1335" s="1"/>
      <c r="O1335" s="1"/>
      <c r="P1335" s="1"/>
      <c r="Q1335" s="1"/>
      <c r="R1335" s="1"/>
      <c r="S1335" s="1"/>
    </row>
    <row r="1336" spans="1:19" x14ac:dyDescent="0.2">
      <c r="A1336" s="1"/>
      <c r="B1336" s="1"/>
      <c r="C1336" s="1"/>
      <c r="D1336" s="1"/>
      <c r="E1336" s="1"/>
      <c r="F1336" s="1"/>
      <c r="H1336" s="1"/>
      <c r="I1336" s="1"/>
      <c r="J1336" s="1"/>
      <c r="K1336" s="1"/>
      <c r="L1336" s="1"/>
      <c r="M1336" s="1"/>
      <c r="N1336" s="1"/>
      <c r="O1336" s="1"/>
      <c r="P1336" s="1"/>
      <c r="Q1336" s="1"/>
      <c r="R1336" s="1"/>
      <c r="S1336" s="1"/>
    </row>
    <row r="1337" spans="1:19" x14ac:dyDescent="0.2">
      <c r="A1337" s="1"/>
      <c r="B1337" s="1"/>
      <c r="C1337" s="1"/>
      <c r="D1337" s="1"/>
      <c r="E1337" s="1"/>
      <c r="F1337" s="1"/>
      <c r="H1337" s="1"/>
      <c r="I1337" s="1"/>
      <c r="J1337" s="1"/>
      <c r="K1337" s="1"/>
      <c r="L1337" s="1"/>
      <c r="M1337" s="1"/>
      <c r="N1337" s="1"/>
      <c r="O1337" s="1"/>
      <c r="P1337" s="1"/>
      <c r="Q1337" s="1"/>
      <c r="R1337" s="1"/>
      <c r="S1337" s="1"/>
    </row>
    <row r="1338" spans="1:19" x14ac:dyDescent="0.2">
      <c r="A1338" s="1"/>
      <c r="B1338" s="1"/>
      <c r="C1338" s="1"/>
      <c r="D1338" s="1"/>
      <c r="E1338" s="1"/>
      <c r="F1338" s="1"/>
      <c r="H1338" s="1"/>
      <c r="I1338" s="1"/>
      <c r="J1338" s="1"/>
      <c r="K1338" s="1"/>
      <c r="L1338" s="1"/>
      <c r="M1338" s="1"/>
      <c r="N1338" s="1"/>
      <c r="O1338" s="1"/>
      <c r="P1338" s="1"/>
      <c r="Q1338" s="1"/>
      <c r="R1338" s="1"/>
      <c r="S1338" s="1"/>
    </row>
    <row r="1339" spans="1:19" x14ac:dyDescent="0.2">
      <c r="A1339" s="1"/>
      <c r="B1339" s="1"/>
      <c r="C1339" s="1"/>
      <c r="D1339" s="1"/>
      <c r="E1339" s="1"/>
      <c r="F1339" s="1"/>
      <c r="H1339" s="1"/>
      <c r="I1339" s="1"/>
      <c r="J1339" s="1"/>
      <c r="K1339" s="1"/>
      <c r="L1339" s="1"/>
      <c r="M1339" s="1"/>
      <c r="N1339" s="1"/>
      <c r="O1339" s="1"/>
      <c r="P1339" s="1"/>
      <c r="Q1339" s="1"/>
      <c r="R1339" s="1"/>
      <c r="S1339" s="1"/>
    </row>
    <row r="1340" spans="1:19" x14ac:dyDescent="0.2">
      <c r="A1340" s="1"/>
      <c r="B1340" s="1"/>
      <c r="C1340" s="1"/>
      <c r="D1340" s="1"/>
      <c r="E1340" s="1"/>
      <c r="F1340" s="1"/>
      <c r="H1340" s="1"/>
      <c r="I1340" s="1"/>
      <c r="J1340" s="1"/>
      <c r="K1340" s="1"/>
      <c r="L1340" s="1"/>
      <c r="M1340" s="1"/>
      <c r="N1340" s="1"/>
      <c r="O1340" s="1"/>
      <c r="P1340" s="1"/>
      <c r="Q1340" s="1"/>
      <c r="R1340" s="1"/>
      <c r="S1340" s="1"/>
    </row>
    <row r="1341" spans="1:19" x14ac:dyDescent="0.2">
      <c r="A1341" s="1"/>
      <c r="B1341" s="1"/>
      <c r="C1341" s="1"/>
      <c r="D1341" s="1"/>
      <c r="E1341" s="1"/>
      <c r="F1341" s="1"/>
      <c r="H1341" s="1"/>
      <c r="I1341" s="1"/>
      <c r="J1341" s="1"/>
      <c r="K1341" s="1"/>
      <c r="L1341" s="1"/>
      <c r="M1341" s="1"/>
      <c r="N1341" s="1"/>
      <c r="O1341" s="1"/>
      <c r="P1341" s="1"/>
      <c r="Q1341" s="1"/>
      <c r="R1341" s="1"/>
      <c r="S1341" s="1"/>
    </row>
    <row r="1342" spans="1:19" x14ac:dyDescent="0.2">
      <c r="A1342" s="1"/>
      <c r="B1342" s="1"/>
      <c r="C1342" s="1"/>
      <c r="D1342" s="1"/>
      <c r="E1342" s="1"/>
      <c r="F1342" s="1"/>
      <c r="H1342" s="1"/>
      <c r="I1342" s="1"/>
      <c r="J1342" s="1"/>
      <c r="K1342" s="1"/>
      <c r="L1342" s="1"/>
      <c r="M1342" s="1"/>
      <c r="N1342" s="1"/>
      <c r="O1342" s="1"/>
      <c r="P1342" s="1"/>
      <c r="Q1342" s="1"/>
      <c r="R1342" s="1"/>
      <c r="S1342" s="1"/>
    </row>
    <row r="1343" spans="1:19" x14ac:dyDescent="0.2">
      <c r="A1343" s="1"/>
      <c r="B1343" s="1"/>
      <c r="C1343" s="1"/>
      <c r="D1343" s="1"/>
      <c r="E1343" s="1"/>
      <c r="F1343" s="1"/>
      <c r="H1343" s="1"/>
      <c r="I1343" s="1"/>
      <c r="J1343" s="1"/>
      <c r="K1343" s="1"/>
      <c r="L1343" s="1"/>
      <c r="M1343" s="1"/>
      <c r="N1343" s="1"/>
      <c r="O1343" s="1"/>
      <c r="P1343" s="1"/>
      <c r="Q1343" s="1"/>
      <c r="R1343" s="1"/>
      <c r="S1343" s="1"/>
    </row>
    <row r="1344" spans="1:19" x14ac:dyDescent="0.2">
      <c r="A1344" s="1"/>
      <c r="B1344" s="1"/>
      <c r="C1344" s="1"/>
      <c r="D1344" s="1"/>
      <c r="E1344" s="1"/>
      <c r="F1344" s="1"/>
      <c r="H1344" s="1"/>
      <c r="I1344" s="1"/>
      <c r="J1344" s="1"/>
      <c r="K1344" s="1"/>
      <c r="L1344" s="1"/>
      <c r="M1344" s="1"/>
      <c r="N1344" s="1"/>
      <c r="O1344" s="1"/>
      <c r="P1344" s="1"/>
      <c r="Q1344" s="1"/>
      <c r="R1344" s="1"/>
      <c r="S1344" s="1"/>
    </row>
    <row r="1345" spans="1:19" x14ac:dyDescent="0.2">
      <c r="A1345" s="1"/>
      <c r="B1345" s="1"/>
      <c r="C1345" s="1"/>
      <c r="D1345" s="1"/>
      <c r="E1345" s="1"/>
      <c r="F1345" s="1"/>
      <c r="H1345" s="1"/>
      <c r="I1345" s="1"/>
      <c r="J1345" s="1"/>
      <c r="K1345" s="1"/>
      <c r="L1345" s="1"/>
      <c r="M1345" s="1"/>
      <c r="N1345" s="1"/>
      <c r="O1345" s="1"/>
      <c r="P1345" s="1"/>
      <c r="Q1345" s="1"/>
      <c r="R1345" s="1"/>
      <c r="S1345" s="1"/>
    </row>
    <row r="1346" spans="1:19" x14ac:dyDescent="0.2">
      <c r="A1346" s="1"/>
      <c r="B1346" s="1"/>
      <c r="C1346" s="1"/>
      <c r="D1346" s="1"/>
      <c r="E1346" s="1"/>
      <c r="F1346" s="1"/>
      <c r="H1346" s="1"/>
      <c r="I1346" s="1"/>
      <c r="J1346" s="1"/>
      <c r="K1346" s="1"/>
      <c r="L1346" s="1"/>
      <c r="M1346" s="1"/>
      <c r="N1346" s="1"/>
      <c r="O1346" s="1"/>
      <c r="P1346" s="1"/>
      <c r="Q1346" s="1"/>
      <c r="R1346" s="1"/>
      <c r="S1346" s="1"/>
    </row>
    <row r="1347" spans="1:19" x14ac:dyDescent="0.2">
      <c r="A1347" s="1"/>
      <c r="B1347" s="1"/>
      <c r="C1347" s="1"/>
      <c r="D1347" s="1"/>
      <c r="E1347" s="1"/>
      <c r="F1347" s="1"/>
      <c r="H1347" s="1"/>
      <c r="I1347" s="1"/>
      <c r="J1347" s="1"/>
      <c r="K1347" s="1"/>
      <c r="L1347" s="1"/>
      <c r="M1347" s="1"/>
      <c r="N1347" s="1"/>
      <c r="O1347" s="1"/>
      <c r="P1347" s="1"/>
      <c r="Q1347" s="1"/>
      <c r="R1347" s="1"/>
      <c r="S1347" s="1"/>
    </row>
    <row r="1348" spans="1:19" x14ac:dyDescent="0.2">
      <c r="A1348" s="1"/>
      <c r="B1348" s="1"/>
      <c r="C1348" s="1"/>
      <c r="D1348" s="1"/>
      <c r="E1348" s="1"/>
      <c r="F1348" s="1"/>
      <c r="H1348" s="1"/>
      <c r="I1348" s="1"/>
      <c r="J1348" s="1"/>
      <c r="K1348" s="1"/>
      <c r="L1348" s="1"/>
      <c r="M1348" s="1"/>
      <c r="N1348" s="1"/>
      <c r="O1348" s="1"/>
      <c r="P1348" s="1"/>
      <c r="Q1348" s="1"/>
      <c r="R1348" s="1"/>
      <c r="S1348" s="1"/>
    </row>
    <row r="1349" spans="1:19" x14ac:dyDescent="0.2">
      <c r="A1349" s="1"/>
      <c r="B1349" s="1"/>
      <c r="C1349" s="1"/>
      <c r="D1349" s="1"/>
      <c r="E1349" s="1"/>
      <c r="F1349" s="1"/>
      <c r="H1349" s="1"/>
      <c r="I1349" s="1"/>
      <c r="J1349" s="1"/>
      <c r="K1349" s="1"/>
      <c r="L1349" s="1"/>
      <c r="M1349" s="1"/>
      <c r="N1349" s="1"/>
      <c r="O1349" s="1"/>
      <c r="P1349" s="1"/>
      <c r="Q1349" s="1"/>
      <c r="R1349" s="1"/>
      <c r="S1349" s="1"/>
    </row>
    <row r="1350" spans="1:19" x14ac:dyDescent="0.2">
      <c r="A1350" s="1"/>
      <c r="B1350" s="1"/>
      <c r="C1350" s="1"/>
      <c r="D1350" s="1"/>
      <c r="E1350" s="1"/>
      <c r="F1350" s="1"/>
      <c r="H1350" s="1"/>
      <c r="I1350" s="1"/>
      <c r="J1350" s="1"/>
      <c r="K1350" s="1"/>
      <c r="L1350" s="1"/>
      <c r="M1350" s="1"/>
      <c r="N1350" s="1"/>
      <c r="O1350" s="1"/>
      <c r="P1350" s="1"/>
      <c r="Q1350" s="1"/>
      <c r="R1350" s="1"/>
      <c r="S1350" s="1"/>
    </row>
    <row r="1351" spans="1:19" x14ac:dyDescent="0.2">
      <c r="A1351" s="1"/>
      <c r="B1351" s="1"/>
      <c r="C1351" s="1"/>
      <c r="D1351" s="1"/>
      <c r="E1351" s="1"/>
      <c r="F1351" s="1"/>
      <c r="H1351" s="1"/>
      <c r="I1351" s="1"/>
      <c r="J1351" s="1"/>
      <c r="K1351" s="1"/>
      <c r="L1351" s="1"/>
      <c r="M1351" s="1"/>
      <c r="N1351" s="1"/>
      <c r="O1351" s="1"/>
      <c r="P1351" s="1"/>
      <c r="Q1351" s="1"/>
      <c r="R1351" s="1"/>
      <c r="S1351" s="1"/>
    </row>
    <row r="1352" spans="1:19" x14ac:dyDescent="0.2">
      <c r="A1352" s="1"/>
      <c r="B1352" s="1"/>
      <c r="C1352" s="1"/>
      <c r="D1352" s="1"/>
      <c r="E1352" s="1"/>
      <c r="F1352" s="1"/>
      <c r="H1352" s="1"/>
      <c r="I1352" s="1"/>
      <c r="J1352" s="1"/>
      <c r="K1352" s="1"/>
      <c r="L1352" s="1"/>
      <c r="M1352" s="1"/>
      <c r="N1352" s="1"/>
      <c r="O1352" s="1"/>
      <c r="P1352" s="1"/>
      <c r="Q1352" s="1"/>
      <c r="R1352" s="1"/>
      <c r="S1352" s="1"/>
    </row>
    <row r="1353" spans="1:19" x14ac:dyDescent="0.2">
      <c r="A1353" s="1"/>
      <c r="B1353" s="1"/>
      <c r="C1353" s="1"/>
      <c r="D1353" s="1"/>
      <c r="E1353" s="1"/>
      <c r="F1353" s="1"/>
      <c r="H1353" s="1"/>
      <c r="I1353" s="1"/>
      <c r="J1353" s="1"/>
      <c r="K1353" s="1"/>
      <c r="L1353" s="1"/>
      <c r="M1353" s="1"/>
      <c r="N1353" s="1"/>
      <c r="O1353" s="1"/>
      <c r="P1353" s="1"/>
      <c r="Q1353" s="1"/>
      <c r="R1353" s="1"/>
      <c r="S1353" s="1"/>
    </row>
    <row r="1354" spans="1:19" x14ac:dyDescent="0.2">
      <c r="A1354" s="1"/>
      <c r="B1354" s="1"/>
      <c r="C1354" s="1"/>
      <c r="D1354" s="1"/>
      <c r="E1354" s="1"/>
      <c r="F1354" s="1"/>
      <c r="H1354" s="1"/>
      <c r="I1354" s="1"/>
      <c r="J1354" s="1"/>
      <c r="K1354" s="1"/>
      <c r="L1354" s="1"/>
      <c r="M1354" s="1"/>
      <c r="N1354" s="1"/>
      <c r="O1354" s="1"/>
      <c r="P1354" s="1"/>
      <c r="Q1354" s="1"/>
      <c r="R1354" s="1"/>
      <c r="S1354" s="1"/>
    </row>
    <row r="1355" spans="1:19" x14ac:dyDescent="0.2">
      <c r="A1355" s="1"/>
      <c r="B1355" s="1"/>
      <c r="C1355" s="1"/>
      <c r="D1355" s="1"/>
      <c r="E1355" s="1"/>
      <c r="F1355" s="1"/>
      <c r="H1355" s="1"/>
      <c r="I1355" s="1"/>
      <c r="J1355" s="1"/>
      <c r="K1355" s="1"/>
      <c r="L1355" s="1"/>
      <c r="M1355" s="1"/>
      <c r="N1355" s="1"/>
      <c r="O1355" s="1"/>
      <c r="P1355" s="1"/>
      <c r="Q1355" s="1"/>
      <c r="R1355" s="1"/>
      <c r="S1355" s="1"/>
    </row>
    <row r="1356" spans="1:19" x14ac:dyDescent="0.2">
      <c r="A1356" s="1"/>
      <c r="B1356" s="1"/>
      <c r="C1356" s="1"/>
      <c r="D1356" s="1"/>
      <c r="E1356" s="1"/>
      <c r="F1356" s="1"/>
      <c r="H1356" s="1"/>
      <c r="I1356" s="1"/>
      <c r="J1356" s="1"/>
      <c r="K1356" s="1"/>
      <c r="L1356" s="1"/>
      <c r="M1356" s="1"/>
      <c r="N1356" s="1"/>
      <c r="O1356" s="1"/>
      <c r="P1356" s="1"/>
      <c r="Q1356" s="1"/>
      <c r="R1356" s="1"/>
      <c r="S1356" s="1"/>
    </row>
    <row r="1357" spans="1:19" x14ac:dyDescent="0.2">
      <c r="A1357" s="1"/>
      <c r="B1357" s="1"/>
      <c r="C1357" s="1"/>
      <c r="D1357" s="1"/>
      <c r="E1357" s="1"/>
      <c r="F1357" s="1"/>
      <c r="H1357" s="1"/>
      <c r="I1357" s="1"/>
      <c r="J1357" s="1"/>
      <c r="K1357" s="1"/>
      <c r="L1357" s="1"/>
      <c r="M1357" s="1"/>
      <c r="N1357" s="1"/>
      <c r="O1357" s="1"/>
      <c r="P1357" s="1"/>
      <c r="Q1357" s="1"/>
      <c r="R1357" s="1"/>
      <c r="S1357" s="1"/>
    </row>
    <row r="1358" spans="1:19" x14ac:dyDescent="0.2">
      <c r="A1358" s="1"/>
      <c r="B1358" s="1"/>
      <c r="C1358" s="1"/>
      <c r="D1358" s="1"/>
      <c r="E1358" s="1"/>
      <c r="F1358" s="1"/>
      <c r="H1358" s="1"/>
      <c r="I1358" s="1"/>
      <c r="J1358" s="1"/>
      <c r="K1358" s="1"/>
      <c r="L1358" s="1"/>
      <c r="M1358" s="1"/>
      <c r="N1358" s="1"/>
      <c r="O1358" s="1"/>
      <c r="P1358" s="1"/>
      <c r="Q1358" s="1"/>
      <c r="R1358" s="1"/>
      <c r="S1358" s="1"/>
    </row>
    <row r="1359" spans="1:19" x14ac:dyDescent="0.2">
      <c r="A1359" s="1"/>
      <c r="B1359" s="1"/>
      <c r="C1359" s="1"/>
      <c r="D1359" s="1"/>
      <c r="E1359" s="1"/>
      <c r="F1359" s="1"/>
      <c r="H1359" s="1"/>
      <c r="I1359" s="1"/>
      <c r="J1359" s="1"/>
      <c r="K1359" s="1"/>
      <c r="L1359" s="1"/>
      <c r="M1359" s="1"/>
      <c r="N1359" s="1"/>
      <c r="O1359" s="1"/>
      <c r="P1359" s="1"/>
      <c r="Q1359" s="1"/>
      <c r="R1359" s="1"/>
      <c r="S1359" s="1"/>
    </row>
    <row r="1360" spans="1:19" x14ac:dyDescent="0.2">
      <c r="A1360" s="1"/>
      <c r="B1360" s="1"/>
      <c r="C1360" s="1"/>
      <c r="D1360" s="1"/>
      <c r="E1360" s="1"/>
      <c r="F1360" s="1"/>
      <c r="H1360" s="1"/>
      <c r="I1360" s="1"/>
      <c r="J1360" s="1"/>
      <c r="K1360" s="1"/>
      <c r="L1360" s="1"/>
      <c r="M1360" s="1"/>
      <c r="N1360" s="1"/>
      <c r="O1360" s="1"/>
      <c r="P1360" s="1"/>
      <c r="Q1360" s="1"/>
      <c r="R1360" s="1"/>
      <c r="S1360" s="1"/>
    </row>
    <row r="1361" spans="1:19" x14ac:dyDescent="0.2">
      <c r="A1361" s="1"/>
      <c r="B1361" s="1"/>
      <c r="C1361" s="1"/>
      <c r="D1361" s="1"/>
      <c r="E1361" s="1"/>
      <c r="F1361" s="1"/>
      <c r="H1361" s="1"/>
      <c r="I1361" s="1"/>
      <c r="J1361" s="1"/>
      <c r="K1361" s="1"/>
      <c r="L1361" s="1"/>
      <c r="M1361" s="1"/>
      <c r="N1361" s="1"/>
      <c r="O1361" s="1"/>
      <c r="P1361" s="1"/>
      <c r="Q1361" s="1"/>
      <c r="R1361" s="1"/>
      <c r="S1361" s="1"/>
    </row>
    <row r="1362" spans="1:19" x14ac:dyDescent="0.2">
      <c r="A1362" s="1"/>
      <c r="B1362" s="1"/>
      <c r="C1362" s="1"/>
      <c r="D1362" s="1"/>
      <c r="E1362" s="1"/>
      <c r="F1362" s="1"/>
      <c r="H1362" s="1"/>
      <c r="I1362" s="1"/>
      <c r="J1362" s="1"/>
      <c r="K1362" s="1"/>
      <c r="L1362" s="1"/>
      <c r="M1362" s="1"/>
      <c r="N1362" s="1"/>
      <c r="O1362" s="1"/>
      <c r="P1362" s="1"/>
      <c r="Q1362" s="1"/>
      <c r="R1362" s="1"/>
      <c r="S1362" s="1"/>
    </row>
    <row r="1363" spans="1:19" x14ac:dyDescent="0.2">
      <c r="A1363" s="1"/>
      <c r="B1363" s="1"/>
      <c r="C1363" s="1"/>
      <c r="D1363" s="1"/>
      <c r="E1363" s="1"/>
      <c r="F1363" s="1"/>
      <c r="H1363" s="1"/>
      <c r="I1363" s="1"/>
      <c r="J1363" s="1"/>
      <c r="K1363" s="1"/>
      <c r="L1363" s="1"/>
      <c r="M1363" s="1"/>
      <c r="N1363" s="1"/>
      <c r="O1363" s="1"/>
      <c r="P1363" s="1"/>
      <c r="Q1363" s="1"/>
      <c r="R1363" s="1"/>
      <c r="S1363" s="1"/>
    </row>
    <row r="1364" spans="1:19" x14ac:dyDescent="0.2">
      <c r="A1364" s="1"/>
      <c r="B1364" s="1"/>
      <c r="C1364" s="1"/>
      <c r="D1364" s="1"/>
      <c r="E1364" s="1"/>
      <c r="F1364" s="1"/>
      <c r="H1364" s="1"/>
      <c r="I1364" s="1"/>
      <c r="J1364" s="1"/>
      <c r="K1364" s="1"/>
      <c r="L1364" s="1"/>
      <c r="M1364" s="1"/>
      <c r="N1364" s="1"/>
      <c r="O1364" s="1"/>
      <c r="P1364" s="1"/>
      <c r="Q1364" s="1"/>
      <c r="R1364" s="1"/>
      <c r="S1364" s="1"/>
    </row>
    <row r="1365" spans="1:19" x14ac:dyDescent="0.2">
      <c r="A1365" s="1"/>
      <c r="B1365" s="1"/>
      <c r="C1365" s="1"/>
      <c r="D1365" s="1"/>
      <c r="E1365" s="1"/>
      <c r="F1365" s="1"/>
      <c r="H1365" s="1"/>
      <c r="I1365" s="1"/>
      <c r="J1365" s="1"/>
      <c r="K1365" s="1"/>
      <c r="L1365" s="1"/>
      <c r="M1365" s="1"/>
      <c r="N1365" s="1"/>
      <c r="O1365" s="1"/>
      <c r="P1365" s="1"/>
      <c r="Q1365" s="1"/>
      <c r="R1365" s="1"/>
      <c r="S1365" s="1"/>
    </row>
    <row r="1366" spans="1:19" x14ac:dyDescent="0.2">
      <c r="A1366" s="1"/>
      <c r="B1366" s="1"/>
      <c r="C1366" s="1"/>
      <c r="D1366" s="1"/>
      <c r="E1366" s="1"/>
      <c r="F1366" s="1"/>
      <c r="H1366" s="1"/>
      <c r="I1366" s="1"/>
      <c r="J1366" s="1"/>
      <c r="K1366" s="1"/>
      <c r="L1366" s="1"/>
      <c r="M1366" s="1"/>
      <c r="N1366" s="1"/>
      <c r="O1366" s="1"/>
      <c r="P1366" s="1"/>
      <c r="Q1366" s="1"/>
      <c r="R1366" s="1"/>
      <c r="S1366" s="1"/>
    </row>
    <row r="1367" spans="1:19" x14ac:dyDescent="0.2">
      <c r="A1367" s="1"/>
      <c r="B1367" s="1"/>
      <c r="C1367" s="1"/>
      <c r="D1367" s="1"/>
      <c r="E1367" s="1"/>
      <c r="F1367" s="1"/>
      <c r="H1367" s="1"/>
      <c r="I1367" s="1"/>
      <c r="J1367" s="1"/>
      <c r="K1367" s="1"/>
      <c r="L1367" s="1"/>
      <c r="M1367" s="1"/>
      <c r="N1367" s="1"/>
      <c r="O1367" s="1"/>
      <c r="P1367" s="1"/>
      <c r="Q1367" s="1"/>
      <c r="R1367" s="1"/>
      <c r="S1367" s="1"/>
    </row>
    <row r="1368" spans="1:19" x14ac:dyDescent="0.2">
      <c r="A1368" s="1"/>
      <c r="B1368" s="1"/>
      <c r="C1368" s="1"/>
      <c r="D1368" s="1"/>
      <c r="E1368" s="1"/>
      <c r="F1368" s="1"/>
      <c r="H1368" s="1"/>
      <c r="I1368" s="1"/>
      <c r="J1368" s="1"/>
      <c r="K1368" s="1"/>
      <c r="L1368" s="1"/>
      <c r="M1368" s="1"/>
      <c r="N1368" s="1"/>
      <c r="O1368" s="1"/>
      <c r="P1368" s="1"/>
      <c r="Q1368" s="1"/>
      <c r="R1368" s="1"/>
      <c r="S1368" s="1"/>
    </row>
    <row r="1369" spans="1:19" x14ac:dyDescent="0.2">
      <c r="A1369" s="1"/>
      <c r="B1369" s="1"/>
      <c r="C1369" s="1"/>
      <c r="D1369" s="1"/>
      <c r="E1369" s="1"/>
      <c r="F1369" s="1"/>
      <c r="H1369" s="1"/>
      <c r="I1369" s="1"/>
      <c r="J1369" s="1"/>
      <c r="K1369" s="1"/>
      <c r="L1369" s="1"/>
      <c r="M1369" s="1"/>
      <c r="N1369" s="1"/>
      <c r="O1369" s="1"/>
      <c r="P1369" s="1"/>
      <c r="Q1369" s="1"/>
      <c r="R1369" s="1"/>
      <c r="S1369" s="1"/>
    </row>
    <row r="1370" spans="1:19" x14ac:dyDescent="0.2">
      <c r="A1370" s="1"/>
      <c r="B1370" s="1"/>
      <c r="C1370" s="1"/>
      <c r="D1370" s="1"/>
      <c r="E1370" s="1"/>
      <c r="F1370" s="1"/>
      <c r="H1370" s="1"/>
      <c r="I1370" s="1"/>
      <c r="J1370" s="1"/>
      <c r="K1370" s="1"/>
      <c r="L1370" s="1"/>
      <c r="M1370" s="1"/>
      <c r="N1370" s="1"/>
      <c r="O1370" s="1"/>
      <c r="P1370" s="1"/>
      <c r="Q1370" s="1"/>
      <c r="R1370" s="1"/>
      <c r="S1370" s="1"/>
    </row>
    <row r="1371" spans="1:19" x14ac:dyDescent="0.2">
      <c r="A1371" s="1"/>
      <c r="B1371" s="1"/>
      <c r="C1371" s="1"/>
      <c r="D1371" s="1"/>
      <c r="E1371" s="1"/>
      <c r="F1371" s="1"/>
      <c r="H1371" s="1"/>
      <c r="I1371" s="1"/>
      <c r="J1371" s="1"/>
      <c r="K1371" s="1"/>
      <c r="L1371" s="1"/>
      <c r="M1371" s="1"/>
      <c r="N1371" s="1"/>
      <c r="O1371" s="1"/>
      <c r="P1371" s="1"/>
      <c r="Q1371" s="1"/>
      <c r="R1371" s="1"/>
      <c r="S1371" s="1"/>
    </row>
    <row r="1372" spans="1:19" x14ac:dyDescent="0.2">
      <c r="A1372" s="1"/>
      <c r="B1372" s="1"/>
      <c r="C1372" s="1"/>
      <c r="D1372" s="1"/>
      <c r="E1372" s="1"/>
      <c r="F1372" s="1"/>
      <c r="H1372" s="1"/>
      <c r="I1372" s="1"/>
      <c r="J1372" s="1"/>
      <c r="K1372" s="1"/>
      <c r="L1372" s="1"/>
      <c r="M1372" s="1"/>
      <c r="N1372" s="1"/>
      <c r="O1372" s="1"/>
      <c r="P1372" s="1"/>
      <c r="Q1372" s="1"/>
      <c r="R1372" s="1"/>
      <c r="S1372" s="1"/>
    </row>
    <row r="1373" spans="1:19" x14ac:dyDescent="0.2">
      <c r="A1373" s="1"/>
      <c r="B1373" s="1"/>
      <c r="C1373" s="1"/>
      <c r="D1373" s="1"/>
      <c r="E1373" s="1"/>
      <c r="F1373" s="1"/>
      <c r="H1373" s="1"/>
      <c r="I1373" s="1"/>
      <c r="J1373" s="1"/>
      <c r="K1373" s="1"/>
      <c r="L1373" s="1"/>
      <c r="M1373" s="1"/>
      <c r="N1373" s="1"/>
      <c r="O1373" s="1"/>
      <c r="P1373" s="1"/>
      <c r="Q1373" s="1"/>
      <c r="R1373" s="1"/>
      <c r="S1373" s="1"/>
    </row>
    <row r="1374" spans="1:19" x14ac:dyDescent="0.2">
      <c r="A1374" s="1"/>
      <c r="B1374" s="1"/>
      <c r="C1374" s="1"/>
      <c r="D1374" s="1"/>
      <c r="E1374" s="1"/>
      <c r="F1374" s="1"/>
      <c r="H1374" s="1"/>
      <c r="I1374" s="1"/>
      <c r="J1374" s="1"/>
      <c r="K1374" s="1"/>
      <c r="L1374" s="1"/>
      <c r="M1374" s="1"/>
      <c r="N1374" s="1"/>
      <c r="O1374" s="1"/>
      <c r="P1374" s="1"/>
      <c r="Q1374" s="1"/>
      <c r="R1374" s="1"/>
      <c r="S1374" s="1"/>
    </row>
    <row r="1375" spans="1:19" x14ac:dyDescent="0.2">
      <c r="A1375" s="1"/>
      <c r="B1375" s="1"/>
      <c r="C1375" s="1"/>
      <c r="D1375" s="1"/>
      <c r="E1375" s="1"/>
      <c r="F1375" s="1"/>
      <c r="H1375" s="1"/>
      <c r="I1375" s="1"/>
      <c r="J1375" s="1"/>
      <c r="K1375" s="1"/>
      <c r="L1375" s="1"/>
      <c r="M1375" s="1"/>
      <c r="N1375" s="1"/>
      <c r="O1375" s="1"/>
      <c r="P1375" s="1"/>
      <c r="Q1375" s="1"/>
      <c r="R1375" s="1"/>
      <c r="S1375" s="1"/>
    </row>
    <row r="1376" spans="1:19" x14ac:dyDescent="0.2">
      <c r="A1376" s="1"/>
      <c r="B1376" s="1"/>
      <c r="C1376" s="1"/>
      <c r="D1376" s="1"/>
      <c r="E1376" s="1"/>
      <c r="F1376" s="1"/>
      <c r="H1376" s="1"/>
      <c r="I1376" s="1"/>
      <c r="J1376" s="1"/>
      <c r="K1376" s="1"/>
      <c r="L1376" s="1"/>
      <c r="M1376" s="1"/>
      <c r="N1376" s="1"/>
      <c r="O1376" s="1"/>
      <c r="P1376" s="1"/>
      <c r="Q1376" s="1"/>
      <c r="R1376" s="1"/>
      <c r="S1376" s="1"/>
    </row>
    <row r="1377" spans="1:19" x14ac:dyDescent="0.2">
      <c r="A1377" s="1"/>
      <c r="B1377" s="1"/>
      <c r="C1377" s="1"/>
      <c r="D1377" s="1"/>
      <c r="E1377" s="1"/>
      <c r="F1377" s="1"/>
      <c r="H1377" s="1"/>
      <c r="I1377" s="1"/>
      <c r="J1377" s="1"/>
      <c r="K1377" s="1"/>
      <c r="L1377" s="1"/>
      <c r="M1377" s="1"/>
      <c r="N1377" s="1"/>
      <c r="O1377" s="1"/>
      <c r="P1377" s="1"/>
      <c r="Q1377" s="1"/>
      <c r="R1377" s="1"/>
      <c r="S1377" s="1"/>
    </row>
    <row r="1378" spans="1:19" x14ac:dyDescent="0.2">
      <c r="A1378" s="1"/>
      <c r="B1378" s="1"/>
      <c r="C1378" s="1"/>
      <c r="D1378" s="1"/>
      <c r="E1378" s="1"/>
      <c r="F1378" s="1"/>
      <c r="H1378" s="1"/>
      <c r="I1378" s="1"/>
      <c r="J1378" s="1"/>
      <c r="K1378" s="1"/>
      <c r="L1378" s="1"/>
      <c r="M1378" s="1"/>
      <c r="N1378" s="1"/>
      <c r="O1378" s="1"/>
      <c r="P1378" s="1"/>
      <c r="Q1378" s="1"/>
      <c r="R1378" s="1"/>
      <c r="S1378" s="1"/>
    </row>
    <row r="1379" spans="1:19" x14ac:dyDescent="0.2">
      <c r="A1379" s="1"/>
      <c r="B1379" s="1"/>
      <c r="C1379" s="1"/>
      <c r="D1379" s="1"/>
      <c r="E1379" s="1"/>
      <c r="F1379" s="1"/>
      <c r="H1379" s="1"/>
      <c r="I1379" s="1"/>
      <c r="J1379" s="1"/>
      <c r="K1379" s="1"/>
      <c r="L1379" s="1"/>
      <c r="M1379" s="1"/>
      <c r="N1379" s="1"/>
      <c r="O1379" s="1"/>
      <c r="P1379" s="1"/>
      <c r="Q1379" s="1"/>
      <c r="R1379" s="1"/>
      <c r="S1379" s="1"/>
    </row>
    <row r="1380" spans="1:19" x14ac:dyDescent="0.2">
      <c r="A1380" s="1"/>
      <c r="B1380" s="1"/>
      <c r="C1380" s="1"/>
      <c r="D1380" s="1"/>
      <c r="E1380" s="1"/>
      <c r="F1380" s="1"/>
      <c r="H1380" s="1"/>
      <c r="I1380" s="1"/>
      <c r="J1380" s="1"/>
      <c r="K1380" s="1"/>
      <c r="L1380" s="1"/>
      <c r="M1380" s="1"/>
      <c r="N1380" s="1"/>
      <c r="O1380" s="1"/>
      <c r="P1380" s="1"/>
      <c r="Q1380" s="1"/>
      <c r="R1380" s="1"/>
      <c r="S1380" s="1"/>
    </row>
    <row r="1381" spans="1:19" x14ac:dyDescent="0.2">
      <c r="A1381" s="1"/>
      <c r="B1381" s="1"/>
      <c r="C1381" s="1"/>
      <c r="D1381" s="1"/>
      <c r="E1381" s="1"/>
      <c r="F1381" s="1"/>
      <c r="H1381" s="1"/>
      <c r="I1381" s="1"/>
      <c r="J1381" s="1"/>
      <c r="K1381" s="1"/>
      <c r="L1381" s="1"/>
      <c r="M1381" s="1"/>
      <c r="N1381" s="1"/>
      <c r="O1381" s="1"/>
      <c r="P1381" s="1"/>
      <c r="Q1381" s="1"/>
      <c r="R1381" s="1"/>
      <c r="S1381" s="1"/>
    </row>
    <row r="1382" spans="1:19" x14ac:dyDescent="0.2">
      <c r="A1382" s="1"/>
      <c r="B1382" s="1"/>
      <c r="C1382" s="1"/>
      <c r="D1382" s="1"/>
      <c r="E1382" s="1"/>
      <c r="F1382" s="1"/>
      <c r="H1382" s="1"/>
      <c r="I1382" s="1"/>
      <c r="J1382" s="1"/>
      <c r="K1382" s="1"/>
      <c r="L1382" s="1"/>
      <c r="M1382" s="1"/>
      <c r="N1382" s="1"/>
      <c r="O1382" s="1"/>
      <c r="P1382" s="1"/>
      <c r="Q1382" s="1"/>
      <c r="R1382" s="1"/>
      <c r="S1382" s="1"/>
    </row>
    <row r="1383" spans="1:19" x14ac:dyDescent="0.2">
      <c r="A1383" s="1"/>
      <c r="B1383" s="1"/>
      <c r="C1383" s="1"/>
      <c r="D1383" s="1"/>
      <c r="E1383" s="1"/>
      <c r="F1383" s="1"/>
      <c r="H1383" s="1"/>
      <c r="I1383" s="1"/>
      <c r="J1383" s="1"/>
      <c r="K1383" s="1"/>
      <c r="L1383" s="1"/>
      <c r="M1383" s="1"/>
      <c r="N1383" s="1"/>
      <c r="O1383" s="1"/>
      <c r="P1383" s="1"/>
      <c r="Q1383" s="1"/>
      <c r="R1383" s="1"/>
      <c r="S1383" s="1"/>
    </row>
    <row r="1384" spans="1:19" x14ac:dyDescent="0.2">
      <c r="A1384" s="1"/>
      <c r="B1384" s="1"/>
      <c r="C1384" s="1"/>
      <c r="D1384" s="1"/>
      <c r="E1384" s="1"/>
      <c r="F1384" s="1"/>
      <c r="H1384" s="1"/>
      <c r="I1384" s="1"/>
      <c r="J1384" s="1"/>
      <c r="K1384" s="1"/>
      <c r="L1384" s="1"/>
      <c r="M1384" s="1"/>
      <c r="N1384" s="1"/>
      <c r="O1384" s="1"/>
      <c r="P1384" s="1"/>
      <c r="Q1384" s="1"/>
      <c r="R1384" s="1"/>
      <c r="S1384" s="1"/>
    </row>
    <row r="1385" spans="1:19" x14ac:dyDescent="0.2">
      <c r="A1385" s="1"/>
      <c r="B1385" s="1"/>
      <c r="C1385" s="1"/>
      <c r="D1385" s="1"/>
      <c r="E1385" s="1"/>
      <c r="F1385" s="1"/>
      <c r="H1385" s="1"/>
      <c r="I1385" s="1"/>
      <c r="J1385" s="1"/>
      <c r="K1385" s="1"/>
      <c r="L1385" s="1"/>
      <c r="M1385" s="1"/>
      <c r="N1385" s="1"/>
      <c r="O1385" s="1"/>
      <c r="P1385" s="1"/>
      <c r="Q1385" s="1"/>
      <c r="R1385" s="1"/>
      <c r="S1385" s="1"/>
    </row>
    <row r="1386" spans="1:19" x14ac:dyDescent="0.2">
      <c r="A1386" s="1"/>
      <c r="B1386" s="1"/>
      <c r="C1386" s="1"/>
      <c r="D1386" s="1"/>
      <c r="E1386" s="1"/>
      <c r="F1386" s="1"/>
      <c r="H1386" s="1"/>
      <c r="I1386" s="1"/>
      <c r="J1386" s="1"/>
      <c r="K1386" s="1"/>
      <c r="L1386" s="1"/>
      <c r="M1386" s="1"/>
      <c r="N1386" s="1"/>
      <c r="O1386" s="1"/>
      <c r="P1386" s="1"/>
      <c r="Q1386" s="1"/>
      <c r="R1386" s="1"/>
      <c r="S1386" s="1"/>
    </row>
    <row r="1387" spans="1:19" x14ac:dyDescent="0.2">
      <c r="A1387" s="1"/>
      <c r="B1387" s="1"/>
      <c r="C1387" s="1"/>
      <c r="D1387" s="1"/>
      <c r="E1387" s="1"/>
      <c r="F1387" s="1"/>
      <c r="H1387" s="1"/>
      <c r="I1387" s="1"/>
      <c r="J1387" s="1"/>
      <c r="K1387" s="1"/>
      <c r="L1387" s="1"/>
      <c r="M1387" s="1"/>
      <c r="N1387" s="1"/>
      <c r="O1387" s="1"/>
      <c r="P1387" s="1"/>
      <c r="Q1387" s="1"/>
      <c r="R1387" s="1"/>
      <c r="S1387" s="1"/>
    </row>
    <row r="1388" spans="1:19" x14ac:dyDescent="0.2">
      <c r="A1388" s="1"/>
      <c r="B1388" s="1"/>
      <c r="C1388" s="1"/>
      <c r="D1388" s="1"/>
      <c r="E1388" s="1"/>
      <c r="F1388" s="1"/>
      <c r="H1388" s="1"/>
      <c r="I1388" s="1"/>
      <c r="J1388" s="1"/>
      <c r="K1388" s="1"/>
      <c r="L1388" s="1"/>
      <c r="M1388" s="1"/>
      <c r="N1388" s="1"/>
      <c r="O1388" s="1"/>
      <c r="P1388" s="1"/>
      <c r="Q1388" s="1"/>
      <c r="R1388" s="1"/>
      <c r="S1388" s="1"/>
    </row>
    <row r="1389" spans="1:19" x14ac:dyDescent="0.2">
      <c r="A1389" s="1"/>
      <c r="B1389" s="1"/>
      <c r="C1389" s="1"/>
      <c r="D1389" s="1"/>
      <c r="E1389" s="1"/>
      <c r="F1389" s="1"/>
      <c r="H1389" s="1"/>
      <c r="I1389" s="1"/>
      <c r="J1389" s="1"/>
      <c r="K1389" s="1"/>
      <c r="L1389" s="1"/>
      <c r="M1389" s="1"/>
      <c r="N1389" s="1"/>
      <c r="O1389" s="1"/>
      <c r="P1389" s="1"/>
      <c r="Q1389" s="1"/>
      <c r="R1389" s="1"/>
      <c r="S1389" s="1"/>
    </row>
    <row r="1390" spans="1:19" x14ac:dyDescent="0.2">
      <c r="A1390" s="1"/>
      <c r="B1390" s="1"/>
      <c r="C1390" s="1"/>
      <c r="D1390" s="1"/>
      <c r="E1390" s="1"/>
      <c r="F1390" s="1"/>
      <c r="H1390" s="1"/>
      <c r="I1390" s="1"/>
      <c r="J1390" s="1"/>
      <c r="K1390" s="1"/>
      <c r="L1390" s="1"/>
      <c r="M1390" s="1"/>
      <c r="N1390" s="1"/>
      <c r="O1390" s="1"/>
      <c r="P1390" s="1"/>
      <c r="Q1390" s="1"/>
      <c r="R1390" s="1"/>
      <c r="S1390" s="1"/>
    </row>
    <row r="1391" spans="1:19" x14ac:dyDescent="0.2">
      <c r="A1391" s="1"/>
      <c r="B1391" s="1"/>
      <c r="C1391" s="1"/>
      <c r="D1391" s="1"/>
      <c r="E1391" s="1"/>
      <c r="F1391" s="1"/>
      <c r="H1391" s="1"/>
      <c r="I1391" s="1"/>
      <c r="J1391" s="1"/>
      <c r="K1391" s="1"/>
      <c r="L1391" s="1"/>
      <c r="M1391" s="1"/>
      <c r="N1391" s="1"/>
      <c r="O1391" s="1"/>
      <c r="P1391" s="1"/>
      <c r="Q1391" s="1"/>
      <c r="R1391" s="1"/>
      <c r="S1391" s="1"/>
    </row>
    <row r="1392" spans="1:19" x14ac:dyDescent="0.2">
      <c r="A1392" s="1"/>
      <c r="B1392" s="1"/>
      <c r="C1392" s="1"/>
      <c r="D1392" s="1"/>
      <c r="E1392" s="1"/>
      <c r="F1392" s="1"/>
      <c r="H1392" s="1"/>
      <c r="I1392" s="1"/>
      <c r="J1392" s="1"/>
      <c r="K1392" s="1"/>
      <c r="L1392" s="1"/>
      <c r="M1392" s="1"/>
      <c r="N1392" s="1"/>
      <c r="O1392" s="1"/>
      <c r="P1392" s="1"/>
      <c r="Q1392" s="1"/>
      <c r="R1392" s="1"/>
      <c r="S1392" s="1"/>
    </row>
    <row r="1393" spans="1:19" x14ac:dyDescent="0.2">
      <c r="A1393" s="1"/>
      <c r="B1393" s="1"/>
      <c r="C1393" s="1"/>
      <c r="D1393" s="1"/>
      <c r="E1393" s="1"/>
      <c r="F1393" s="1"/>
      <c r="H1393" s="1"/>
      <c r="I1393" s="1"/>
      <c r="J1393" s="1"/>
      <c r="K1393" s="1"/>
      <c r="L1393" s="1"/>
      <c r="M1393" s="1"/>
      <c r="N1393" s="1"/>
      <c r="O1393" s="1"/>
      <c r="P1393" s="1"/>
      <c r="Q1393" s="1"/>
      <c r="R1393" s="1"/>
      <c r="S1393" s="1"/>
    </row>
    <row r="1394" spans="1:19" x14ac:dyDescent="0.2">
      <c r="A1394" s="1"/>
      <c r="B1394" s="1"/>
      <c r="C1394" s="1"/>
      <c r="D1394" s="1"/>
      <c r="E1394" s="1"/>
      <c r="F1394" s="1"/>
      <c r="H1394" s="1"/>
      <c r="I1394" s="1"/>
      <c r="J1394" s="1"/>
      <c r="K1394" s="1"/>
      <c r="L1394" s="1"/>
      <c r="M1394" s="1"/>
      <c r="N1394" s="1"/>
      <c r="O1394" s="1"/>
      <c r="P1394" s="1"/>
      <c r="Q1394" s="1"/>
      <c r="R1394" s="1"/>
      <c r="S1394" s="1"/>
    </row>
    <row r="1395" spans="1:19" x14ac:dyDescent="0.2">
      <c r="A1395" s="1"/>
      <c r="B1395" s="1"/>
      <c r="C1395" s="1"/>
      <c r="D1395" s="1"/>
      <c r="E1395" s="1"/>
      <c r="F1395" s="1"/>
      <c r="H1395" s="1"/>
      <c r="I1395" s="1"/>
      <c r="J1395" s="1"/>
      <c r="K1395" s="1"/>
      <c r="L1395" s="1"/>
      <c r="M1395" s="1"/>
      <c r="N1395" s="1"/>
      <c r="O1395" s="1"/>
      <c r="P1395" s="1"/>
      <c r="Q1395" s="1"/>
      <c r="R1395" s="1"/>
      <c r="S1395" s="1"/>
    </row>
    <row r="1396" spans="1:19" x14ac:dyDescent="0.2">
      <c r="A1396" s="1"/>
      <c r="B1396" s="1"/>
      <c r="C1396" s="1"/>
      <c r="D1396" s="1"/>
      <c r="E1396" s="1"/>
      <c r="F1396" s="1"/>
      <c r="H1396" s="1"/>
      <c r="I1396" s="1"/>
      <c r="J1396" s="1"/>
      <c r="K1396" s="1"/>
      <c r="L1396" s="1"/>
      <c r="M1396" s="1"/>
      <c r="N1396" s="1"/>
      <c r="O1396" s="1"/>
      <c r="P1396" s="1"/>
      <c r="Q1396" s="1"/>
      <c r="R1396" s="1"/>
      <c r="S1396" s="1"/>
    </row>
    <row r="1397" spans="1:19" x14ac:dyDescent="0.2">
      <c r="A1397" s="1"/>
      <c r="B1397" s="1"/>
      <c r="C1397" s="1"/>
      <c r="D1397" s="1"/>
      <c r="E1397" s="1"/>
      <c r="F1397" s="1"/>
      <c r="H1397" s="1"/>
      <c r="I1397" s="1"/>
      <c r="J1397" s="1"/>
      <c r="K1397" s="1"/>
      <c r="L1397" s="1"/>
      <c r="M1397" s="1"/>
      <c r="N1397" s="1"/>
      <c r="O1397" s="1"/>
      <c r="P1397" s="1"/>
      <c r="Q1397" s="1"/>
      <c r="R1397" s="1"/>
      <c r="S1397" s="1"/>
    </row>
    <row r="1398" spans="1:19" x14ac:dyDescent="0.2">
      <c r="A1398" s="1"/>
      <c r="B1398" s="1"/>
      <c r="C1398" s="1"/>
      <c r="D1398" s="1"/>
      <c r="E1398" s="1"/>
      <c r="F1398" s="1"/>
      <c r="H1398" s="1"/>
      <c r="I1398" s="1"/>
      <c r="J1398" s="1"/>
      <c r="K1398" s="1"/>
      <c r="L1398" s="1"/>
      <c r="M1398" s="1"/>
      <c r="N1398" s="1"/>
      <c r="O1398" s="1"/>
      <c r="P1398" s="1"/>
      <c r="Q1398" s="1"/>
      <c r="R1398" s="1"/>
      <c r="S1398" s="1"/>
    </row>
    <row r="1399" spans="1:19" x14ac:dyDescent="0.2">
      <c r="A1399" s="1"/>
      <c r="B1399" s="1"/>
      <c r="C1399" s="1"/>
      <c r="D1399" s="1"/>
      <c r="E1399" s="1"/>
      <c r="F1399" s="1"/>
      <c r="H1399" s="1"/>
      <c r="I1399" s="1"/>
      <c r="J1399" s="1"/>
      <c r="K1399" s="1"/>
      <c r="L1399" s="1"/>
      <c r="M1399" s="1"/>
      <c r="N1399" s="1"/>
      <c r="O1399" s="1"/>
      <c r="P1399" s="1"/>
      <c r="Q1399" s="1"/>
      <c r="R1399" s="1"/>
      <c r="S1399" s="1"/>
    </row>
    <row r="1400" spans="1:19" x14ac:dyDescent="0.2">
      <c r="A1400" s="1"/>
      <c r="B1400" s="1"/>
      <c r="C1400" s="1"/>
      <c r="D1400" s="1"/>
      <c r="E1400" s="1"/>
      <c r="F1400" s="1"/>
      <c r="H1400" s="1"/>
      <c r="I1400" s="1"/>
      <c r="J1400" s="1"/>
      <c r="K1400" s="1"/>
      <c r="L1400" s="1"/>
      <c r="M1400" s="1"/>
      <c r="N1400" s="1"/>
      <c r="O1400" s="1"/>
      <c r="P1400" s="1"/>
      <c r="Q1400" s="1"/>
      <c r="R1400" s="1"/>
      <c r="S1400" s="1"/>
    </row>
    <row r="1401" spans="1:19" x14ac:dyDescent="0.2">
      <c r="A1401" s="1"/>
      <c r="B1401" s="1"/>
      <c r="C1401" s="1"/>
      <c r="D1401" s="1"/>
      <c r="E1401" s="1"/>
      <c r="F1401" s="1"/>
      <c r="H1401" s="1"/>
      <c r="I1401" s="1"/>
      <c r="J1401" s="1"/>
      <c r="K1401" s="1"/>
      <c r="L1401" s="1"/>
      <c r="M1401" s="1"/>
      <c r="N1401" s="1"/>
      <c r="O1401" s="1"/>
      <c r="P1401" s="1"/>
      <c r="Q1401" s="1"/>
      <c r="R1401" s="1"/>
      <c r="S1401" s="1"/>
    </row>
    <row r="1402" spans="1:19" x14ac:dyDescent="0.2">
      <c r="A1402" s="1"/>
      <c r="B1402" s="1"/>
      <c r="C1402" s="1"/>
      <c r="D1402" s="1"/>
      <c r="E1402" s="1"/>
      <c r="F1402" s="1"/>
      <c r="H1402" s="1"/>
      <c r="I1402" s="1"/>
      <c r="J1402" s="1"/>
      <c r="K1402" s="1"/>
      <c r="L1402" s="1"/>
      <c r="M1402" s="1"/>
      <c r="N1402" s="1"/>
      <c r="O1402" s="1"/>
      <c r="P1402" s="1"/>
      <c r="Q1402" s="1"/>
      <c r="R1402" s="1"/>
      <c r="S1402" s="1"/>
    </row>
    <row r="1403" spans="1:19" x14ac:dyDescent="0.2">
      <c r="A1403" s="1"/>
      <c r="B1403" s="1"/>
      <c r="C1403" s="1"/>
      <c r="D1403" s="1"/>
      <c r="E1403" s="1"/>
      <c r="F1403" s="1"/>
      <c r="H1403" s="1"/>
      <c r="I1403" s="1"/>
      <c r="J1403" s="1"/>
      <c r="K1403" s="1"/>
      <c r="L1403" s="1"/>
      <c r="M1403" s="1"/>
      <c r="N1403" s="1"/>
      <c r="O1403" s="1"/>
      <c r="P1403" s="1"/>
      <c r="Q1403" s="1"/>
      <c r="R1403" s="1"/>
      <c r="S1403" s="1"/>
    </row>
    <row r="1404" spans="1:19" x14ac:dyDescent="0.2">
      <c r="A1404" s="1"/>
      <c r="B1404" s="1"/>
      <c r="C1404" s="1"/>
      <c r="D1404" s="1"/>
      <c r="E1404" s="1"/>
      <c r="F1404" s="1"/>
      <c r="H1404" s="1"/>
      <c r="I1404" s="1"/>
      <c r="J1404" s="1"/>
      <c r="K1404" s="1"/>
      <c r="L1404" s="1"/>
      <c r="M1404" s="1"/>
      <c r="N1404" s="1"/>
      <c r="O1404" s="1"/>
      <c r="P1404" s="1"/>
      <c r="Q1404" s="1"/>
      <c r="R1404" s="1"/>
      <c r="S1404" s="1"/>
    </row>
    <row r="1405" spans="1:19" x14ac:dyDescent="0.2">
      <c r="A1405" s="1"/>
      <c r="B1405" s="1"/>
      <c r="C1405" s="1"/>
      <c r="D1405" s="1"/>
      <c r="E1405" s="1"/>
      <c r="F1405" s="1"/>
      <c r="H1405" s="1"/>
      <c r="I1405" s="1"/>
      <c r="J1405" s="1"/>
      <c r="K1405" s="1"/>
      <c r="L1405" s="1"/>
      <c r="M1405" s="1"/>
      <c r="N1405" s="1"/>
      <c r="O1405" s="1"/>
      <c r="P1405" s="1"/>
      <c r="Q1405" s="1"/>
      <c r="R1405" s="1"/>
      <c r="S1405" s="1"/>
    </row>
    <row r="1406" spans="1:19" x14ac:dyDescent="0.2">
      <c r="A1406" s="1"/>
      <c r="B1406" s="1"/>
      <c r="C1406" s="1"/>
      <c r="D1406" s="1"/>
      <c r="E1406" s="1"/>
      <c r="F1406" s="1"/>
      <c r="H1406" s="1"/>
      <c r="I1406" s="1"/>
      <c r="J1406" s="1"/>
      <c r="K1406" s="1"/>
      <c r="L1406" s="1"/>
      <c r="M1406" s="1"/>
      <c r="N1406" s="1"/>
      <c r="O1406" s="1"/>
      <c r="P1406" s="1"/>
      <c r="Q1406" s="1"/>
      <c r="R1406" s="1"/>
      <c r="S1406" s="1"/>
    </row>
    <row r="1407" spans="1:19" x14ac:dyDescent="0.2">
      <c r="A1407" s="1"/>
      <c r="B1407" s="1"/>
      <c r="C1407" s="1"/>
      <c r="D1407" s="1"/>
      <c r="E1407" s="1"/>
      <c r="F1407" s="1"/>
      <c r="H1407" s="1"/>
      <c r="I1407" s="1"/>
      <c r="J1407" s="1"/>
      <c r="K1407" s="1"/>
      <c r="L1407" s="1"/>
      <c r="M1407" s="1"/>
      <c r="N1407" s="1"/>
      <c r="O1407" s="1"/>
      <c r="P1407" s="1"/>
      <c r="Q1407" s="1"/>
      <c r="R1407" s="1"/>
      <c r="S1407" s="1"/>
    </row>
    <row r="1408" spans="1:19" x14ac:dyDescent="0.2">
      <c r="A1408" s="1"/>
      <c r="B1408" s="1"/>
      <c r="C1408" s="1"/>
      <c r="D1408" s="1"/>
      <c r="E1408" s="1"/>
      <c r="F1408" s="1"/>
      <c r="H1408" s="1"/>
      <c r="I1408" s="1"/>
      <c r="J1408" s="1"/>
      <c r="K1408" s="1"/>
      <c r="L1408" s="1"/>
      <c r="M1408" s="1"/>
      <c r="N1408" s="1"/>
      <c r="O1408" s="1"/>
      <c r="P1408" s="1"/>
      <c r="Q1408" s="1"/>
      <c r="R1408" s="1"/>
      <c r="S1408" s="1"/>
    </row>
    <row r="1409" spans="1:19" x14ac:dyDescent="0.2">
      <c r="A1409" s="1"/>
      <c r="B1409" s="1"/>
      <c r="C1409" s="1"/>
      <c r="D1409" s="1"/>
      <c r="E1409" s="1"/>
      <c r="F1409" s="1"/>
      <c r="H1409" s="1"/>
      <c r="I1409" s="1"/>
      <c r="J1409" s="1"/>
      <c r="K1409" s="1"/>
      <c r="L1409" s="1"/>
      <c r="M1409" s="1"/>
      <c r="N1409" s="1"/>
      <c r="O1409" s="1"/>
      <c r="P1409" s="1"/>
      <c r="Q1409" s="1"/>
      <c r="R1409" s="1"/>
      <c r="S1409" s="1"/>
    </row>
    <row r="1410" spans="1:19" x14ac:dyDescent="0.2">
      <c r="A1410" s="1"/>
      <c r="B1410" s="1"/>
      <c r="C1410" s="1"/>
      <c r="D1410" s="1"/>
      <c r="E1410" s="1"/>
      <c r="F1410" s="1"/>
      <c r="H1410" s="1"/>
      <c r="I1410" s="1"/>
      <c r="J1410" s="1"/>
      <c r="K1410" s="1"/>
      <c r="L1410" s="1"/>
      <c r="M1410" s="1"/>
      <c r="N1410" s="1"/>
      <c r="O1410" s="1"/>
      <c r="P1410" s="1"/>
      <c r="Q1410" s="1"/>
      <c r="R1410" s="1"/>
      <c r="S1410" s="1"/>
    </row>
    <row r="1411" spans="1:19" x14ac:dyDescent="0.2">
      <c r="A1411" s="1"/>
      <c r="B1411" s="1"/>
      <c r="C1411" s="1"/>
      <c r="D1411" s="1"/>
      <c r="E1411" s="1"/>
      <c r="F1411" s="1"/>
      <c r="H1411" s="1"/>
      <c r="I1411" s="1"/>
      <c r="J1411" s="1"/>
      <c r="K1411" s="1"/>
      <c r="L1411" s="1"/>
      <c r="M1411" s="1"/>
      <c r="N1411" s="1"/>
      <c r="O1411" s="1"/>
      <c r="P1411" s="1"/>
      <c r="Q1411" s="1"/>
      <c r="R1411" s="1"/>
      <c r="S1411" s="1"/>
    </row>
    <row r="1412" spans="1:19" x14ac:dyDescent="0.2">
      <c r="A1412" s="1"/>
      <c r="B1412" s="1"/>
      <c r="C1412" s="1"/>
      <c r="D1412" s="1"/>
      <c r="E1412" s="1"/>
      <c r="F1412" s="1"/>
      <c r="H1412" s="1"/>
      <c r="I1412" s="1"/>
      <c r="J1412" s="1"/>
      <c r="K1412" s="1"/>
      <c r="L1412" s="1"/>
      <c r="M1412" s="1"/>
      <c r="N1412" s="1"/>
      <c r="O1412" s="1"/>
      <c r="P1412" s="1"/>
      <c r="Q1412" s="1"/>
      <c r="R1412" s="1"/>
      <c r="S1412" s="1"/>
    </row>
    <row r="1413" spans="1:19" x14ac:dyDescent="0.2">
      <c r="A1413" s="1"/>
      <c r="B1413" s="1"/>
      <c r="C1413" s="1"/>
      <c r="D1413" s="1"/>
      <c r="E1413" s="1"/>
      <c r="F1413" s="1"/>
      <c r="H1413" s="1"/>
      <c r="I1413" s="1"/>
      <c r="J1413" s="1"/>
      <c r="K1413" s="1"/>
      <c r="L1413" s="1"/>
      <c r="M1413" s="1"/>
      <c r="N1413" s="1"/>
      <c r="O1413" s="1"/>
      <c r="P1413" s="1"/>
      <c r="Q1413" s="1"/>
      <c r="R1413" s="1"/>
      <c r="S1413" s="1"/>
    </row>
    <row r="1414" spans="1:19" x14ac:dyDescent="0.2">
      <c r="A1414" s="1"/>
      <c r="B1414" s="1"/>
      <c r="C1414" s="1"/>
      <c r="D1414" s="1"/>
      <c r="E1414" s="1"/>
      <c r="F1414" s="1"/>
      <c r="H1414" s="1"/>
      <c r="I1414" s="1"/>
      <c r="J1414" s="1"/>
      <c r="K1414" s="1"/>
      <c r="L1414" s="1"/>
      <c r="M1414" s="1"/>
      <c r="N1414" s="1"/>
      <c r="O1414" s="1"/>
      <c r="P1414" s="1"/>
      <c r="Q1414" s="1"/>
      <c r="R1414" s="1"/>
      <c r="S1414" s="1"/>
    </row>
    <row r="1415" spans="1:19" x14ac:dyDescent="0.2">
      <c r="A1415" s="1"/>
      <c r="B1415" s="1"/>
      <c r="C1415" s="1"/>
      <c r="D1415" s="1"/>
      <c r="E1415" s="1"/>
      <c r="F1415" s="1"/>
      <c r="H1415" s="1"/>
      <c r="I1415" s="1"/>
      <c r="J1415" s="1"/>
      <c r="K1415" s="1"/>
      <c r="L1415" s="1"/>
      <c r="M1415" s="1"/>
      <c r="N1415" s="1"/>
      <c r="O1415" s="1"/>
      <c r="P1415" s="1"/>
      <c r="Q1415" s="1"/>
      <c r="R1415" s="1"/>
      <c r="S1415" s="1"/>
    </row>
    <row r="1416" spans="1:19" x14ac:dyDescent="0.2">
      <c r="A1416" s="1"/>
      <c r="B1416" s="1"/>
      <c r="C1416" s="1"/>
      <c r="D1416" s="1"/>
      <c r="E1416" s="1"/>
      <c r="F1416" s="1"/>
      <c r="H1416" s="1"/>
      <c r="I1416" s="1"/>
      <c r="J1416" s="1"/>
      <c r="K1416" s="1"/>
      <c r="L1416" s="1"/>
      <c r="M1416" s="1"/>
      <c r="N1416" s="1"/>
      <c r="O1416" s="1"/>
      <c r="P1416" s="1"/>
      <c r="Q1416" s="1"/>
      <c r="R1416" s="1"/>
      <c r="S1416" s="1"/>
    </row>
    <row r="1417" spans="1:19" x14ac:dyDescent="0.2">
      <c r="A1417" s="1"/>
      <c r="B1417" s="1"/>
      <c r="C1417" s="1"/>
      <c r="D1417" s="1"/>
      <c r="E1417" s="1"/>
      <c r="F1417" s="1"/>
      <c r="H1417" s="1"/>
      <c r="I1417" s="1"/>
      <c r="J1417" s="1"/>
      <c r="K1417" s="1"/>
      <c r="L1417" s="1"/>
      <c r="M1417" s="1"/>
      <c r="N1417" s="1"/>
      <c r="O1417" s="1"/>
      <c r="P1417" s="1"/>
      <c r="Q1417" s="1"/>
      <c r="R1417" s="1"/>
      <c r="S1417" s="1"/>
    </row>
    <row r="1418" spans="1:19" x14ac:dyDescent="0.2">
      <c r="A1418" s="1"/>
      <c r="B1418" s="1"/>
      <c r="C1418" s="1"/>
      <c r="D1418" s="1"/>
      <c r="E1418" s="1"/>
      <c r="F1418" s="1"/>
      <c r="H1418" s="1"/>
      <c r="I1418" s="1"/>
      <c r="J1418" s="1"/>
      <c r="K1418" s="1"/>
      <c r="L1418" s="1"/>
      <c r="M1418" s="1"/>
      <c r="N1418" s="1"/>
      <c r="O1418" s="1"/>
      <c r="P1418" s="1"/>
      <c r="Q1418" s="1"/>
      <c r="R1418" s="1"/>
      <c r="S1418" s="1"/>
    </row>
    <row r="1419" spans="1:19" x14ac:dyDescent="0.2">
      <c r="A1419" s="1"/>
      <c r="B1419" s="1"/>
      <c r="C1419" s="1"/>
      <c r="D1419" s="1"/>
      <c r="E1419" s="1"/>
      <c r="F1419" s="1"/>
      <c r="H1419" s="1"/>
      <c r="I1419" s="1"/>
      <c r="J1419" s="1"/>
      <c r="K1419" s="1"/>
      <c r="L1419" s="1"/>
      <c r="M1419" s="1"/>
      <c r="N1419" s="1"/>
      <c r="O1419" s="1"/>
      <c r="P1419" s="1"/>
      <c r="Q1419" s="1"/>
      <c r="R1419" s="1"/>
      <c r="S1419" s="1"/>
    </row>
    <row r="1420" spans="1:19" x14ac:dyDescent="0.2">
      <c r="A1420" s="1"/>
      <c r="B1420" s="1"/>
      <c r="C1420" s="1"/>
      <c r="D1420" s="1"/>
      <c r="E1420" s="1"/>
      <c r="F1420" s="1"/>
      <c r="H1420" s="1"/>
      <c r="I1420" s="1"/>
      <c r="J1420" s="1"/>
      <c r="K1420" s="1"/>
      <c r="L1420" s="1"/>
      <c r="M1420" s="1"/>
      <c r="N1420" s="1"/>
      <c r="O1420" s="1"/>
      <c r="P1420" s="1"/>
      <c r="Q1420" s="1"/>
      <c r="R1420" s="1"/>
      <c r="S1420" s="1"/>
    </row>
    <row r="1421" spans="1:19" x14ac:dyDescent="0.2">
      <c r="A1421" s="1"/>
      <c r="B1421" s="1"/>
      <c r="C1421" s="1"/>
      <c r="D1421" s="1"/>
      <c r="E1421" s="1"/>
      <c r="F1421" s="1"/>
      <c r="H1421" s="1"/>
      <c r="I1421" s="1"/>
      <c r="J1421" s="1"/>
      <c r="K1421" s="1"/>
      <c r="L1421" s="1"/>
      <c r="M1421" s="1"/>
      <c r="N1421" s="1"/>
      <c r="O1421" s="1"/>
      <c r="P1421" s="1"/>
      <c r="Q1421" s="1"/>
      <c r="R1421" s="1"/>
      <c r="S1421" s="1"/>
    </row>
    <row r="1422" spans="1:19" x14ac:dyDescent="0.2">
      <c r="A1422" s="1"/>
      <c r="B1422" s="1"/>
      <c r="C1422" s="1"/>
      <c r="D1422" s="1"/>
      <c r="E1422" s="1"/>
      <c r="F1422" s="1"/>
      <c r="H1422" s="1"/>
      <c r="I1422" s="1"/>
      <c r="J1422" s="1"/>
      <c r="K1422" s="1"/>
      <c r="L1422" s="1"/>
      <c r="M1422" s="1"/>
      <c r="N1422" s="1"/>
      <c r="O1422" s="1"/>
      <c r="P1422" s="1"/>
      <c r="Q1422" s="1"/>
      <c r="R1422" s="1"/>
      <c r="S1422" s="1"/>
    </row>
    <row r="1423" spans="1:19" x14ac:dyDescent="0.2">
      <c r="A1423" s="1"/>
      <c r="B1423" s="1"/>
      <c r="C1423" s="1"/>
      <c r="D1423" s="1"/>
      <c r="E1423" s="1"/>
      <c r="F1423" s="1"/>
      <c r="H1423" s="1"/>
      <c r="I1423" s="1"/>
      <c r="J1423" s="1"/>
      <c r="K1423" s="1"/>
      <c r="L1423" s="1"/>
      <c r="M1423" s="1"/>
      <c r="N1423" s="1"/>
      <c r="O1423" s="1"/>
      <c r="P1423" s="1"/>
      <c r="Q1423" s="1"/>
      <c r="R1423" s="1"/>
      <c r="S1423" s="1"/>
    </row>
    <row r="1424" spans="1:19" x14ac:dyDescent="0.2">
      <c r="A1424" s="1"/>
      <c r="B1424" s="1"/>
      <c r="C1424" s="1"/>
      <c r="D1424" s="1"/>
      <c r="E1424" s="1"/>
      <c r="F1424" s="1"/>
      <c r="H1424" s="1"/>
      <c r="I1424" s="1"/>
      <c r="J1424" s="1"/>
      <c r="K1424" s="1"/>
      <c r="L1424" s="1"/>
      <c r="M1424" s="1"/>
      <c r="N1424" s="1"/>
      <c r="O1424" s="1"/>
      <c r="P1424" s="1"/>
      <c r="Q1424" s="1"/>
      <c r="R1424" s="1"/>
      <c r="S1424" s="1"/>
    </row>
    <row r="1425" spans="1:19" x14ac:dyDescent="0.2">
      <c r="A1425" s="1"/>
      <c r="B1425" s="1"/>
      <c r="C1425" s="1"/>
      <c r="D1425" s="1"/>
      <c r="E1425" s="1"/>
      <c r="F1425" s="1"/>
      <c r="H1425" s="1"/>
      <c r="I1425" s="1"/>
      <c r="J1425" s="1"/>
      <c r="K1425" s="1"/>
      <c r="L1425" s="1"/>
      <c r="M1425" s="1"/>
      <c r="N1425" s="1"/>
      <c r="O1425" s="1"/>
      <c r="P1425" s="1"/>
      <c r="Q1425" s="1"/>
      <c r="R1425" s="1"/>
      <c r="S1425" s="1"/>
    </row>
    <row r="1426" spans="1:19" x14ac:dyDescent="0.2">
      <c r="A1426" s="1"/>
      <c r="B1426" s="1"/>
      <c r="C1426" s="1"/>
      <c r="D1426" s="1"/>
      <c r="E1426" s="1"/>
      <c r="F1426" s="1"/>
      <c r="H1426" s="1"/>
      <c r="I1426" s="1"/>
      <c r="J1426" s="1"/>
      <c r="K1426" s="1"/>
      <c r="L1426" s="1"/>
      <c r="M1426" s="1"/>
      <c r="N1426" s="1"/>
      <c r="O1426" s="1"/>
      <c r="P1426" s="1"/>
      <c r="Q1426" s="1"/>
      <c r="R1426" s="1"/>
      <c r="S1426" s="1"/>
    </row>
    <row r="1427" spans="1:19" x14ac:dyDescent="0.2">
      <c r="A1427" s="1"/>
      <c r="B1427" s="1"/>
      <c r="C1427" s="1"/>
      <c r="D1427" s="1"/>
      <c r="E1427" s="1"/>
      <c r="F1427" s="1"/>
      <c r="H1427" s="1"/>
      <c r="I1427" s="1"/>
      <c r="J1427" s="1"/>
      <c r="K1427" s="1"/>
      <c r="L1427" s="1"/>
      <c r="M1427" s="1"/>
      <c r="N1427" s="1"/>
      <c r="O1427" s="1"/>
      <c r="P1427" s="1"/>
      <c r="Q1427" s="1"/>
      <c r="R1427" s="1"/>
      <c r="S1427" s="1"/>
    </row>
    <row r="1428" spans="1:19" x14ac:dyDescent="0.2">
      <c r="A1428" s="1"/>
      <c r="B1428" s="1"/>
      <c r="C1428" s="1"/>
      <c r="D1428" s="1"/>
      <c r="E1428" s="1"/>
      <c r="F1428" s="1"/>
      <c r="H1428" s="1"/>
      <c r="I1428" s="1"/>
      <c r="J1428" s="1"/>
      <c r="K1428" s="1"/>
      <c r="L1428" s="1"/>
      <c r="M1428" s="1"/>
      <c r="N1428" s="1"/>
      <c r="O1428" s="1"/>
      <c r="P1428" s="1"/>
      <c r="Q1428" s="1"/>
      <c r="R1428" s="1"/>
      <c r="S1428" s="1"/>
    </row>
    <row r="1429" spans="1:19" x14ac:dyDescent="0.2">
      <c r="A1429" s="1"/>
      <c r="B1429" s="1"/>
      <c r="C1429" s="1"/>
      <c r="D1429" s="1"/>
      <c r="E1429" s="1"/>
      <c r="F1429" s="1"/>
      <c r="H1429" s="1"/>
      <c r="I1429" s="1"/>
      <c r="J1429" s="1"/>
      <c r="K1429" s="1"/>
      <c r="L1429" s="1"/>
      <c r="M1429" s="1"/>
      <c r="N1429" s="1"/>
      <c r="O1429" s="1"/>
      <c r="P1429" s="1"/>
      <c r="Q1429" s="1"/>
      <c r="R1429" s="1"/>
      <c r="S1429" s="1"/>
    </row>
    <row r="1430" spans="1:19" x14ac:dyDescent="0.2">
      <c r="A1430" s="1"/>
      <c r="B1430" s="1"/>
      <c r="C1430" s="1"/>
      <c r="D1430" s="1"/>
      <c r="E1430" s="1"/>
      <c r="F1430" s="1"/>
      <c r="H1430" s="1"/>
      <c r="I1430" s="1"/>
      <c r="J1430" s="1"/>
      <c r="K1430" s="1"/>
      <c r="L1430" s="1"/>
      <c r="M1430" s="1"/>
      <c r="N1430" s="1"/>
      <c r="O1430" s="1"/>
      <c r="P1430" s="1"/>
      <c r="Q1430" s="1"/>
      <c r="R1430" s="1"/>
      <c r="S1430" s="1"/>
    </row>
    <row r="1431" spans="1:19" x14ac:dyDescent="0.2">
      <c r="A1431" s="1"/>
      <c r="B1431" s="1"/>
      <c r="C1431" s="1"/>
      <c r="D1431" s="1"/>
      <c r="E1431" s="1"/>
      <c r="F1431" s="1"/>
      <c r="H1431" s="1"/>
      <c r="I1431" s="1"/>
      <c r="J1431" s="1"/>
      <c r="K1431" s="1"/>
      <c r="L1431" s="1"/>
      <c r="M1431" s="1"/>
      <c r="N1431" s="1"/>
      <c r="O1431" s="1"/>
      <c r="P1431" s="1"/>
      <c r="Q1431" s="1"/>
      <c r="R1431" s="1"/>
      <c r="S1431" s="1"/>
    </row>
    <row r="1432" spans="1:19" x14ac:dyDescent="0.2">
      <c r="A1432" s="1"/>
      <c r="B1432" s="1"/>
      <c r="C1432" s="1"/>
      <c r="D1432" s="1"/>
      <c r="E1432" s="1"/>
      <c r="F1432" s="1"/>
      <c r="H1432" s="1"/>
      <c r="I1432" s="1"/>
      <c r="J1432" s="1"/>
      <c r="K1432" s="1"/>
      <c r="L1432" s="1"/>
      <c r="M1432" s="1"/>
      <c r="N1432" s="1"/>
      <c r="O1432" s="1"/>
      <c r="P1432" s="1"/>
      <c r="Q1432" s="1"/>
      <c r="R1432" s="1"/>
      <c r="S1432" s="1"/>
    </row>
    <row r="1433" spans="1:19" x14ac:dyDescent="0.2">
      <c r="A1433" s="1"/>
      <c r="B1433" s="1"/>
      <c r="C1433" s="1"/>
      <c r="D1433" s="1"/>
      <c r="E1433" s="1"/>
      <c r="F1433" s="1"/>
      <c r="H1433" s="1"/>
      <c r="I1433" s="1"/>
      <c r="J1433" s="1"/>
      <c r="K1433" s="1"/>
      <c r="L1433" s="1"/>
      <c r="M1433" s="1"/>
      <c r="N1433" s="1"/>
      <c r="O1433" s="1"/>
      <c r="P1433" s="1"/>
      <c r="Q1433" s="1"/>
      <c r="R1433" s="1"/>
      <c r="S1433" s="1"/>
    </row>
    <row r="1434" spans="1:19" x14ac:dyDescent="0.2">
      <c r="A1434" s="1"/>
      <c r="B1434" s="1"/>
      <c r="C1434" s="1"/>
      <c r="D1434" s="1"/>
      <c r="E1434" s="1"/>
      <c r="F1434" s="1"/>
      <c r="H1434" s="1"/>
      <c r="I1434" s="1"/>
      <c r="J1434" s="1"/>
      <c r="K1434" s="1"/>
      <c r="L1434" s="1"/>
      <c r="M1434" s="1"/>
      <c r="N1434" s="1"/>
      <c r="O1434" s="1"/>
      <c r="P1434" s="1"/>
      <c r="Q1434" s="1"/>
      <c r="R1434" s="1"/>
      <c r="S1434" s="1"/>
    </row>
    <row r="1435" spans="1:19" x14ac:dyDescent="0.2">
      <c r="A1435" s="1"/>
      <c r="B1435" s="1"/>
      <c r="C1435" s="1"/>
      <c r="D1435" s="1"/>
      <c r="E1435" s="1"/>
      <c r="F1435" s="1"/>
      <c r="H1435" s="1"/>
      <c r="I1435" s="1"/>
      <c r="J1435" s="1"/>
      <c r="K1435" s="1"/>
      <c r="L1435" s="1"/>
      <c r="M1435" s="1"/>
      <c r="N1435" s="1"/>
      <c r="O1435" s="1"/>
      <c r="P1435" s="1"/>
      <c r="Q1435" s="1"/>
      <c r="R1435" s="1"/>
      <c r="S1435" s="1"/>
    </row>
    <row r="1436" spans="1:19" x14ac:dyDescent="0.2">
      <c r="A1436" s="1"/>
      <c r="B1436" s="1"/>
      <c r="C1436" s="1"/>
      <c r="D1436" s="1"/>
      <c r="E1436" s="1"/>
      <c r="F1436" s="1"/>
      <c r="H1436" s="1"/>
      <c r="I1436" s="1"/>
      <c r="J1436" s="1"/>
      <c r="K1436" s="1"/>
      <c r="L1436" s="1"/>
      <c r="M1436" s="1"/>
      <c r="N1436" s="1"/>
      <c r="O1436" s="1"/>
      <c r="P1436" s="1"/>
      <c r="Q1436" s="1"/>
      <c r="R1436" s="1"/>
      <c r="S1436" s="1"/>
    </row>
    <row r="1437" spans="1:19" x14ac:dyDescent="0.2">
      <c r="A1437" s="1"/>
      <c r="B1437" s="1"/>
      <c r="C1437" s="1"/>
      <c r="D1437" s="1"/>
      <c r="E1437" s="1"/>
      <c r="F1437" s="1"/>
      <c r="H1437" s="1"/>
      <c r="I1437" s="1"/>
      <c r="J1437" s="1"/>
      <c r="K1437" s="1"/>
      <c r="L1437" s="1"/>
      <c r="M1437" s="1"/>
      <c r="N1437" s="1"/>
      <c r="O1437" s="1"/>
      <c r="P1437" s="1"/>
      <c r="Q1437" s="1"/>
      <c r="R1437" s="1"/>
      <c r="S1437" s="1"/>
    </row>
    <row r="1438" spans="1:19" x14ac:dyDescent="0.2">
      <c r="A1438" s="1"/>
      <c r="B1438" s="1"/>
      <c r="C1438" s="1"/>
      <c r="D1438" s="1"/>
      <c r="E1438" s="1"/>
      <c r="F1438" s="1"/>
      <c r="H1438" s="1"/>
      <c r="I1438" s="1"/>
      <c r="J1438" s="1"/>
      <c r="K1438" s="1"/>
      <c r="L1438" s="1"/>
      <c r="M1438" s="1"/>
      <c r="N1438" s="1"/>
      <c r="O1438" s="1"/>
      <c r="P1438" s="1"/>
      <c r="Q1438" s="1"/>
      <c r="R1438" s="1"/>
      <c r="S1438" s="1"/>
    </row>
    <row r="1439" spans="1:19" x14ac:dyDescent="0.2">
      <c r="A1439" s="1"/>
      <c r="B1439" s="1"/>
      <c r="C1439" s="1"/>
      <c r="D1439" s="1"/>
      <c r="E1439" s="1"/>
      <c r="F1439" s="1"/>
      <c r="H1439" s="1"/>
      <c r="I1439" s="1"/>
      <c r="J1439" s="1"/>
      <c r="K1439" s="1"/>
      <c r="L1439" s="1"/>
      <c r="M1439" s="1"/>
      <c r="N1439" s="1"/>
      <c r="O1439" s="1"/>
      <c r="P1439" s="1"/>
      <c r="Q1439" s="1"/>
      <c r="R1439" s="1"/>
      <c r="S1439" s="1"/>
    </row>
    <row r="1440" spans="1:19" x14ac:dyDescent="0.2">
      <c r="A1440" s="1"/>
      <c r="B1440" s="1"/>
      <c r="C1440" s="1"/>
      <c r="D1440" s="1"/>
      <c r="E1440" s="1"/>
      <c r="F1440" s="1"/>
      <c r="H1440" s="1"/>
      <c r="I1440" s="1"/>
      <c r="J1440" s="1"/>
      <c r="K1440" s="1"/>
      <c r="L1440" s="1"/>
      <c r="M1440" s="1"/>
      <c r="N1440" s="1"/>
      <c r="O1440" s="1"/>
      <c r="P1440" s="1"/>
      <c r="Q1440" s="1"/>
      <c r="R1440" s="1"/>
      <c r="S1440" s="1"/>
    </row>
    <row r="1441" spans="1:19" x14ac:dyDescent="0.2">
      <c r="A1441" s="1"/>
      <c r="B1441" s="1"/>
      <c r="C1441" s="1"/>
      <c r="D1441" s="1"/>
      <c r="E1441" s="1"/>
      <c r="F1441" s="1"/>
      <c r="H1441" s="1"/>
      <c r="I1441" s="1"/>
      <c r="J1441" s="1"/>
      <c r="K1441" s="1"/>
      <c r="L1441" s="1"/>
      <c r="M1441" s="1"/>
      <c r="N1441" s="1"/>
      <c r="O1441" s="1"/>
      <c r="P1441" s="1"/>
      <c r="Q1441" s="1"/>
      <c r="R1441" s="1"/>
      <c r="S1441" s="1"/>
    </row>
    <row r="1442" spans="1:19" x14ac:dyDescent="0.2">
      <c r="A1442" s="1"/>
      <c r="B1442" s="1"/>
      <c r="C1442" s="1"/>
      <c r="D1442" s="1"/>
      <c r="E1442" s="1"/>
      <c r="F1442" s="1"/>
      <c r="H1442" s="1"/>
      <c r="I1442" s="1"/>
      <c r="J1442" s="1"/>
      <c r="K1442" s="1"/>
      <c r="L1442" s="1"/>
      <c r="M1442" s="1"/>
      <c r="N1442" s="1"/>
      <c r="O1442" s="1"/>
      <c r="P1442" s="1"/>
      <c r="Q1442" s="1"/>
      <c r="R1442" s="1"/>
      <c r="S1442" s="1"/>
    </row>
    <row r="1443" spans="1:19" x14ac:dyDescent="0.2">
      <c r="A1443" s="1"/>
      <c r="B1443" s="1"/>
      <c r="C1443" s="1"/>
      <c r="D1443" s="1"/>
      <c r="E1443" s="1"/>
      <c r="F1443" s="1"/>
      <c r="H1443" s="1"/>
      <c r="I1443" s="1"/>
      <c r="J1443" s="1"/>
      <c r="K1443" s="1"/>
      <c r="L1443" s="1"/>
      <c r="M1443" s="1"/>
      <c r="N1443" s="1"/>
      <c r="O1443" s="1"/>
      <c r="P1443" s="1"/>
      <c r="Q1443" s="1"/>
      <c r="R1443" s="1"/>
      <c r="S1443" s="1"/>
    </row>
    <row r="1444" spans="1:19" x14ac:dyDescent="0.2">
      <c r="A1444" s="1"/>
      <c r="B1444" s="1"/>
      <c r="C1444" s="1"/>
      <c r="D1444" s="1"/>
      <c r="E1444" s="1"/>
      <c r="F1444" s="1"/>
      <c r="H1444" s="1"/>
      <c r="I1444" s="1"/>
      <c r="J1444" s="1"/>
      <c r="K1444" s="1"/>
      <c r="L1444" s="1"/>
      <c r="M1444" s="1"/>
      <c r="N1444" s="1"/>
      <c r="O1444" s="1"/>
      <c r="P1444" s="1"/>
      <c r="Q1444" s="1"/>
      <c r="R1444" s="1"/>
      <c r="S1444" s="1"/>
    </row>
    <row r="1445" spans="1:19" x14ac:dyDescent="0.2">
      <c r="A1445" s="1"/>
      <c r="B1445" s="1"/>
      <c r="C1445" s="1"/>
      <c r="D1445" s="1"/>
      <c r="E1445" s="1"/>
      <c r="F1445" s="1"/>
      <c r="H1445" s="1"/>
      <c r="I1445" s="1"/>
      <c r="J1445" s="1"/>
      <c r="K1445" s="1"/>
      <c r="L1445" s="1"/>
      <c r="M1445" s="1"/>
      <c r="N1445" s="1"/>
      <c r="O1445" s="1"/>
      <c r="P1445" s="1"/>
      <c r="Q1445" s="1"/>
      <c r="R1445" s="1"/>
      <c r="S1445" s="1"/>
    </row>
    <row r="1446" spans="1:19" x14ac:dyDescent="0.2">
      <c r="A1446" s="1"/>
      <c r="B1446" s="1"/>
      <c r="C1446" s="1"/>
      <c r="D1446" s="1"/>
      <c r="E1446" s="1"/>
      <c r="F1446" s="1"/>
      <c r="H1446" s="1"/>
      <c r="I1446" s="1"/>
      <c r="J1446" s="1"/>
      <c r="K1446" s="1"/>
      <c r="L1446" s="1"/>
      <c r="M1446" s="1"/>
      <c r="N1446" s="1"/>
      <c r="O1446" s="1"/>
      <c r="P1446" s="1"/>
      <c r="Q1446" s="1"/>
      <c r="R1446" s="1"/>
      <c r="S1446" s="1"/>
    </row>
    <row r="1447" spans="1:19" x14ac:dyDescent="0.2">
      <c r="A1447" s="1"/>
      <c r="B1447" s="1"/>
      <c r="C1447" s="1"/>
      <c r="D1447" s="1"/>
      <c r="E1447" s="1"/>
      <c r="F1447" s="1"/>
      <c r="H1447" s="1"/>
      <c r="I1447" s="1"/>
      <c r="J1447" s="1"/>
      <c r="K1447" s="1"/>
      <c r="L1447" s="1"/>
      <c r="M1447" s="1"/>
      <c r="N1447" s="1"/>
      <c r="O1447" s="1"/>
      <c r="P1447" s="1"/>
      <c r="Q1447" s="1"/>
      <c r="R1447" s="1"/>
      <c r="S1447" s="1"/>
    </row>
    <row r="1448" spans="1:19" x14ac:dyDescent="0.2">
      <c r="A1448" s="1"/>
      <c r="B1448" s="1"/>
      <c r="C1448" s="1"/>
      <c r="D1448" s="1"/>
      <c r="E1448" s="1"/>
      <c r="F1448" s="1"/>
      <c r="H1448" s="1"/>
      <c r="I1448" s="1"/>
      <c r="J1448" s="1"/>
      <c r="K1448" s="1"/>
      <c r="L1448" s="1"/>
      <c r="M1448" s="1"/>
      <c r="N1448" s="1"/>
      <c r="O1448" s="1"/>
      <c r="P1448" s="1"/>
      <c r="Q1448" s="1"/>
      <c r="R1448" s="1"/>
      <c r="S1448" s="1"/>
    </row>
    <row r="1449" spans="1:19" x14ac:dyDescent="0.2">
      <c r="A1449" s="1"/>
      <c r="B1449" s="1"/>
      <c r="C1449" s="1"/>
      <c r="D1449" s="1"/>
      <c r="E1449" s="1"/>
      <c r="F1449" s="1"/>
      <c r="H1449" s="1"/>
      <c r="I1449" s="1"/>
      <c r="J1449" s="1"/>
      <c r="K1449" s="1"/>
      <c r="L1449" s="1"/>
      <c r="M1449" s="1"/>
      <c r="N1449" s="1"/>
      <c r="O1449" s="1"/>
      <c r="P1449" s="1"/>
      <c r="Q1449" s="1"/>
      <c r="R1449" s="1"/>
      <c r="S1449" s="1"/>
    </row>
    <row r="1450" spans="1:19" x14ac:dyDescent="0.2">
      <c r="A1450" s="1"/>
      <c r="B1450" s="1"/>
      <c r="C1450" s="1"/>
      <c r="D1450" s="1"/>
      <c r="E1450" s="1"/>
      <c r="F1450" s="1"/>
      <c r="H1450" s="1"/>
      <c r="I1450" s="1"/>
      <c r="J1450" s="1"/>
      <c r="K1450" s="1"/>
      <c r="L1450" s="1"/>
      <c r="M1450" s="1"/>
      <c r="N1450" s="1"/>
      <c r="O1450" s="1"/>
      <c r="P1450" s="1"/>
      <c r="Q1450" s="1"/>
      <c r="R1450" s="1"/>
      <c r="S1450" s="1"/>
    </row>
    <row r="1451" spans="1:19" x14ac:dyDescent="0.2">
      <c r="A1451" s="1"/>
      <c r="B1451" s="1"/>
      <c r="C1451" s="1"/>
      <c r="D1451" s="1"/>
      <c r="E1451" s="1"/>
      <c r="F1451" s="1"/>
      <c r="H1451" s="1"/>
      <c r="I1451" s="1"/>
      <c r="J1451" s="1"/>
      <c r="K1451" s="1"/>
      <c r="L1451" s="1"/>
      <c r="M1451" s="1"/>
      <c r="N1451" s="1"/>
      <c r="O1451" s="1"/>
      <c r="P1451" s="1"/>
      <c r="Q1451" s="1"/>
      <c r="R1451" s="1"/>
      <c r="S1451" s="1"/>
    </row>
    <row r="1452" spans="1:19" x14ac:dyDescent="0.2">
      <c r="A1452" s="1"/>
      <c r="B1452" s="1"/>
      <c r="C1452" s="1"/>
      <c r="D1452" s="1"/>
      <c r="E1452" s="1"/>
      <c r="F1452" s="1"/>
      <c r="H1452" s="1"/>
      <c r="I1452" s="1"/>
      <c r="J1452" s="1"/>
      <c r="K1452" s="1"/>
      <c r="L1452" s="1"/>
      <c r="M1452" s="1"/>
      <c r="N1452" s="1"/>
      <c r="O1452" s="1"/>
      <c r="P1452" s="1"/>
      <c r="Q1452" s="1"/>
      <c r="R1452" s="1"/>
      <c r="S1452" s="1"/>
    </row>
    <row r="1453" spans="1:19" x14ac:dyDescent="0.2">
      <c r="A1453" s="1"/>
      <c r="B1453" s="1"/>
      <c r="C1453" s="1"/>
      <c r="D1453" s="1"/>
      <c r="E1453" s="1"/>
      <c r="F1453" s="1"/>
      <c r="H1453" s="1"/>
      <c r="I1453" s="1"/>
      <c r="J1453" s="1"/>
      <c r="K1453" s="1"/>
      <c r="L1453" s="1"/>
      <c r="M1453" s="1"/>
      <c r="N1453" s="1"/>
      <c r="O1453" s="1"/>
      <c r="P1453" s="1"/>
      <c r="Q1453" s="1"/>
      <c r="R1453" s="1"/>
      <c r="S1453" s="1"/>
    </row>
    <row r="1454" spans="1:19" x14ac:dyDescent="0.2">
      <c r="A1454" s="1"/>
      <c r="B1454" s="1"/>
      <c r="C1454" s="1"/>
      <c r="D1454" s="1"/>
      <c r="E1454" s="1"/>
      <c r="F1454" s="1"/>
      <c r="H1454" s="1"/>
      <c r="I1454" s="1"/>
      <c r="J1454" s="1"/>
      <c r="K1454" s="1"/>
      <c r="L1454" s="1"/>
      <c r="M1454" s="1"/>
      <c r="N1454" s="1"/>
      <c r="O1454" s="1"/>
      <c r="P1454" s="1"/>
      <c r="Q1454" s="1"/>
      <c r="R1454" s="1"/>
      <c r="S1454" s="1"/>
    </row>
    <row r="1455" spans="1:19" x14ac:dyDescent="0.2">
      <c r="A1455" s="1"/>
      <c r="B1455" s="1"/>
      <c r="C1455" s="1"/>
      <c r="D1455" s="1"/>
      <c r="E1455" s="1"/>
      <c r="F1455" s="1"/>
      <c r="H1455" s="1"/>
      <c r="I1455" s="1"/>
      <c r="J1455" s="1"/>
      <c r="K1455" s="1"/>
      <c r="L1455" s="1"/>
      <c r="M1455" s="1"/>
      <c r="N1455" s="1"/>
      <c r="O1455" s="1"/>
      <c r="P1455" s="1"/>
      <c r="Q1455" s="1"/>
      <c r="R1455" s="1"/>
      <c r="S1455" s="1"/>
    </row>
    <row r="1456" spans="1:19" x14ac:dyDescent="0.2">
      <c r="A1456" s="1"/>
      <c r="B1456" s="1"/>
      <c r="C1456" s="1"/>
      <c r="D1456" s="1"/>
      <c r="E1456" s="1"/>
      <c r="F1456" s="1"/>
      <c r="H1456" s="1"/>
      <c r="I1456" s="1"/>
      <c r="J1456" s="1"/>
      <c r="K1456" s="1"/>
      <c r="L1456" s="1"/>
      <c r="M1456" s="1"/>
      <c r="N1456" s="1"/>
      <c r="O1456" s="1"/>
      <c r="P1456" s="1"/>
      <c r="Q1456" s="1"/>
      <c r="R1456" s="1"/>
      <c r="S1456" s="1"/>
    </row>
    <row r="1457" spans="1:19" x14ac:dyDescent="0.2">
      <c r="A1457" s="1"/>
      <c r="B1457" s="1"/>
      <c r="C1457" s="1"/>
      <c r="D1457" s="1"/>
      <c r="E1457" s="1"/>
      <c r="F1457" s="1"/>
      <c r="H1457" s="1"/>
      <c r="I1457" s="1"/>
      <c r="J1457" s="1"/>
      <c r="K1457" s="1"/>
      <c r="L1457" s="1"/>
      <c r="M1457" s="1"/>
      <c r="N1457" s="1"/>
      <c r="O1457" s="1"/>
      <c r="P1457" s="1"/>
      <c r="Q1457" s="1"/>
      <c r="R1457" s="1"/>
      <c r="S1457" s="1"/>
    </row>
    <row r="1458" spans="1:19" x14ac:dyDescent="0.2">
      <c r="A1458" s="1"/>
      <c r="B1458" s="1"/>
      <c r="C1458" s="1"/>
      <c r="D1458" s="1"/>
      <c r="E1458" s="1"/>
      <c r="F1458" s="1"/>
      <c r="H1458" s="1"/>
      <c r="I1458" s="1"/>
      <c r="J1458" s="1"/>
      <c r="K1458" s="1"/>
      <c r="L1458" s="1"/>
      <c r="M1458" s="1"/>
      <c r="N1458" s="1"/>
      <c r="O1458" s="1"/>
      <c r="P1458" s="1"/>
      <c r="Q1458" s="1"/>
      <c r="R1458" s="1"/>
      <c r="S1458" s="1"/>
    </row>
    <row r="1459" spans="1:19" x14ac:dyDescent="0.2">
      <c r="A1459" s="1"/>
      <c r="B1459" s="1"/>
      <c r="C1459" s="1"/>
      <c r="D1459" s="1"/>
      <c r="E1459" s="1"/>
      <c r="F1459" s="1"/>
      <c r="H1459" s="1"/>
      <c r="I1459" s="1"/>
      <c r="J1459" s="1"/>
      <c r="K1459" s="1"/>
      <c r="L1459" s="1"/>
      <c r="M1459" s="1"/>
      <c r="N1459" s="1"/>
      <c r="O1459" s="1"/>
      <c r="P1459" s="1"/>
      <c r="Q1459" s="1"/>
      <c r="R1459" s="1"/>
      <c r="S1459" s="1"/>
    </row>
    <row r="1460" spans="1:19" x14ac:dyDescent="0.2">
      <c r="A1460" s="1"/>
      <c r="B1460" s="1"/>
      <c r="C1460" s="1"/>
      <c r="D1460" s="1"/>
      <c r="E1460" s="1"/>
      <c r="F1460" s="1"/>
      <c r="H1460" s="1"/>
      <c r="I1460" s="1"/>
      <c r="J1460" s="1"/>
      <c r="K1460" s="1"/>
      <c r="L1460" s="1"/>
      <c r="M1460" s="1"/>
      <c r="N1460" s="1"/>
      <c r="O1460" s="1"/>
      <c r="P1460" s="1"/>
      <c r="Q1460" s="1"/>
      <c r="R1460" s="1"/>
      <c r="S1460" s="1"/>
    </row>
    <row r="1461" spans="1:19" x14ac:dyDescent="0.2">
      <c r="A1461" s="1"/>
      <c r="B1461" s="1"/>
      <c r="C1461" s="1"/>
      <c r="D1461" s="1"/>
      <c r="E1461" s="1"/>
      <c r="F1461" s="1"/>
      <c r="H1461" s="1"/>
      <c r="I1461" s="1"/>
      <c r="J1461" s="1"/>
      <c r="K1461" s="1"/>
      <c r="L1461" s="1"/>
      <c r="M1461" s="1"/>
      <c r="N1461" s="1"/>
      <c r="O1461" s="1"/>
      <c r="P1461" s="1"/>
      <c r="Q1461" s="1"/>
      <c r="R1461" s="1"/>
      <c r="S1461" s="1"/>
    </row>
    <row r="1462" spans="1:19" x14ac:dyDescent="0.2">
      <c r="A1462" s="1"/>
      <c r="B1462" s="1"/>
      <c r="C1462" s="1"/>
      <c r="D1462" s="1"/>
      <c r="E1462" s="1"/>
      <c r="F1462" s="1"/>
      <c r="H1462" s="1"/>
      <c r="I1462" s="1"/>
      <c r="J1462" s="1"/>
      <c r="K1462" s="1"/>
      <c r="L1462" s="1"/>
      <c r="M1462" s="1"/>
      <c r="N1462" s="1"/>
      <c r="O1462" s="1"/>
      <c r="P1462" s="1"/>
      <c r="Q1462" s="1"/>
      <c r="R1462" s="1"/>
      <c r="S1462" s="1"/>
    </row>
    <row r="1463" spans="1:19" x14ac:dyDescent="0.2">
      <c r="A1463" s="1"/>
      <c r="B1463" s="1"/>
      <c r="C1463" s="1"/>
      <c r="D1463" s="1"/>
      <c r="E1463" s="1"/>
      <c r="F1463" s="1"/>
      <c r="H1463" s="1"/>
      <c r="I1463" s="1"/>
      <c r="J1463" s="1"/>
      <c r="K1463" s="1"/>
      <c r="L1463" s="1"/>
      <c r="M1463" s="1"/>
      <c r="N1463" s="1"/>
      <c r="O1463" s="1"/>
      <c r="P1463" s="1"/>
      <c r="Q1463" s="1"/>
      <c r="R1463" s="1"/>
      <c r="S1463" s="1"/>
    </row>
    <row r="1464" spans="1:19" x14ac:dyDescent="0.2">
      <c r="A1464" s="1"/>
      <c r="B1464" s="1"/>
      <c r="C1464" s="1"/>
      <c r="D1464" s="1"/>
      <c r="E1464" s="1"/>
      <c r="F1464" s="1"/>
      <c r="H1464" s="1"/>
      <c r="I1464" s="1"/>
      <c r="J1464" s="1"/>
      <c r="K1464" s="1"/>
      <c r="L1464" s="1"/>
      <c r="M1464" s="1"/>
      <c r="N1464" s="1"/>
      <c r="O1464" s="1"/>
      <c r="P1464" s="1"/>
      <c r="Q1464" s="1"/>
      <c r="R1464" s="1"/>
      <c r="S1464" s="1"/>
    </row>
    <row r="1465" spans="1:19" x14ac:dyDescent="0.2">
      <c r="A1465" s="1"/>
      <c r="B1465" s="1"/>
      <c r="C1465" s="1"/>
      <c r="D1465" s="1"/>
      <c r="E1465" s="1"/>
      <c r="F1465" s="1"/>
      <c r="H1465" s="1"/>
      <c r="I1465" s="1"/>
      <c r="J1465" s="1"/>
      <c r="K1465" s="1"/>
      <c r="L1465" s="1"/>
      <c r="M1465" s="1"/>
      <c r="N1465" s="1"/>
      <c r="O1465" s="1"/>
      <c r="P1465" s="1"/>
      <c r="Q1465" s="1"/>
      <c r="R1465" s="1"/>
      <c r="S1465" s="1"/>
    </row>
    <row r="1466" spans="1:19" x14ac:dyDescent="0.2">
      <c r="A1466" s="1"/>
      <c r="B1466" s="1"/>
      <c r="C1466" s="1"/>
      <c r="D1466" s="1"/>
      <c r="E1466" s="1"/>
      <c r="F1466" s="1"/>
      <c r="H1466" s="1"/>
      <c r="I1466" s="1"/>
      <c r="J1466" s="1"/>
      <c r="K1466" s="1"/>
      <c r="L1466" s="1"/>
      <c r="M1466" s="1"/>
      <c r="N1466" s="1"/>
      <c r="O1466" s="1"/>
      <c r="P1466" s="1"/>
      <c r="Q1466" s="1"/>
      <c r="R1466" s="1"/>
      <c r="S1466" s="1"/>
    </row>
    <row r="1467" spans="1:19" x14ac:dyDescent="0.2">
      <c r="A1467" s="1"/>
      <c r="B1467" s="1"/>
      <c r="C1467" s="1"/>
      <c r="D1467" s="1"/>
      <c r="E1467" s="1"/>
      <c r="F1467" s="1"/>
      <c r="H1467" s="1"/>
      <c r="I1467" s="1"/>
      <c r="J1467" s="1"/>
      <c r="K1467" s="1"/>
      <c r="L1467" s="1"/>
      <c r="M1467" s="1"/>
      <c r="N1467" s="1"/>
      <c r="O1467" s="1"/>
      <c r="P1467" s="1"/>
      <c r="Q1467" s="1"/>
      <c r="R1467" s="1"/>
      <c r="S1467" s="1"/>
    </row>
    <row r="1468" spans="1:19" x14ac:dyDescent="0.2">
      <c r="A1468" s="1"/>
      <c r="B1468" s="1"/>
      <c r="C1468" s="1"/>
      <c r="D1468" s="1"/>
      <c r="E1468" s="1"/>
      <c r="F1468" s="1"/>
      <c r="H1468" s="1"/>
      <c r="I1468" s="1"/>
      <c r="J1468" s="1"/>
      <c r="K1468" s="1"/>
      <c r="L1468" s="1"/>
      <c r="M1468" s="1"/>
      <c r="N1468" s="1"/>
      <c r="O1468" s="1"/>
      <c r="P1468" s="1"/>
      <c r="Q1468" s="1"/>
      <c r="R1468" s="1"/>
      <c r="S1468" s="1"/>
    </row>
    <row r="1469" spans="1:19" x14ac:dyDescent="0.2">
      <c r="A1469" s="1"/>
      <c r="B1469" s="1"/>
      <c r="C1469" s="1"/>
      <c r="D1469" s="1"/>
      <c r="E1469" s="1"/>
      <c r="F1469" s="1"/>
      <c r="H1469" s="1"/>
      <c r="I1469" s="1"/>
      <c r="J1469" s="1"/>
      <c r="K1469" s="1"/>
      <c r="L1469" s="1"/>
      <c r="M1469" s="1"/>
      <c r="N1469" s="1"/>
      <c r="O1469" s="1"/>
      <c r="P1469" s="1"/>
      <c r="Q1469" s="1"/>
      <c r="R1469" s="1"/>
      <c r="S1469" s="1"/>
    </row>
    <row r="1470" spans="1:19" x14ac:dyDescent="0.2">
      <c r="A1470" s="1"/>
      <c r="B1470" s="1"/>
      <c r="C1470" s="1"/>
      <c r="D1470" s="1"/>
      <c r="E1470" s="1"/>
      <c r="F1470" s="1"/>
      <c r="H1470" s="1"/>
      <c r="I1470" s="1"/>
      <c r="J1470" s="1"/>
      <c r="K1470" s="1"/>
      <c r="L1470" s="1"/>
      <c r="M1470" s="1"/>
      <c r="N1470" s="1"/>
      <c r="O1470" s="1"/>
      <c r="P1470" s="1"/>
      <c r="Q1470" s="1"/>
      <c r="R1470" s="1"/>
      <c r="S1470" s="1"/>
    </row>
    <row r="1471" spans="1:19" x14ac:dyDescent="0.2">
      <c r="A1471" s="1"/>
      <c r="B1471" s="1"/>
      <c r="C1471" s="1"/>
      <c r="D1471" s="1"/>
      <c r="E1471" s="1"/>
      <c r="F1471" s="1"/>
      <c r="H1471" s="1"/>
      <c r="I1471" s="1"/>
      <c r="J1471" s="1"/>
      <c r="K1471" s="1"/>
      <c r="L1471" s="1"/>
      <c r="M1471" s="1"/>
      <c r="N1471" s="1"/>
      <c r="O1471" s="1"/>
      <c r="P1471" s="1"/>
      <c r="Q1471" s="1"/>
      <c r="R1471" s="1"/>
      <c r="S1471" s="1"/>
    </row>
    <row r="1472" spans="1:19" x14ac:dyDescent="0.2">
      <c r="A1472" s="1"/>
      <c r="B1472" s="1"/>
      <c r="C1472" s="1"/>
      <c r="D1472" s="1"/>
      <c r="E1472" s="1"/>
      <c r="F1472" s="1"/>
      <c r="H1472" s="1"/>
      <c r="I1472" s="1"/>
      <c r="J1472" s="1"/>
      <c r="K1472" s="1"/>
      <c r="L1472" s="1"/>
      <c r="M1472" s="1"/>
      <c r="N1472" s="1"/>
      <c r="O1472" s="1"/>
      <c r="P1472" s="1"/>
      <c r="Q1472" s="1"/>
      <c r="R1472" s="1"/>
      <c r="S1472" s="1"/>
    </row>
    <row r="1473" spans="1:19" x14ac:dyDescent="0.2">
      <c r="A1473" s="1"/>
      <c r="B1473" s="1"/>
      <c r="C1473" s="1"/>
      <c r="D1473" s="1"/>
      <c r="E1473" s="1"/>
      <c r="F1473" s="1"/>
      <c r="H1473" s="1"/>
      <c r="I1473" s="1"/>
      <c r="J1473" s="1"/>
      <c r="K1473" s="1"/>
      <c r="L1473" s="1"/>
      <c r="M1473" s="1"/>
      <c r="N1473" s="1"/>
      <c r="O1473" s="1"/>
      <c r="P1473" s="1"/>
      <c r="Q1473" s="1"/>
      <c r="R1473" s="1"/>
      <c r="S1473" s="1"/>
    </row>
    <row r="1474" spans="1:19" x14ac:dyDescent="0.2">
      <c r="A1474" s="1"/>
      <c r="B1474" s="1"/>
      <c r="C1474" s="1"/>
      <c r="D1474" s="1"/>
      <c r="E1474" s="1"/>
      <c r="F1474" s="1"/>
      <c r="H1474" s="1"/>
      <c r="I1474" s="1"/>
      <c r="J1474" s="1"/>
      <c r="K1474" s="1"/>
      <c r="L1474" s="1"/>
      <c r="M1474" s="1"/>
      <c r="N1474" s="1"/>
      <c r="O1474" s="1"/>
      <c r="P1474" s="1"/>
      <c r="Q1474" s="1"/>
      <c r="R1474" s="1"/>
      <c r="S1474" s="1"/>
    </row>
    <row r="1475" spans="1:19" x14ac:dyDescent="0.2">
      <c r="A1475" s="1"/>
      <c r="B1475" s="1"/>
      <c r="C1475" s="1"/>
      <c r="D1475" s="1"/>
      <c r="E1475" s="1"/>
      <c r="F1475" s="1"/>
      <c r="H1475" s="1"/>
      <c r="I1475" s="1"/>
      <c r="J1475" s="1"/>
      <c r="K1475" s="1"/>
      <c r="L1475" s="1"/>
      <c r="M1475" s="1"/>
      <c r="N1475" s="1"/>
      <c r="O1475" s="1"/>
      <c r="P1475" s="1"/>
      <c r="Q1475" s="1"/>
      <c r="R1475" s="1"/>
      <c r="S1475" s="1"/>
    </row>
    <row r="1476" spans="1:19" x14ac:dyDescent="0.2">
      <c r="A1476" s="1"/>
      <c r="B1476" s="1"/>
      <c r="C1476" s="1"/>
      <c r="D1476" s="1"/>
      <c r="E1476" s="1"/>
      <c r="F1476" s="1"/>
      <c r="H1476" s="1"/>
      <c r="I1476" s="1"/>
      <c r="J1476" s="1"/>
      <c r="K1476" s="1"/>
      <c r="L1476" s="1"/>
      <c r="M1476" s="1"/>
      <c r="N1476" s="1"/>
      <c r="O1476" s="1"/>
      <c r="P1476" s="1"/>
      <c r="Q1476" s="1"/>
      <c r="R1476" s="1"/>
      <c r="S1476" s="1"/>
    </row>
    <row r="1477" spans="1:19" x14ac:dyDescent="0.2">
      <c r="A1477" s="1"/>
      <c r="B1477" s="1"/>
      <c r="C1477" s="1"/>
      <c r="D1477" s="1"/>
      <c r="E1477" s="1"/>
      <c r="F1477" s="1"/>
      <c r="H1477" s="1"/>
      <c r="I1477" s="1"/>
      <c r="J1477" s="1"/>
      <c r="K1477" s="1"/>
      <c r="L1477" s="1"/>
      <c r="M1477" s="1"/>
      <c r="N1477" s="1"/>
      <c r="O1477" s="1"/>
      <c r="P1477" s="1"/>
      <c r="Q1477" s="1"/>
      <c r="R1477" s="1"/>
      <c r="S1477" s="1"/>
    </row>
    <row r="1478" spans="1:19" x14ac:dyDescent="0.2">
      <c r="A1478" s="1"/>
      <c r="B1478" s="1"/>
      <c r="C1478" s="1"/>
      <c r="D1478" s="1"/>
      <c r="E1478" s="1"/>
      <c r="F1478" s="1"/>
      <c r="H1478" s="1"/>
      <c r="I1478" s="1"/>
      <c r="J1478" s="1"/>
      <c r="K1478" s="1"/>
      <c r="L1478" s="1"/>
      <c r="M1478" s="1"/>
      <c r="N1478" s="1"/>
      <c r="O1478" s="1"/>
      <c r="P1478" s="1"/>
      <c r="Q1478" s="1"/>
      <c r="R1478" s="1"/>
      <c r="S1478" s="1"/>
    </row>
    <row r="1479" spans="1:19" x14ac:dyDescent="0.2">
      <c r="A1479" s="1"/>
      <c r="B1479" s="1"/>
      <c r="C1479" s="1"/>
      <c r="D1479" s="1"/>
      <c r="E1479" s="1"/>
      <c r="F1479" s="1"/>
      <c r="H1479" s="1"/>
      <c r="I1479" s="1"/>
      <c r="J1479" s="1"/>
      <c r="K1479" s="1"/>
      <c r="L1479" s="1"/>
      <c r="M1479" s="1"/>
      <c r="N1479" s="1"/>
      <c r="O1479" s="1"/>
      <c r="P1479" s="1"/>
      <c r="Q1479" s="1"/>
      <c r="R1479" s="1"/>
      <c r="S1479" s="1"/>
    </row>
    <row r="1480" spans="1:19" x14ac:dyDescent="0.2">
      <c r="A1480" s="1"/>
      <c r="B1480" s="1"/>
      <c r="C1480" s="1"/>
      <c r="D1480" s="1"/>
      <c r="E1480" s="1"/>
      <c r="F1480" s="1"/>
      <c r="H1480" s="1"/>
      <c r="I1480" s="1"/>
      <c r="J1480" s="1"/>
      <c r="K1480" s="1"/>
      <c r="L1480" s="1"/>
      <c r="M1480" s="1"/>
      <c r="N1480" s="1"/>
      <c r="O1480" s="1"/>
      <c r="P1480" s="1"/>
      <c r="Q1480" s="1"/>
      <c r="R1480" s="1"/>
      <c r="S1480" s="1"/>
    </row>
    <row r="1481" spans="1:19" x14ac:dyDescent="0.2">
      <c r="A1481" s="1"/>
      <c r="B1481" s="1"/>
      <c r="C1481" s="1"/>
      <c r="D1481" s="1"/>
      <c r="E1481" s="1"/>
      <c r="F1481" s="1"/>
      <c r="H1481" s="1"/>
      <c r="I1481" s="1"/>
      <c r="J1481" s="1"/>
      <c r="K1481" s="1"/>
      <c r="L1481" s="1"/>
      <c r="M1481" s="1"/>
      <c r="N1481" s="1"/>
      <c r="O1481" s="1"/>
      <c r="P1481" s="1"/>
      <c r="Q1481" s="1"/>
      <c r="R1481" s="1"/>
      <c r="S1481" s="1"/>
    </row>
    <row r="1482" spans="1:19" x14ac:dyDescent="0.2">
      <c r="A1482" s="1"/>
      <c r="B1482" s="1"/>
      <c r="C1482" s="1"/>
      <c r="D1482" s="1"/>
      <c r="E1482" s="1"/>
      <c r="F1482" s="1"/>
      <c r="H1482" s="1"/>
      <c r="I1482" s="1"/>
      <c r="J1482" s="1"/>
      <c r="K1482" s="1"/>
      <c r="L1482" s="1"/>
      <c r="M1482" s="1"/>
      <c r="N1482" s="1"/>
      <c r="O1482" s="1"/>
      <c r="P1482" s="1"/>
      <c r="Q1482" s="1"/>
      <c r="R1482" s="1"/>
      <c r="S1482" s="1"/>
    </row>
    <row r="1483" spans="1:19" x14ac:dyDescent="0.2">
      <c r="A1483" s="1"/>
      <c r="B1483" s="1"/>
      <c r="C1483" s="1"/>
      <c r="D1483" s="1"/>
      <c r="E1483" s="1"/>
      <c r="F1483" s="1"/>
      <c r="H1483" s="1"/>
      <c r="I1483" s="1"/>
      <c r="J1483" s="1"/>
      <c r="K1483" s="1"/>
      <c r="L1483" s="1"/>
      <c r="M1483" s="1"/>
      <c r="N1483" s="1"/>
      <c r="O1483" s="1"/>
      <c r="P1483" s="1"/>
      <c r="Q1483" s="1"/>
      <c r="R1483" s="1"/>
      <c r="S1483" s="1"/>
    </row>
    <row r="1484" spans="1:19" x14ac:dyDescent="0.2">
      <c r="A1484" s="1"/>
      <c r="B1484" s="1"/>
      <c r="C1484" s="1"/>
      <c r="D1484" s="1"/>
      <c r="E1484" s="1"/>
      <c r="F1484" s="1"/>
      <c r="H1484" s="1"/>
      <c r="I1484" s="1"/>
      <c r="J1484" s="1"/>
      <c r="K1484" s="1"/>
      <c r="L1484" s="1"/>
      <c r="M1484" s="1"/>
      <c r="N1484" s="1"/>
      <c r="O1484" s="1"/>
      <c r="P1484" s="1"/>
      <c r="Q1484" s="1"/>
      <c r="R1484" s="1"/>
      <c r="S1484" s="1"/>
    </row>
    <row r="1485" spans="1:19" x14ac:dyDescent="0.2">
      <c r="A1485" s="1"/>
      <c r="B1485" s="1"/>
      <c r="C1485" s="1"/>
      <c r="D1485" s="1"/>
      <c r="E1485" s="1"/>
      <c r="F1485" s="1"/>
      <c r="H1485" s="1"/>
      <c r="I1485" s="1"/>
      <c r="J1485" s="1"/>
      <c r="K1485" s="1"/>
      <c r="L1485" s="1"/>
      <c r="M1485" s="1"/>
      <c r="N1485" s="1"/>
      <c r="O1485" s="1"/>
      <c r="P1485" s="1"/>
      <c r="Q1485" s="1"/>
      <c r="R1485" s="1"/>
      <c r="S1485" s="1"/>
    </row>
    <row r="1486" spans="1:19" x14ac:dyDescent="0.2">
      <c r="A1486" s="1"/>
      <c r="B1486" s="1"/>
      <c r="C1486" s="1"/>
      <c r="D1486" s="1"/>
      <c r="E1486" s="1"/>
      <c r="F1486" s="1"/>
      <c r="H1486" s="1"/>
      <c r="I1486" s="1"/>
      <c r="J1486" s="1"/>
      <c r="K1486" s="1"/>
      <c r="L1486" s="1"/>
      <c r="M1486" s="1"/>
      <c r="N1486" s="1"/>
      <c r="O1486" s="1"/>
      <c r="P1486" s="1"/>
      <c r="Q1486" s="1"/>
      <c r="R1486" s="1"/>
      <c r="S1486" s="1"/>
    </row>
    <row r="1487" spans="1:19" x14ac:dyDescent="0.2">
      <c r="A1487" s="1"/>
      <c r="B1487" s="1"/>
      <c r="C1487" s="1"/>
      <c r="D1487" s="1"/>
      <c r="E1487" s="1"/>
      <c r="F1487" s="1"/>
      <c r="H1487" s="1"/>
      <c r="I1487" s="1"/>
      <c r="J1487" s="1"/>
      <c r="K1487" s="1"/>
      <c r="L1487" s="1"/>
      <c r="M1487" s="1"/>
      <c r="N1487" s="1"/>
      <c r="O1487" s="1"/>
      <c r="P1487" s="1"/>
      <c r="Q1487" s="1"/>
      <c r="R1487" s="1"/>
      <c r="S1487" s="1"/>
    </row>
    <row r="1488" spans="1:19" x14ac:dyDescent="0.2">
      <c r="A1488" s="1"/>
      <c r="B1488" s="1"/>
      <c r="C1488" s="1"/>
      <c r="D1488" s="1"/>
      <c r="E1488" s="1"/>
      <c r="F1488" s="1"/>
      <c r="H1488" s="1"/>
      <c r="I1488" s="1"/>
      <c r="J1488" s="1"/>
      <c r="K1488" s="1"/>
      <c r="L1488" s="1"/>
      <c r="M1488" s="1"/>
      <c r="N1488" s="1"/>
      <c r="O1488" s="1"/>
      <c r="P1488" s="1"/>
      <c r="Q1488" s="1"/>
      <c r="R1488" s="1"/>
      <c r="S1488" s="1"/>
    </row>
    <row r="1489" spans="1:19" x14ac:dyDescent="0.2">
      <c r="A1489" s="1"/>
      <c r="B1489" s="1"/>
      <c r="C1489" s="1"/>
      <c r="D1489" s="1"/>
      <c r="E1489" s="1"/>
      <c r="F1489" s="1"/>
      <c r="H1489" s="1"/>
      <c r="I1489" s="1"/>
      <c r="J1489" s="1"/>
      <c r="K1489" s="1"/>
      <c r="L1489" s="1"/>
      <c r="M1489" s="1"/>
      <c r="N1489" s="1"/>
      <c r="O1489" s="1"/>
      <c r="P1489" s="1"/>
      <c r="Q1489" s="1"/>
      <c r="R1489" s="1"/>
      <c r="S1489" s="1"/>
    </row>
    <row r="1490" spans="1:19" x14ac:dyDescent="0.2">
      <c r="A1490" s="1"/>
      <c r="B1490" s="1"/>
      <c r="C1490" s="1"/>
      <c r="D1490" s="1"/>
      <c r="E1490" s="1"/>
      <c r="F1490" s="1"/>
      <c r="H1490" s="1"/>
      <c r="I1490" s="1"/>
      <c r="J1490" s="1"/>
      <c r="K1490" s="1"/>
      <c r="L1490" s="1"/>
      <c r="M1490" s="1"/>
      <c r="N1490" s="1"/>
      <c r="O1490" s="1"/>
      <c r="P1490" s="1"/>
      <c r="Q1490" s="1"/>
      <c r="R1490" s="1"/>
      <c r="S1490" s="1"/>
    </row>
    <row r="1491" spans="1:19" x14ac:dyDescent="0.2">
      <c r="A1491" s="1"/>
      <c r="B1491" s="1"/>
      <c r="C1491" s="1"/>
      <c r="D1491" s="1"/>
      <c r="E1491" s="1"/>
      <c r="F1491" s="1"/>
      <c r="H1491" s="1"/>
      <c r="I1491" s="1"/>
      <c r="J1491" s="1"/>
      <c r="K1491" s="1"/>
      <c r="L1491" s="1"/>
      <c r="M1491" s="1"/>
      <c r="N1491" s="1"/>
      <c r="O1491" s="1"/>
      <c r="P1491" s="1"/>
      <c r="Q1491" s="1"/>
      <c r="R1491" s="1"/>
      <c r="S1491" s="1"/>
    </row>
    <row r="1492" spans="1:19" x14ac:dyDescent="0.2">
      <c r="A1492" s="1"/>
      <c r="B1492" s="1"/>
      <c r="C1492" s="1"/>
      <c r="D1492" s="1"/>
      <c r="E1492" s="1"/>
      <c r="F1492" s="1"/>
      <c r="H1492" s="1"/>
      <c r="I1492" s="1"/>
      <c r="J1492" s="1"/>
      <c r="K1492" s="1"/>
      <c r="L1492" s="1"/>
      <c r="M1492" s="1"/>
      <c r="N1492" s="1"/>
      <c r="O1492" s="1"/>
      <c r="P1492" s="1"/>
      <c r="Q1492" s="1"/>
      <c r="R1492" s="1"/>
      <c r="S1492" s="1"/>
    </row>
    <row r="1493" spans="1:19" x14ac:dyDescent="0.2">
      <c r="A1493" s="1"/>
      <c r="B1493" s="1"/>
      <c r="C1493" s="1"/>
      <c r="D1493" s="1"/>
      <c r="E1493" s="1"/>
      <c r="F1493" s="1"/>
      <c r="H1493" s="1"/>
      <c r="I1493" s="1"/>
      <c r="J1493" s="1"/>
      <c r="K1493" s="1"/>
      <c r="L1493" s="1"/>
      <c r="M1493" s="1"/>
      <c r="N1493" s="1"/>
      <c r="O1493" s="1"/>
      <c r="P1493" s="1"/>
      <c r="Q1493" s="1"/>
      <c r="R1493" s="1"/>
      <c r="S1493" s="1"/>
    </row>
    <row r="1494" spans="1:19" x14ac:dyDescent="0.2">
      <c r="A1494" s="1"/>
      <c r="B1494" s="1"/>
      <c r="C1494" s="1"/>
      <c r="D1494" s="1"/>
      <c r="E1494" s="1"/>
      <c r="F1494" s="1"/>
      <c r="H1494" s="1"/>
      <c r="I1494" s="1"/>
      <c r="J1494" s="1"/>
      <c r="K1494" s="1"/>
      <c r="L1494" s="1"/>
      <c r="M1494" s="1"/>
      <c r="N1494" s="1"/>
      <c r="O1494" s="1"/>
      <c r="P1494" s="1"/>
      <c r="Q1494" s="1"/>
      <c r="R1494" s="1"/>
      <c r="S1494" s="1"/>
    </row>
    <row r="1495" spans="1:19" x14ac:dyDescent="0.2">
      <c r="A1495" s="1"/>
      <c r="B1495" s="1"/>
      <c r="C1495" s="1"/>
      <c r="D1495" s="1"/>
      <c r="E1495" s="1"/>
      <c r="F1495" s="1"/>
      <c r="H1495" s="1"/>
      <c r="I1495" s="1"/>
      <c r="J1495" s="1"/>
      <c r="K1495" s="1"/>
      <c r="L1495" s="1"/>
      <c r="M1495" s="1"/>
      <c r="N1495" s="1"/>
      <c r="O1495" s="1"/>
      <c r="P1495" s="1"/>
      <c r="Q1495" s="1"/>
      <c r="R1495" s="1"/>
      <c r="S1495" s="1"/>
    </row>
    <row r="1496" spans="1:19" x14ac:dyDescent="0.2">
      <c r="A1496" s="1"/>
      <c r="B1496" s="1"/>
      <c r="C1496" s="1"/>
      <c r="D1496" s="1"/>
      <c r="E1496" s="1"/>
      <c r="F1496" s="1"/>
      <c r="H1496" s="1"/>
      <c r="I1496" s="1"/>
      <c r="J1496" s="1"/>
      <c r="K1496" s="1"/>
      <c r="L1496" s="1"/>
      <c r="M1496" s="1"/>
      <c r="N1496" s="1"/>
      <c r="O1496" s="1"/>
      <c r="P1496" s="1"/>
      <c r="Q1496" s="1"/>
      <c r="R1496" s="1"/>
      <c r="S1496" s="1"/>
    </row>
    <row r="1497" spans="1:19" x14ac:dyDescent="0.2">
      <c r="A1497" s="1"/>
      <c r="B1497" s="1"/>
      <c r="C1497" s="1"/>
      <c r="D1497" s="1"/>
      <c r="E1497" s="1"/>
      <c r="F1497" s="1"/>
      <c r="H1497" s="1"/>
      <c r="I1497" s="1"/>
      <c r="J1497" s="1"/>
      <c r="K1497" s="1"/>
      <c r="L1497" s="1"/>
      <c r="M1497" s="1"/>
      <c r="N1497" s="1"/>
      <c r="O1497" s="1"/>
      <c r="P1497" s="1"/>
      <c r="Q1497" s="1"/>
      <c r="R1497" s="1"/>
      <c r="S1497" s="1"/>
    </row>
    <row r="1498" spans="1:19" x14ac:dyDescent="0.2">
      <c r="A1498" s="1"/>
      <c r="B1498" s="1"/>
      <c r="C1498" s="1"/>
      <c r="D1498" s="1"/>
      <c r="E1498" s="1"/>
      <c r="F1498" s="1"/>
      <c r="H1498" s="1"/>
      <c r="I1498" s="1"/>
      <c r="J1498" s="1"/>
      <c r="K1498" s="1"/>
      <c r="L1498" s="1"/>
      <c r="M1498" s="1"/>
      <c r="N1498" s="1"/>
      <c r="O1498" s="1"/>
      <c r="P1498" s="1"/>
      <c r="Q1498" s="1"/>
      <c r="R1498" s="1"/>
      <c r="S1498" s="1"/>
    </row>
    <row r="1499" spans="1:19" x14ac:dyDescent="0.2">
      <c r="A1499" s="1"/>
      <c r="B1499" s="1"/>
      <c r="C1499" s="1"/>
      <c r="D1499" s="1"/>
      <c r="E1499" s="1"/>
      <c r="F1499" s="1"/>
      <c r="H1499" s="1"/>
      <c r="I1499" s="1"/>
      <c r="J1499" s="1"/>
      <c r="K1499" s="1"/>
      <c r="L1499" s="1"/>
      <c r="M1499" s="1"/>
      <c r="N1499" s="1"/>
      <c r="O1499" s="1"/>
      <c r="P1499" s="1"/>
      <c r="Q1499" s="1"/>
      <c r="R1499" s="1"/>
      <c r="S1499" s="1"/>
    </row>
    <row r="1500" spans="1:19" x14ac:dyDescent="0.2">
      <c r="A1500" s="1"/>
      <c r="B1500" s="1"/>
      <c r="C1500" s="1"/>
      <c r="D1500" s="1"/>
      <c r="E1500" s="1"/>
      <c r="F1500" s="1"/>
      <c r="H1500" s="1"/>
      <c r="I1500" s="1"/>
      <c r="J1500" s="1"/>
      <c r="K1500" s="1"/>
      <c r="L1500" s="1"/>
      <c r="M1500" s="1"/>
      <c r="N1500" s="1"/>
      <c r="O1500" s="1"/>
      <c r="P1500" s="1"/>
      <c r="Q1500" s="1"/>
      <c r="R1500" s="1"/>
      <c r="S1500" s="1"/>
    </row>
    <row r="1501" spans="1:19" x14ac:dyDescent="0.2">
      <c r="A1501" s="1"/>
      <c r="B1501" s="1"/>
      <c r="C1501" s="1"/>
      <c r="D1501" s="1"/>
      <c r="E1501" s="1"/>
      <c r="F1501" s="1"/>
      <c r="H1501" s="1"/>
      <c r="I1501" s="1"/>
      <c r="J1501" s="1"/>
      <c r="K1501" s="1"/>
      <c r="L1501" s="1"/>
      <c r="M1501" s="1"/>
      <c r="N1501" s="1"/>
      <c r="O1501" s="1"/>
      <c r="P1501" s="1"/>
      <c r="Q1501" s="1"/>
      <c r="R1501" s="1"/>
      <c r="S1501" s="1"/>
    </row>
    <row r="1502" spans="1:19" x14ac:dyDescent="0.2">
      <c r="A1502" s="1"/>
      <c r="B1502" s="1"/>
      <c r="C1502" s="1"/>
      <c r="D1502" s="1"/>
      <c r="E1502" s="1"/>
      <c r="F1502" s="1"/>
      <c r="H1502" s="1"/>
      <c r="I1502" s="1"/>
      <c r="J1502" s="1"/>
      <c r="K1502" s="1"/>
      <c r="L1502" s="1"/>
      <c r="M1502" s="1"/>
      <c r="N1502" s="1"/>
      <c r="O1502" s="1"/>
      <c r="P1502" s="1"/>
      <c r="Q1502" s="1"/>
      <c r="R1502" s="1"/>
      <c r="S1502" s="1"/>
    </row>
    <row r="1503" spans="1:19" x14ac:dyDescent="0.2">
      <c r="A1503" s="1"/>
      <c r="B1503" s="1"/>
      <c r="C1503" s="1"/>
      <c r="D1503" s="1"/>
      <c r="E1503" s="1"/>
      <c r="F1503" s="1"/>
      <c r="H1503" s="1"/>
      <c r="I1503" s="1"/>
      <c r="J1503" s="1"/>
      <c r="K1503" s="1"/>
      <c r="L1503" s="1"/>
      <c r="M1503" s="1"/>
      <c r="N1503" s="1"/>
      <c r="O1503" s="1"/>
      <c r="P1503" s="1"/>
      <c r="Q1503" s="1"/>
      <c r="R1503" s="1"/>
      <c r="S1503" s="1"/>
    </row>
    <row r="1504" spans="1:19" x14ac:dyDescent="0.2">
      <c r="A1504" s="1"/>
      <c r="B1504" s="1"/>
      <c r="C1504" s="1"/>
      <c r="D1504" s="1"/>
      <c r="E1504" s="1"/>
      <c r="F1504" s="1"/>
      <c r="H1504" s="1"/>
      <c r="I1504" s="1"/>
      <c r="J1504" s="1"/>
      <c r="K1504" s="1"/>
      <c r="L1504" s="1"/>
      <c r="M1504" s="1"/>
      <c r="N1504" s="1"/>
      <c r="O1504" s="1"/>
      <c r="P1504" s="1"/>
      <c r="Q1504" s="1"/>
      <c r="R1504" s="1"/>
      <c r="S1504" s="1"/>
    </row>
    <row r="1505" spans="1:19" x14ac:dyDescent="0.2">
      <c r="A1505" s="1"/>
      <c r="B1505" s="1"/>
      <c r="C1505" s="1"/>
      <c r="D1505" s="1"/>
      <c r="E1505" s="1"/>
      <c r="F1505" s="1"/>
      <c r="H1505" s="1"/>
      <c r="I1505" s="1"/>
      <c r="J1505" s="1"/>
      <c r="K1505" s="1"/>
      <c r="L1505" s="1"/>
      <c r="M1505" s="1"/>
      <c r="N1505" s="1"/>
      <c r="O1505" s="1"/>
      <c r="P1505" s="1"/>
      <c r="Q1505" s="1"/>
      <c r="R1505" s="1"/>
      <c r="S1505" s="1"/>
    </row>
    <row r="1506" spans="1:19" x14ac:dyDescent="0.2">
      <c r="A1506" s="1"/>
      <c r="B1506" s="1"/>
      <c r="C1506" s="1"/>
      <c r="D1506" s="1"/>
      <c r="E1506" s="1"/>
      <c r="F1506" s="1"/>
      <c r="H1506" s="1"/>
      <c r="I1506" s="1"/>
      <c r="J1506" s="1"/>
      <c r="K1506" s="1"/>
      <c r="L1506" s="1"/>
      <c r="M1506" s="1"/>
      <c r="N1506" s="1"/>
      <c r="O1506" s="1"/>
      <c r="P1506" s="1"/>
      <c r="Q1506" s="1"/>
      <c r="R1506" s="1"/>
      <c r="S1506" s="1"/>
    </row>
    <row r="1507" spans="1:19" x14ac:dyDescent="0.2">
      <c r="A1507" s="1"/>
      <c r="B1507" s="1"/>
      <c r="C1507" s="1"/>
      <c r="D1507" s="1"/>
      <c r="E1507" s="1"/>
      <c r="F1507" s="1"/>
      <c r="H1507" s="1"/>
      <c r="I1507" s="1"/>
      <c r="J1507" s="1"/>
      <c r="K1507" s="1"/>
      <c r="L1507" s="1"/>
      <c r="M1507" s="1"/>
      <c r="N1507" s="1"/>
      <c r="O1507" s="1"/>
      <c r="P1507" s="1"/>
      <c r="Q1507" s="1"/>
      <c r="R1507" s="1"/>
      <c r="S1507" s="1"/>
    </row>
  </sheetData>
  <mergeCells count="9">
    <mergeCell ref="AK1:AM1"/>
    <mergeCell ref="A1:Q1"/>
    <mergeCell ref="U1:V1"/>
    <mergeCell ref="AB1:AC1"/>
    <mergeCell ref="U3:V3"/>
    <mergeCell ref="AB3:AC3"/>
    <mergeCell ref="H3:M3"/>
    <mergeCell ref="X1:Z1"/>
    <mergeCell ref="X3:Z3"/>
  </mergeCells>
  <phoneticPr fontId="47" type="noConversion"/>
  <conditionalFormatting sqref="A6:B772 L6:L772 G6:G772 P6:S772">
    <cfRule type="expression" dxfId="25" priority="144">
      <formula>OR($S6 = "Name Only", $S6 = "Verify &amp; Locate")</formula>
    </cfRule>
  </conditionalFormatting>
  <conditionalFormatting sqref="J6:J772">
    <cfRule type="expression" dxfId="24" priority="6">
      <formula>$H6 &lt;&gt; "Assigned to Employee"</formula>
    </cfRule>
  </conditionalFormatting>
  <conditionalFormatting sqref="I6:I772">
    <cfRule type="expression" dxfId="23" priority="45">
      <formula>$H6 &lt;&gt; "In Use"</formula>
    </cfRule>
  </conditionalFormatting>
  <conditionalFormatting sqref="A6:S772">
    <cfRule type="expression" dxfId="22" priority="5">
      <formula>A6 = "N/A"</formula>
    </cfRule>
  </conditionalFormatting>
  <conditionalFormatting sqref="F6:G772">
    <cfRule type="expression" dxfId="21" priority="143">
      <formula>$E6 = "Serial Unreadable"</formula>
    </cfRule>
  </conditionalFormatting>
  <conditionalFormatting sqref="A6:H772">
    <cfRule type="expression" dxfId="20" priority="5246">
      <formula>$H6 = "Missing"</formula>
    </cfRule>
  </conditionalFormatting>
  <conditionalFormatting sqref="F6:F772">
    <cfRule type="duplicateValues" dxfId="19" priority="6247"/>
  </conditionalFormatting>
  <conditionalFormatting sqref="A6:A772">
    <cfRule type="duplicateValues" dxfId="18" priority="6248"/>
  </conditionalFormatting>
  <conditionalFormatting sqref="B6:F772">
    <cfRule type="containsBlanks" dxfId="17" priority="145">
      <formula>LEN(TRIM(B6))=0</formula>
    </cfRule>
    <cfRule type="expression" dxfId="16" priority="2209">
      <formula>AND(ISBLANK($F6), NOT($E6 = "Serial Unreadable"))</formula>
    </cfRule>
  </conditionalFormatting>
  <dataValidations count="6">
    <dataValidation type="list" allowBlank="1" showInputMessage="1" showErrorMessage="1" sqref="W19 B6:B772" xr:uid="{0CFF6D4E-5602-4D20-8B53-53DBBF81FF29}">
      <formula1>DeviceTypes</formula1>
    </dataValidation>
    <dataValidation type="list" allowBlank="1" showInputMessage="1" showErrorMessage="1" sqref="V17:V87" xr:uid="{96BF6578-DE4A-434A-9ACC-130D3AF277E6}">
      <formula1>BoolName</formula1>
    </dataValidation>
    <dataValidation type="list" allowBlank="1" showInputMessage="1" showErrorMessage="1" sqref="R6:R772" xr:uid="{5D46D9BF-0CC2-40B4-931E-9109526D95A5}">
      <formula1>RepairCodes</formula1>
    </dataValidation>
    <dataValidation type="list" allowBlank="1" showInputMessage="1" showErrorMessage="1" sqref="E6:E772" xr:uid="{62EA7777-315A-432B-9A2F-7049B42F5EA5}">
      <formula1>SerialTypes</formula1>
    </dataValidation>
    <dataValidation type="list" allowBlank="1" showInputMessage="1" showErrorMessage="1" sqref="J6:J772" xr:uid="{B60C0CE1-6B9D-47C4-9D7E-AA956D30E070}">
      <formula1 xml:space="preserve"> Employees</formula1>
    </dataValidation>
    <dataValidation type="list" allowBlank="1" showInputMessage="1" sqref="H6:H772" xr:uid="{2DF49B7F-16B2-4229-A2FC-CDE2A4B5182B}">
      <formula1>ITEquipmentLocations</formula1>
    </dataValidation>
  </dataValidations>
  <pageMargins left="0.7" right="0.7" top="0.75" bottom="0.75" header="0.3" footer="0.3"/>
  <pageSetup orientation="portrait" r:id="rId1"/>
  <drawing r:id="rId2"/>
  <tableParts count="8">
    <tablePart r:id="rId3"/>
    <tablePart r:id="rId4"/>
    <tablePart r:id="rId5"/>
    <tablePart r:id="rId6"/>
    <tablePart r:id="rId7"/>
    <tablePart r:id="rId8"/>
    <tablePart r:id="rId9"/>
    <tablePart r:id="rId10"/>
  </tableParts>
  <extLst>
    <ext xmlns:x15="http://schemas.microsoft.com/office/spreadsheetml/2010/11/main" uri="{3A4CF648-6AED-40f4-86FF-DC5316D8AED3}">
      <x14:slicerList xmlns:x14="http://schemas.microsoft.com/office/spreadsheetml/2009/9/main">
        <x14:slicer r:id="rId11"/>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B5BBB-1072-4DB1-A0D7-338CF5C79E45}">
  <sheetPr codeName="AddSheet"/>
  <dimension ref="A1:N13"/>
  <sheetViews>
    <sheetView workbookViewId="0">
      <selection activeCell="E16" sqref="E16"/>
    </sheetView>
  </sheetViews>
  <sheetFormatPr defaultRowHeight="14.25" x14ac:dyDescent="0.2"/>
  <cols>
    <col min="1" max="1" width="11.21875" bestFit="1" customWidth="1"/>
    <col min="4" max="4" width="23.109375" bestFit="1" customWidth="1"/>
    <col min="5" max="5" width="11.77734375" bestFit="1" customWidth="1"/>
    <col min="6" max="6" width="10.6640625" bestFit="1" customWidth="1"/>
    <col min="9" max="9" width="16" bestFit="1" customWidth="1"/>
    <col min="10" max="10" width="11.109375" bestFit="1" customWidth="1"/>
    <col min="11" max="11" width="16.33203125" bestFit="1" customWidth="1"/>
    <col min="12" max="12" width="12.88671875" bestFit="1" customWidth="1"/>
    <col min="13" max="13" width="9.44140625" customWidth="1"/>
    <col min="14" max="14" width="10.21875" bestFit="1" customWidth="1"/>
  </cols>
  <sheetData>
    <row r="1" spans="1:14" ht="19.5" x14ac:dyDescent="0.2">
      <c r="A1" s="93"/>
      <c r="B1" s="278" t="s">
        <v>2144</v>
      </c>
      <c r="C1" s="278"/>
      <c r="D1" s="278"/>
      <c r="E1" s="278"/>
      <c r="F1" s="278"/>
      <c r="G1" s="278"/>
      <c r="H1" s="278"/>
      <c r="I1" s="278"/>
      <c r="J1" s="278"/>
      <c r="K1" s="278"/>
      <c r="L1" s="278"/>
      <c r="M1" s="278"/>
      <c r="N1" s="278"/>
    </row>
    <row r="2" spans="1:14" x14ac:dyDescent="0.2">
      <c r="A2" s="278" t="s">
        <v>2145</v>
      </c>
      <c r="B2" s="236" t="s">
        <v>6</v>
      </c>
      <c r="C2" s="237" t="s">
        <v>2146</v>
      </c>
      <c r="D2" s="237" t="s">
        <v>273</v>
      </c>
      <c r="E2" s="237" t="s">
        <v>2147</v>
      </c>
      <c r="F2" s="237" t="s">
        <v>275</v>
      </c>
      <c r="G2" s="237" t="s">
        <v>2148</v>
      </c>
      <c r="H2" s="237" t="s">
        <v>2149</v>
      </c>
      <c r="I2" s="237" t="s">
        <v>218</v>
      </c>
      <c r="J2" s="237" t="s">
        <v>2150</v>
      </c>
      <c r="K2" s="237" t="s">
        <v>2151</v>
      </c>
      <c r="L2" s="237" t="s">
        <v>282</v>
      </c>
      <c r="M2" s="238" t="s">
        <v>2152</v>
      </c>
      <c r="N2" s="117" t="s">
        <v>280</v>
      </c>
    </row>
    <row r="3" spans="1:14" x14ac:dyDescent="0.2">
      <c r="A3" s="278"/>
      <c r="B3" s="239" t="s">
        <v>304</v>
      </c>
      <c r="C3" s="157" t="s">
        <v>403</v>
      </c>
      <c r="D3" s="157"/>
      <c r="E3" s="157" t="s">
        <v>306</v>
      </c>
      <c r="F3" s="54"/>
      <c r="G3" s="157" t="s">
        <v>295</v>
      </c>
      <c r="H3" s="157" t="s">
        <v>226</v>
      </c>
      <c r="I3" s="157" t="s">
        <v>2241</v>
      </c>
      <c r="J3" s="157"/>
      <c r="K3" s="157" t="s">
        <v>3332</v>
      </c>
      <c r="L3" s="157"/>
      <c r="M3" s="240">
        <f>NextID</f>
        <v>937</v>
      </c>
      <c r="N3" s="60" t="s">
        <v>3333</v>
      </c>
    </row>
    <row r="4" spans="1:14" ht="19.5" x14ac:dyDescent="0.2">
      <c r="A4" s="93"/>
      <c r="B4" s="278" t="s">
        <v>2153</v>
      </c>
      <c r="C4" s="278"/>
      <c r="D4" s="278"/>
      <c r="E4" s="278"/>
      <c r="F4" s="278"/>
      <c r="G4" s="278"/>
      <c r="H4" s="278"/>
      <c r="I4" s="278"/>
      <c r="J4" s="278"/>
      <c r="K4" s="278"/>
      <c r="L4" s="278"/>
      <c r="M4" s="278"/>
      <c r="N4" s="278"/>
    </row>
    <row r="5" spans="1:14" x14ac:dyDescent="0.2">
      <c r="A5" s="278" t="s">
        <v>2148</v>
      </c>
      <c r="B5" s="236" t="s">
        <v>6</v>
      </c>
      <c r="C5" s="237" t="s">
        <v>2146</v>
      </c>
      <c r="D5" s="237" t="s">
        <v>273</v>
      </c>
      <c r="E5" s="237" t="s">
        <v>2147</v>
      </c>
      <c r="F5" s="237" t="s">
        <v>275</v>
      </c>
      <c r="G5" s="237" t="s">
        <v>2148</v>
      </c>
      <c r="H5" s="237" t="s">
        <v>2149</v>
      </c>
      <c r="I5" s="237" t="s">
        <v>218</v>
      </c>
      <c r="J5" s="237" t="s">
        <v>2150</v>
      </c>
      <c r="K5" s="237" t="s">
        <v>2151</v>
      </c>
      <c r="L5" s="237" t="s">
        <v>282</v>
      </c>
      <c r="M5" s="93" t="s">
        <v>2152</v>
      </c>
      <c r="N5" s="117" t="s">
        <v>280</v>
      </c>
    </row>
    <row r="6" spans="1:14" x14ac:dyDescent="0.2">
      <c r="A6" s="278"/>
      <c r="B6" s="241"/>
      <c r="C6" s="241"/>
      <c r="D6" s="241"/>
      <c r="E6" s="241"/>
      <c r="F6" s="241"/>
      <c r="G6" s="241"/>
      <c r="H6" s="241"/>
      <c r="I6" s="241"/>
      <c r="J6" s="241"/>
      <c r="K6" s="241"/>
      <c r="L6" s="241"/>
      <c r="M6" s="93"/>
      <c r="N6" s="60"/>
    </row>
    <row r="7" spans="1:14" x14ac:dyDescent="0.2">
      <c r="A7" s="278" t="s">
        <v>2154</v>
      </c>
      <c r="B7" s="236" t="s">
        <v>6</v>
      </c>
      <c r="C7" s="237" t="s">
        <v>2146</v>
      </c>
      <c r="D7" s="237" t="s">
        <v>273</v>
      </c>
      <c r="E7" s="237" t="s">
        <v>2147</v>
      </c>
      <c r="F7" s="237" t="s">
        <v>275</v>
      </c>
      <c r="G7" s="237" t="s">
        <v>2148</v>
      </c>
      <c r="H7" s="237" t="s">
        <v>2149</v>
      </c>
      <c r="I7" s="237" t="s">
        <v>218</v>
      </c>
      <c r="J7" s="237" t="s">
        <v>2150</v>
      </c>
      <c r="K7" s="237" t="s">
        <v>2151</v>
      </c>
      <c r="L7" s="237" t="s">
        <v>282</v>
      </c>
      <c r="M7" s="256" t="s">
        <v>2152</v>
      </c>
      <c r="N7" s="117" t="s">
        <v>280</v>
      </c>
    </row>
    <row r="8" spans="1:14" x14ac:dyDescent="0.2">
      <c r="A8" s="278"/>
      <c r="M8" s="93"/>
      <c r="N8" s="60"/>
    </row>
    <row r="9" spans="1:14" x14ac:dyDescent="0.2">
      <c r="A9" s="278" t="s">
        <v>2155</v>
      </c>
      <c r="B9" s="236" t="s">
        <v>6</v>
      </c>
      <c r="C9" s="237" t="s">
        <v>2146</v>
      </c>
      <c r="D9" s="237" t="s">
        <v>273</v>
      </c>
      <c r="E9" s="237" t="s">
        <v>2147</v>
      </c>
      <c r="F9" s="237" t="s">
        <v>275</v>
      </c>
      <c r="G9" s="237" t="s">
        <v>2148</v>
      </c>
      <c r="H9" s="237" t="s">
        <v>2149</v>
      </c>
      <c r="I9" s="237" t="s">
        <v>218</v>
      </c>
      <c r="J9" s="237" t="s">
        <v>2150</v>
      </c>
      <c r="K9" s="237" t="s">
        <v>2151</v>
      </c>
      <c r="L9" s="237" t="s">
        <v>282</v>
      </c>
      <c r="M9" s="93" t="s">
        <v>2152</v>
      </c>
      <c r="N9" s="117" t="s">
        <v>280</v>
      </c>
    </row>
    <row r="10" spans="1:14" x14ac:dyDescent="0.2">
      <c r="A10" s="278"/>
      <c r="M10" s="93"/>
      <c r="N10" s="60"/>
    </row>
    <row r="11" spans="1:14" ht="19.5" x14ac:dyDescent="0.2">
      <c r="A11" s="93"/>
      <c r="B11" s="278" t="s">
        <v>2156</v>
      </c>
      <c r="C11" s="278"/>
      <c r="D11" s="278"/>
      <c r="E11" s="278"/>
      <c r="F11" s="278"/>
      <c r="G11" s="278"/>
      <c r="H11" s="278"/>
      <c r="I11" s="278"/>
      <c r="J11" s="278"/>
      <c r="K11" s="278"/>
      <c r="L11" s="278"/>
      <c r="M11" s="278"/>
      <c r="N11" s="278"/>
    </row>
    <row r="12" spans="1:14" x14ac:dyDescent="0.2">
      <c r="A12" s="278" t="s">
        <v>2145</v>
      </c>
      <c r="B12" s="236" t="s">
        <v>6</v>
      </c>
      <c r="C12" s="237" t="s">
        <v>2146</v>
      </c>
      <c r="D12" s="237" t="s">
        <v>273</v>
      </c>
      <c r="E12" s="237" t="s">
        <v>2147</v>
      </c>
      <c r="F12" s="237" t="s">
        <v>275</v>
      </c>
      <c r="G12" s="237" t="s">
        <v>2148</v>
      </c>
      <c r="H12" s="237" t="s">
        <v>2149</v>
      </c>
      <c r="I12" s="237" t="s">
        <v>218</v>
      </c>
      <c r="J12" s="237" t="s">
        <v>2150</v>
      </c>
      <c r="K12" s="237" t="s">
        <v>2151</v>
      </c>
      <c r="L12" s="237" t="s">
        <v>282</v>
      </c>
      <c r="M12" s="93" t="s">
        <v>2152</v>
      </c>
      <c r="N12" s="117" t="s">
        <v>280</v>
      </c>
    </row>
    <row r="13" spans="1:14" x14ac:dyDescent="0.2">
      <c r="A13" s="278"/>
      <c r="B13" s="241"/>
      <c r="C13" s="241"/>
      <c r="D13" s="241"/>
      <c r="E13" s="241"/>
      <c r="F13" s="257"/>
      <c r="G13" s="241"/>
      <c r="H13" s="241"/>
      <c r="I13" s="241"/>
      <c r="J13" s="241"/>
      <c r="K13" s="241"/>
      <c r="L13" s="241"/>
      <c r="M13" s="93"/>
      <c r="N13" s="60"/>
    </row>
  </sheetData>
  <mergeCells count="8">
    <mergeCell ref="B11:N11"/>
    <mergeCell ref="A12:A13"/>
    <mergeCell ref="B1:N1"/>
    <mergeCell ref="B4:N4"/>
    <mergeCell ref="A5:A6"/>
    <mergeCell ref="A2:A3"/>
    <mergeCell ref="A9:A10"/>
    <mergeCell ref="A7:A8"/>
  </mergeCells>
  <dataValidations count="3">
    <dataValidation type="list" allowBlank="1" showInputMessage="1" showErrorMessage="1" sqref="B3 B6 B13" xr:uid="{C2DDE73E-6006-406D-827D-AA817BD49AE2}">
      <formula1>DeviceTypes</formula1>
    </dataValidation>
    <dataValidation type="list" allowBlank="1" showInputMessage="1" showErrorMessage="1" sqref="E3 E6 E13" xr:uid="{1D712A32-D393-41A5-90D1-5EA89C3C3FC8}">
      <formula1>SerialTypes</formula1>
    </dataValidation>
    <dataValidation type="list" allowBlank="1" showInputMessage="1" showErrorMessage="1" sqref="G3 G6 G13" xr:uid="{596335F7-1152-4D9C-91EA-D07A0A0E5E80}">
      <formula1>ITEquipmentLocations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220" r:id="rId4" name="AddButton">
          <controlPr defaultSize="0" autoLine="0" r:id="rId5">
            <anchor moveWithCells="1">
              <from>
                <xdr:col>14</xdr:col>
                <xdr:colOff>76200</xdr:colOff>
                <xdr:row>0</xdr:row>
                <xdr:rowOff>228600</xdr:rowOff>
              </from>
              <to>
                <xdr:col>14</xdr:col>
                <xdr:colOff>285750</xdr:colOff>
                <xdr:row>1</xdr:row>
                <xdr:rowOff>57150</xdr:rowOff>
              </to>
            </anchor>
          </controlPr>
        </control>
      </mc:Choice>
      <mc:Fallback>
        <control shapeId="9220" r:id="rId4" name="AddButton"/>
      </mc:Fallback>
    </mc:AlternateContent>
    <mc:AlternateContent xmlns:mc="http://schemas.openxmlformats.org/markup-compatibility/2006">
      <mc:Choice Requires="x14">
        <control shapeId="9228" r:id="rId6" name="EditButton">
          <controlPr defaultSize="0" autoLine="0" r:id="rId7">
            <anchor moveWithCells="1">
              <from>
                <xdr:col>14</xdr:col>
                <xdr:colOff>95250</xdr:colOff>
                <xdr:row>6</xdr:row>
                <xdr:rowOff>38100</xdr:rowOff>
              </from>
              <to>
                <xdr:col>15</xdr:col>
                <xdr:colOff>419100</xdr:colOff>
                <xdr:row>8</xdr:row>
                <xdr:rowOff>57150</xdr:rowOff>
              </to>
            </anchor>
          </controlPr>
        </control>
      </mc:Choice>
      <mc:Fallback>
        <control shapeId="9228" r:id="rId6" name="EditButton"/>
      </mc:Fallback>
    </mc:AlternateContent>
  </controls>
  <tableParts count="5">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3">
        <x14:dataValidation type="list" allowBlank="1" showInputMessage="1" showErrorMessage="1" xr:uid="{EEBB6B3F-CF76-4F77-AF79-F84C2B6D4104}">
          <x14:formula1>
            <xm:f>'TQty &amp; SQty'!$Y$6:$Y$415</xm:f>
          </x14:formula1>
          <xm:sqref>J3 J13 J6</xm:sqref>
        </x14:dataValidation>
        <x14:dataValidation type="list" allowBlank="1" xr:uid="{394B9839-7D35-4FAA-970D-29DFAAFA2AB8}">
          <x14:formula1>
            <xm:f>'Storage Inv (IQty)'!$C$5:$C$88</xm:f>
          </x14:formula1>
          <xm:sqref>C3 C6 C13</xm:sqref>
        </x14:dataValidation>
        <x14:dataValidation type="list" allowBlank="1" xr:uid="{EFF4F79F-2676-4053-87CD-FDEBEC766DD5}">
          <x14:formula1>
            <xm:f>'Storage Inv (IQty)'!$D$5:$D$88</xm:f>
          </x14:formula1>
          <xm:sqref>D3 D6 D13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143CA-2C5A-48C9-ABB1-B7EE49B14F94}">
  <sheetPr codeName="ITSecondTableSheet">
    <tabColor theme="2" tint="-0.249977111117893"/>
  </sheetPr>
  <dimension ref="A1:R817"/>
  <sheetViews>
    <sheetView topLeftCell="C195" workbookViewId="0">
      <selection activeCell="M3" sqref="M3"/>
    </sheetView>
  </sheetViews>
  <sheetFormatPr defaultRowHeight="14.25" x14ac:dyDescent="0.2"/>
  <cols>
    <col min="1" max="1" width="4.44140625" style="1" bestFit="1" customWidth="1"/>
    <col min="2" max="2" width="7" style="1" bestFit="1" customWidth="1"/>
    <col min="3" max="3" width="7" bestFit="1" customWidth="1"/>
    <col min="4" max="4" width="4.77734375" bestFit="1" customWidth="1"/>
    <col min="5" max="5" width="4.5546875" bestFit="1" customWidth="1"/>
    <col min="6" max="6" width="4.44140625" customWidth="1"/>
    <col min="7" max="8" width="7.6640625" bestFit="1" customWidth="1"/>
    <col min="9" max="9" width="38" bestFit="1" customWidth="1"/>
    <col min="10" max="10" width="9.44140625" bestFit="1" customWidth="1"/>
    <col min="11" max="11" width="12.21875" bestFit="1" customWidth="1"/>
    <col min="12" max="12" width="12.33203125" bestFit="1" customWidth="1"/>
    <col min="13" max="13" width="9.33203125" bestFit="1" customWidth="1"/>
    <col min="15" max="15" width="4.77734375" bestFit="1" customWidth="1"/>
    <col min="16" max="16" width="8.33203125" bestFit="1" customWidth="1"/>
    <col min="17" max="17" width="27.5546875" bestFit="1" customWidth="1"/>
  </cols>
  <sheetData>
    <row r="1" spans="1:18" ht="19.5" x14ac:dyDescent="0.2">
      <c r="A1" s="278" t="s">
        <v>2157</v>
      </c>
      <c r="B1" s="278"/>
      <c r="C1" s="278"/>
      <c r="D1" s="278"/>
      <c r="E1" s="278"/>
      <c r="F1" s="278"/>
      <c r="G1" s="278"/>
      <c r="H1" s="278"/>
      <c r="I1" s="278"/>
      <c r="J1" s="278"/>
      <c r="K1" s="278"/>
      <c r="L1" s="278"/>
      <c r="M1" s="278"/>
    </row>
    <row r="2" spans="1:18" s="244" customFormat="1" ht="101.25" customHeight="1" x14ac:dyDescent="0.2">
      <c r="A2" s="253" t="s">
        <v>2158</v>
      </c>
      <c r="B2" s="253" t="s">
        <v>2159</v>
      </c>
      <c r="C2" s="253" t="s">
        <v>2160</v>
      </c>
      <c r="D2" s="245" t="s">
        <v>2161</v>
      </c>
      <c r="E2" s="250" t="s">
        <v>2162</v>
      </c>
      <c r="F2" s="252" t="s">
        <v>2163</v>
      </c>
      <c r="G2" s="245" t="s">
        <v>2164</v>
      </c>
      <c r="H2" s="245" t="s">
        <v>2165</v>
      </c>
      <c r="I2" s="243"/>
      <c r="J2" s="243"/>
      <c r="K2" s="243"/>
      <c r="L2" s="243"/>
      <c r="M2" s="243"/>
    </row>
    <row r="3" spans="1:18" x14ac:dyDescent="0.2">
      <c r="A3" s="169"/>
      <c r="B3" s="169"/>
      <c r="C3" s="169"/>
      <c r="D3" s="169"/>
      <c r="E3" s="169"/>
      <c r="F3" s="169"/>
      <c r="G3" s="169"/>
      <c r="H3" s="169"/>
      <c r="I3" s="169" t="s">
        <v>2166</v>
      </c>
      <c r="J3" s="169" t="str">
        <f>COUNTIF(ITSecondTable[IsCounted], FALSE) &amp; " Missed"</f>
        <v>718 Missed</v>
      </c>
      <c r="K3" s="174">
        <f>COUNTIF(ITSecondTable[DuplicateSerial], TRUE)</f>
        <v>0</v>
      </c>
      <c r="L3" s="174">
        <f>COUNTIF(ITSecondTable[DuplicateName], TRUE)</f>
        <v>0</v>
      </c>
      <c r="M3" s="174">
        <f>COUNTIF(ITSecondTable[DuplicateIP], TRUE)</f>
        <v>13</v>
      </c>
    </row>
    <row r="4" spans="1:18" x14ac:dyDescent="0.2">
      <c r="A4" s="296" t="s">
        <v>2167</v>
      </c>
      <c r="B4" s="302"/>
      <c r="C4" s="297"/>
      <c r="D4" s="234"/>
      <c r="E4" s="234"/>
      <c r="F4" s="234"/>
      <c r="G4" s="234"/>
      <c r="H4" s="234"/>
      <c r="I4" s="170" t="s">
        <v>2168</v>
      </c>
      <c r="J4" s="170"/>
      <c r="K4" s="301" t="s">
        <v>2169</v>
      </c>
      <c r="L4" s="301"/>
      <c r="M4" s="301"/>
      <c r="O4" t="s">
        <v>2170</v>
      </c>
      <c r="P4" s="242" t="s">
        <v>2171</v>
      </c>
      <c r="Q4" s="242" t="s">
        <v>2172</v>
      </c>
      <c r="R4" s="242"/>
    </row>
    <row r="5" spans="1:18" x14ac:dyDescent="0.2">
      <c r="A5" s="255" t="s">
        <v>2173</v>
      </c>
      <c r="B5" s="254" t="s">
        <v>2174</v>
      </c>
      <c r="C5" s="254" t="s">
        <v>2175</v>
      </c>
      <c r="D5" s="248" t="s">
        <v>2176</v>
      </c>
      <c r="E5" s="251" t="s">
        <v>2177</v>
      </c>
      <c r="F5" s="249" t="s">
        <v>2178</v>
      </c>
      <c r="G5" s="248" t="s">
        <v>2179</v>
      </c>
      <c r="H5" s="248" t="s">
        <v>2180</v>
      </c>
      <c r="I5" t="s">
        <v>2181</v>
      </c>
      <c r="J5" t="s">
        <v>2182</v>
      </c>
      <c r="K5" t="s">
        <v>2183</v>
      </c>
      <c r="L5" t="s">
        <v>2184</v>
      </c>
      <c r="M5" t="s">
        <v>2185</v>
      </c>
      <c r="O5" t="s">
        <v>2186</v>
      </c>
      <c r="P5" s="242" t="s">
        <v>2187</v>
      </c>
      <c r="Q5" s="242" t="s">
        <v>3328</v>
      </c>
      <c r="R5" s="242"/>
    </row>
    <row r="6" spans="1:18" x14ac:dyDescent="0.2">
      <c r="A6" s="168">
        <f>IF(LEN(ITSecondTable[[#This Row],[Tag]]) &gt; 0, _xlfn.XLOOKUP(ITSecondTable[[#This Row],[Tag]],StorageTable[Tag], StorageTable[In Storage - Count Total], "Err", 0, 1), 0)</f>
        <v>0</v>
      </c>
      <c r="B6" s="1">
        <f>_xlfn.LET(_xlpm.loc, ITEquipmentTable[Storage Location],
COUNTIFS(ITSecondTable[Tag], ITSecondTable[[#This Row],[Tag]], _xlpm.loc, "&lt;&gt;In Use", _xlpm.loc, "&lt;&gt;",  _xlpm.loc, "&lt;&gt;E-Waste", _xlpm.loc, "&lt;&gt;Virtual",  _xlpm.loc, "&lt;&gt;Assigned to Employee", _xlpm.loc, "&lt;&gt;Decommisioned", _xlpm.loc, "&lt;&gt;Missing")
)</f>
        <v>0</v>
      </c>
      <c r="C6" s="1">
        <f>_xlfn.LET(_xlpm.loc, ITEquipmentTable[Storage Location],
COUNTIFS(ITSecondTable[Tag], ITSecondTable[[#This Row],[Tag]], _xlpm.loc, "&lt;&gt;E-Waste", _xlpm.loc, "&lt;&gt;Virtual", _xlpm.loc, "&lt;&gt;Decommisioned")
)</f>
        <v>10</v>
      </c>
      <c r="D6" s="168">
        <f>_xlfn.LET(_xlpm.loc, ITEquipmentTable[Storage Location],
COUNTIFS(ITSecondTable[Tag], ITSecondTable[[#This Row],[Tag]], _xlpm.loc, "Missing")
)</f>
        <v>0</v>
      </c>
      <c r="E6" s="168">
        <f>_xlfn.LET(_xlpm.loc, ITEquipmentTable[Storage Location],
COUNTIFS(ITSecondTable[Tag], ITSecondTable[[#This Row],[Tag]], _xlpm.loc, "In Use") + COUNTIFS(ITSecondTable[Tag], ITSecondTable[[#This Row],[Tag]], _xlpm.loc, "Assigned to Employee")
)</f>
        <v>5</v>
      </c>
      <c r="F6" s="168">
        <f>_xlfn.LET(_xlpm.loc, ITEquipmentTable[Storage Location],
COUNTIFS(ITSecondTable[Tag], ITSecondTable[[#This Row],[Tag]], _xlpm.loc, "")
)</f>
        <v>5</v>
      </c>
      <c r="G6" s="168">
        <f>MAX(ITSecondTable[[#This Row],[SQty]] - ITSecondTable[[#This Row],[IQty]], 0)</f>
        <v>0</v>
      </c>
      <c r="H6" s="168">
        <f>MAX(ITSecondTable[[#This Row],[IQty]]-ITSecondTable[[#This Row],[SQty]], 0)</f>
        <v>0</v>
      </c>
      <c r="I6" s="151" t="str">
        <f>IFERROR(_xlfn.TEXTJOIN("~", TRUE, ITEquipmentTable[[#This Row],[Type]],ITEquipmentTable[[#This Row],[Brand]],ITEquipmentTable[[#This Row],[Model]]), "")</f>
        <v>Laptop~HP~HP ProBook 640 G4</v>
      </c>
      <c r="J6" s="151" t="b">
        <f xml:space="preserve"> _xlfn.IFNA(MATCH( ITSecondTable[[#This Row],[Tag]], StorageTable[Tag], 0)  &gt; -1, FALSE)</f>
        <v>0</v>
      </c>
      <c r="K6" s="168" t="b">
        <f>COUNTIFS(ITEquipmentTable[Serial], ITEquipmentTable[[#This Row],[Serial]], ITEquipmentTable[Serial], "&lt;&gt;N/A") &gt; 1</f>
        <v>0</v>
      </c>
      <c r="L6" s="168" t="b">
        <f>COUNTIFS(ITEquipmentTable[Name], ITEquipmentTable[[#This Row],[Name]], ITEquipmentTable[Name], "&lt;&gt;&lt;Unassigned&gt;",  ITEquipmentTable[Name], "&lt;&gt;N/A") &gt; 1</f>
        <v>0</v>
      </c>
      <c r="M6" s="168" t="b">
        <f>AND(COUNTIFS(ITEquipmentTable[IPv4 Address], ITEquipmentTable[[#This Row],[IPv4 Address]]) &gt; 1, ITEquipmentTable[[#This Row],[IPv4 Address]] &lt;&gt; "DHCP",  ITEquipmentTable[[#This Row],[IPv4 Address]] &lt;&gt; "N/A")</f>
        <v>0</v>
      </c>
      <c r="O6" t="s">
        <v>2188</v>
      </c>
      <c r="P6" s="242" t="s">
        <v>2187</v>
      </c>
      <c r="Q6" s="242" t="s">
        <v>3329</v>
      </c>
      <c r="R6" s="242"/>
    </row>
    <row r="7" spans="1:18" x14ac:dyDescent="0.2">
      <c r="A7" s="168">
        <f>IF(LEN(ITSecondTable[[#This Row],[Tag]]) &gt; 0, _xlfn.XLOOKUP(ITSecondTable[[#This Row],[Tag]],StorageTable[Tag], StorageTable[In Storage - Count Total], "Err", 0, 1), 0)</f>
        <v>0</v>
      </c>
      <c r="B7" s="1">
        <f>_xlfn.LET(_xlpm.loc, ITEquipmentTable[Storage Location],
COUNTIFS(ITSecondTable[Tag], ITSecondTable[[#This Row],[Tag]], _xlpm.loc, "&lt;&gt;In Use", _xlpm.loc, "&lt;&gt;",  _xlpm.loc, "&lt;&gt;E-Waste", _xlpm.loc, "&lt;&gt;Virtual",  _xlpm.loc, "&lt;&gt;Assigned to Employee", _xlpm.loc, "&lt;&gt;Decommisioned", _xlpm.loc, "&lt;&gt;Missing")
)</f>
        <v>1</v>
      </c>
      <c r="C7" s="1">
        <f>_xlfn.LET(_xlpm.loc, ITEquipmentTable[Storage Location],
COUNTIFS(ITSecondTable[Tag], ITSecondTable[[#This Row],[Tag]], _xlpm.loc, "&lt;&gt;E-Waste", _xlpm.loc, "&lt;&gt;Virtual", _xlpm.loc, "&lt;&gt;Decommisioned")
)</f>
        <v>2</v>
      </c>
      <c r="D7" s="168">
        <f>_xlfn.LET(_xlpm.loc, ITEquipmentTable[Storage Location],
COUNTIFS(ITSecondTable[Tag], ITSecondTable[[#This Row],[Tag]], _xlpm.loc, "Missing")
)</f>
        <v>0</v>
      </c>
      <c r="E7" s="168">
        <f>_xlfn.LET(_xlpm.loc, ITEquipmentTable[Storage Location],
COUNTIFS(ITSecondTable[Tag], ITSecondTable[[#This Row],[Tag]], _xlpm.loc, "In Use") + COUNTIFS(ITSecondTable[Tag], ITSecondTable[[#This Row],[Tag]], _xlpm.loc, "Assigned to Employee")
)</f>
        <v>0</v>
      </c>
      <c r="F7" s="168">
        <f>_xlfn.LET(_xlpm.loc, ITEquipmentTable[Storage Location],
COUNTIFS(ITSecondTable[Tag], ITSecondTable[[#This Row],[Tag]], _xlpm.loc, "")
)</f>
        <v>1</v>
      </c>
      <c r="G7" s="168">
        <f>MAX(ITSecondTable[[#This Row],[SQty]] - ITSecondTable[[#This Row],[IQty]], 0)</f>
        <v>1</v>
      </c>
      <c r="H7" s="168">
        <f>MAX(ITSecondTable[[#This Row],[IQty]]-ITSecondTable[[#This Row],[SQty]], 0)</f>
        <v>0</v>
      </c>
      <c r="I7" s="151" t="str">
        <f>IFERROR(_xlfn.TEXTJOIN("~", TRUE, ITEquipmentTable[[#This Row],[Type]],ITEquipmentTable[[#This Row],[Brand]],ITEquipmentTable[[#This Row],[Model]]), "")</f>
        <v>Laptop~HP~HP ProBook 4540s</v>
      </c>
      <c r="J7" s="151" t="b">
        <f xml:space="preserve"> _xlfn.IFNA(MATCH( ITSecondTable[[#This Row],[Tag]], StorageTable[Tag], 0)  &gt; -1, FALSE)</f>
        <v>0</v>
      </c>
      <c r="K7" s="168" t="b">
        <f>COUNTIFS(ITEquipmentTable[Serial], ITEquipmentTable[[#This Row],[Serial]], ITEquipmentTable[Serial], "&lt;&gt;N/A") &gt; 1</f>
        <v>0</v>
      </c>
      <c r="L7" s="168" t="b">
        <f>COUNTIFS(ITEquipmentTable[Name], ITEquipmentTable[[#This Row],[Name]], ITEquipmentTable[Name], "&lt;&gt;&lt;Unassigned&gt;",  ITEquipmentTable[Name], "&lt;&gt;N/A") &gt; 1</f>
        <v>0</v>
      </c>
      <c r="M7" s="168" t="b">
        <f>AND(COUNTIFS(ITEquipmentTable[IPv4 Address], ITEquipmentTable[[#This Row],[IPv4 Address]]) &gt; 1, ITEquipmentTable[[#This Row],[IPv4 Address]] &lt;&gt; "DHCP",  ITEquipmentTable[[#This Row],[IPv4 Address]] &lt;&gt; "N/A")</f>
        <v>0</v>
      </c>
      <c r="O7" t="s">
        <v>2189</v>
      </c>
      <c r="P7" s="242" t="s">
        <v>2187</v>
      </c>
      <c r="Q7" s="242" t="s">
        <v>2190</v>
      </c>
    </row>
    <row r="8" spans="1:18" x14ac:dyDescent="0.2">
      <c r="A8" s="168">
        <f>IF(LEN(ITSecondTable[[#This Row],[Tag]]) &gt; 0, _xlfn.XLOOKUP(ITSecondTable[[#This Row],[Tag]],StorageTable[Tag], StorageTable[In Storage - Count Total], "Err", 0, 1), 0)</f>
        <v>0</v>
      </c>
      <c r="B8" s="1">
        <f>_xlfn.LET(_xlpm.loc, ITEquipmentTable[Storage Location],
COUNTIFS(ITSecondTable[Tag], ITSecondTable[[#This Row],[Tag]], _xlpm.loc, "&lt;&gt;In Use", _xlpm.loc, "&lt;&gt;",  _xlpm.loc, "&lt;&gt;E-Waste", _xlpm.loc, "&lt;&gt;Virtual",  _xlpm.loc, "&lt;&gt;Assigned to Employee", _xlpm.loc, "&lt;&gt;Decommisioned", _xlpm.loc, "&lt;&gt;Missing")
)</f>
        <v>1</v>
      </c>
      <c r="C8" s="1">
        <f>_xlfn.LET(_xlpm.loc, ITEquipmentTable[Storage Location],
COUNTIFS(ITSecondTable[Tag], ITSecondTable[[#This Row],[Tag]], _xlpm.loc, "&lt;&gt;E-Waste", _xlpm.loc, "&lt;&gt;Virtual", _xlpm.loc, "&lt;&gt;Decommisioned")
)</f>
        <v>1</v>
      </c>
      <c r="D8" s="168">
        <f>_xlfn.LET(_xlpm.loc, ITEquipmentTable[Storage Location],
COUNTIFS(ITSecondTable[Tag], ITSecondTable[[#This Row],[Tag]], _xlpm.loc, "Missing")
)</f>
        <v>0</v>
      </c>
      <c r="E8" s="168">
        <f>_xlfn.LET(_xlpm.loc, ITEquipmentTable[Storage Location],
COUNTIFS(ITSecondTable[Tag], ITSecondTable[[#This Row],[Tag]], _xlpm.loc, "In Use") + COUNTIFS(ITSecondTable[Tag], ITSecondTable[[#This Row],[Tag]], _xlpm.loc, "Assigned to Employee")
)</f>
        <v>0</v>
      </c>
      <c r="F8" s="168">
        <f>_xlfn.LET(_xlpm.loc, ITEquipmentTable[Storage Location],
COUNTIFS(ITSecondTable[Tag], ITSecondTable[[#This Row],[Tag]], _xlpm.loc, "")
)</f>
        <v>0</v>
      </c>
      <c r="G8" s="168">
        <f>MAX(ITSecondTable[[#This Row],[SQty]] - ITSecondTable[[#This Row],[IQty]], 0)</f>
        <v>1</v>
      </c>
      <c r="H8" s="168">
        <f>MAX(ITSecondTable[[#This Row],[IQty]]-ITSecondTable[[#This Row],[SQty]], 0)</f>
        <v>0</v>
      </c>
      <c r="I8" s="151" t="str">
        <f>IFERROR(_xlfn.TEXTJOIN("~", TRUE, ITEquipmentTable[[#This Row],[Type]],ITEquipmentTable[[#This Row],[Brand]],ITEquipmentTable[[#This Row],[Model]]), "")</f>
        <v>Laptop~HP~HP ProBook 4530s</v>
      </c>
      <c r="J8" s="151" t="b">
        <f xml:space="preserve"> _xlfn.IFNA(MATCH( ITSecondTable[[#This Row],[Tag]], StorageTable[Tag], 0)  &gt; -1, FALSE)</f>
        <v>0</v>
      </c>
      <c r="K8" s="168" t="b">
        <f>COUNTIFS(ITEquipmentTable[Serial], ITEquipmentTable[[#This Row],[Serial]], ITEquipmentTable[Serial], "&lt;&gt;N/A") &gt; 1</f>
        <v>0</v>
      </c>
      <c r="L8" s="168" t="b">
        <f>COUNTIFS(ITEquipmentTable[Name], ITEquipmentTable[[#This Row],[Name]], ITEquipmentTable[Name], "&lt;&gt;&lt;Unassigned&gt;",  ITEquipmentTable[Name], "&lt;&gt;N/A") &gt; 1</f>
        <v>0</v>
      </c>
      <c r="M8" s="168" t="b">
        <f>AND(COUNTIFS(ITEquipmentTable[IPv4 Address], ITEquipmentTable[[#This Row],[IPv4 Address]]) &gt; 1, ITEquipmentTable[[#This Row],[IPv4 Address]] &lt;&gt; "DHCP",  ITEquipmentTable[[#This Row],[IPv4 Address]] &lt;&gt; "N/A")</f>
        <v>0</v>
      </c>
      <c r="O8" t="s">
        <v>2177</v>
      </c>
      <c r="P8" s="242" t="s">
        <v>2187</v>
      </c>
      <c r="Q8" s="242" t="s">
        <v>2191</v>
      </c>
    </row>
    <row r="9" spans="1:18" x14ac:dyDescent="0.2">
      <c r="A9" s="168">
        <f>IF(LEN(ITSecondTable[[#This Row],[Tag]]) &gt; 0, _xlfn.XLOOKUP(ITSecondTable[[#This Row],[Tag]],StorageTable[Tag], StorageTable[In Storage - Count Total], "Err", 0, 1), 0)</f>
        <v>0</v>
      </c>
      <c r="B9" s="1">
        <f>_xlfn.LET(_xlpm.loc, ITEquipmentTable[Storage Location],
COUNTIFS(ITSecondTable[Tag], ITSecondTable[[#This Row],[Tag]], _xlpm.loc, "&lt;&gt;In Use", _xlpm.loc, "&lt;&gt;",  _xlpm.loc, "&lt;&gt;E-Waste", _xlpm.loc, "&lt;&gt;Virtual",  _xlpm.loc, "&lt;&gt;Assigned to Employee", _xlpm.loc, "&lt;&gt;Decommisioned", _xlpm.loc, "&lt;&gt;Missing")
)</f>
        <v>2</v>
      </c>
      <c r="C9" s="1">
        <f>_xlfn.LET(_xlpm.loc, ITEquipmentTable[Storage Location],
COUNTIFS(ITSecondTable[Tag], ITSecondTable[[#This Row],[Tag]], _xlpm.loc, "&lt;&gt;E-Waste", _xlpm.loc, "&lt;&gt;Virtual", _xlpm.loc, "&lt;&gt;Decommisioned")
)</f>
        <v>17</v>
      </c>
      <c r="D9" s="168">
        <f>_xlfn.LET(_xlpm.loc, ITEquipmentTable[Storage Location],
COUNTIFS(ITSecondTable[Tag], ITSecondTable[[#This Row],[Tag]], _xlpm.loc, "Missing")
)</f>
        <v>0</v>
      </c>
      <c r="E9" s="168">
        <f>_xlfn.LET(_xlpm.loc, ITEquipmentTable[Storage Location],
COUNTIFS(ITSecondTable[Tag], ITSecondTable[[#This Row],[Tag]], _xlpm.loc, "In Use") + COUNTIFS(ITSecondTable[Tag], ITSecondTable[[#This Row],[Tag]], _xlpm.loc, "Assigned to Employee")
)</f>
        <v>5</v>
      </c>
      <c r="F9" s="168">
        <f>_xlfn.LET(_xlpm.loc, ITEquipmentTable[Storage Location],
COUNTIFS(ITSecondTable[Tag], ITSecondTable[[#This Row],[Tag]], _xlpm.loc, "")
)</f>
        <v>10</v>
      </c>
      <c r="G9" s="168">
        <f>MAX(ITSecondTable[[#This Row],[SQty]] - ITSecondTable[[#This Row],[IQty]], 0)</f>
        <v>2</v>
      </c>
      <c r="H9" s="168">
        <f>MAX(ITSecondTable[[#This Row],[IQty]]-ITSecondTable[[#This Row],[SQty]], 0)</f>
        <v>0</v>
      </c>
      <c r="I9" s="151" t="str">
        <f>IFERROR(_xlfn.TEXTJOIN("~", TRUE, ITEquipmentTable[[#This Row],[Type]],ITEquipmentTable[[#This Row],[Brand]],ITEquipmentTable[[#This Row],[Model]]), "")</f>
        <v>Laptop~HP~HP ProBook 640 G3</v>
      </c>
      <c r="J9" s="151" t="b">
        <f xml:space="preserve"> _xlfn.IFNA(MATCH( ITSecondTable[[#This Row],[Tag]], StorageTable[Tag], 0)  &gt; -1, FALSE)</f>
        <v>0</v>
      </c>
      <c r="K9" s="168" t="b">
        <f>COUNTIFS(ITEquipmentTable[Serial], ITEquipmentTable[[#This Row],[Serial]], ITEquipmentTable[Serial], "&lt;&gt;N/A") &gt; 1</f>
        <v>0</v>
      </c>
      <c r="L9" s="168" t="b">
        <f>COUNTIFS(ITEquipmentTable[Name], ITEquipmentTable[[#This Row],[Name]], ITEquipmentTable[Name], "&lt;&gt;&lt;Unassigned&gt;",  ITEquipmentTable[Name], "&lt;&gt;N/A") &gt; 1</f>
        <v>0</v>
      </c>
      <c r="M9" s="168" t="b">
        <f>AND(COUNTIFS(ITEquipmentTable[IPv4 Address], ITEquipmentTable[[#This Row],[IPv4 Address]]) &gt; 1, ITEquipmentTable[[#This Row],[IPv4 Address]] &lt;&gt; "DHCP",  ITEquipmentTable[[#This Row],[IPv4 Address]] &lt;&gt; "N/A")</f>
        <v>0</v>
      </c>
      <c r="O9" t="s">
        <v>2178</v>
      </c>
      <c r="P9" s="242" t="s">
        <v>2187</v>
      </c>
      <c r="Q9" s="242" t="s">
        <v>2163</v>
      </c>
    </row>
    <row r="10" spans="1:18" x14ac:dyDescent="0.2">
      <c r="A10" s="168">
        <f>IF(LEN(ITSecondTable[[#This Row],[Tag]]) &gt; 0, _xlfn.XLOOKUP(ITSecondTable[[#This Row],[Tag]],StorageTable[Tag], StorageTable[In Storage - Count Total], "Err", 0, 1), 0)</f>
        <v>1</v>
      </c>
      <c r="B10" s="1">
        <f>_xlfn.LET(_xlpm.loc, ITEquipmentTable[Storage Location],
COUNTIFS(ITSecondTable[Tag], ITSecondTable[[#This Row],[Tag]], _xlpm.loc, "&lt;&gt;In Use", _xlpm.loc, "&lt;&gt;",  _xlpm.loc, "&lt;&gt;E-Waste", _xlpm.loc, "&lt;&gt;Virtual",  _xlpm.loc, "&lt;&gt;Assigned to Employee", _xlpm.loc, "&lt;&gt;Decommisioned", _xlpm.loc, "&lt;&gt;Missing")
)</f>
        <v>2</v>
      </c>
      <c r="C10" s="1">
        <f>_xlfn.LET(_xlpm.loc, ITEquipmentTable[Storage Location],
COUNTIFS(ITSecondTable[Tag], ITSecondTable[[#This Row],[Tag]], _xlpm.loc, "&lt;&gt;E-Waste", _xlpm.loc, "&lt;&gt;Virtual", _xlpm.loc, "&lt;&gt;Decommisioned")
)</f>
        <v>7</v>
      </c>
      <c r="D10" s="168">
        <f>_xlfn.LET(_xlpm.loc, ITEquipmentTable[Storage Location],
COUNTIFS(ITSecondTable[Tag], ITSecondTable[[#This Row],[Tag]], _xlpm.loc, "Missing")
)</f>
        <v>0</v>
      </c>
      <c r="E10" s="168">
        <f>_xlfn.LET(_xlpm.loc, ITEquipmentTable[Storage Location],
COUNTIFS(ITSecondTable[Tag], ITSecondTable[[#This Row],[Tag]], _xlpm.loc, "In Use") + COUNTIFS(ITSecondTable[Tag], ITSecondTable[[#This Row],[Tag]], _xlpm.loc, "Assigned to Employee")
)</f>
        <v>0</v>
      </c>
      <c r="F10" s="168">
        <f>_xlfn.LET(_xlpm.loc, ITEquipmentTable[Storage Location],
COUNTIFS(ITSecondTable[Tag], ITSecondTable[[#This Row],[Tag]], _xlpm.loc, "")
)</f>
        <v>5</v>
      </c>
      <c r="G10" s="168">
        <f>MAX(ITSecondTable[[#This Row],[SQty]] - ITSecondTable[[#This Row],[IQty]], 0)</f>
        <v>1</v>
      </c>
      <c r="H10" s="168">
        <f>MAX(ITSecondTable[[#This Row],[IQty]]-ITSecondTable[[#This Row],[SQty]], 0)</f>
        <v>0</v>
      </c>
      <c r="I10" s="151" t="str">
        <f>IFERROR(_xlfn.TEXTJOIN("~", TRUE, ITEquipmentTable[[#This Row],[Type]],ITEquipmentTable[[#This Row],[Brand]],ITEquipmentTable[[#This Row],[Model]]), "")</f>
        <v>Laptop~HP~HP ProBook 640 G2</v>
      </c>
      <c r="J10" s="151" t="b">
        <f xml:space="preserve"> _xlfn.IFNA(MATCH( ITSecondTable[[#This Row],[Tag]], StorageTable[Tag], 0)  &gt; -1, FALSE)</f>
        <v>0</v>
      </c>
      <c r="K10" s="168" t="b">
        <f>COUNTIFS(ITEquipmentTable[Serial], ITEquipmentTable[[#This Row],[Serial]], ITEquipmentTable[Serial], "&lt;&gt;N/A") &gt; 1</f>
        <v>0</v>
      </c>
      <c r="L10" s="168" t="b">
        <f>COUNTIFS(ITEquipmentTable[Name], ITEquipmentTable[[#This Row],[Name]], ITEquipmentTable[Name], "&lt;&gt;&lt;Unassigned&gt;",  ITEquipmentTable[Name], "&lt;&gt;N/A") &gt; 1</f>
        <v>0</v>
      </c>
      <c r="M10" s="168" t="b">
        <f>AND(COUNTIFS(ITEquipmentTable[IPv4 Address], ITEquipmentTable[[#This Row],[IPv4 Address]]) &gt; 1, ITEquipmentTable[[#This Row],[IPv4 Address]] &lt;&gt; "DHCP",  ITEquipmentTable[[#This Row],[IPv4 Address]] &lt;&gt; "N/A")</f>
        <v>0</v>
      </c>
      <c r="O10" t="s">
        <v>2179</v>
      </c>
      <c r="P10" t="s">
        <v>27</v>
      </c>
      <c r="Q10" t="s">
        <v>2192</v>
      </c>
    </row>
    <row r="11" spans="1:18" x14ac:dyDescent="0.2">
      <c r="A11" s="168">
        <f>IF(LEN(ITSecondTable[[#This Row],[Tag]]) &gt; 0, _xlfn.XLOOKUP(ITSecondTable[[#This Row],[Tag]],StorageTable[Tag], StorageTable[In Storage - Count Total], "Err", 0, 1), 0)</f>
        <v>0</v>
      </c>
      <c r="B11" s="1">
        <f>_xlfn.LET(_xlpm.loc, ITEquipmentTable[Storage Location],
COUNTIFS(ITSecondTable[Tag], ITSecondTable[[#This Row],[Tag]], _xlpm.loc, "&lt;&gt;In Use", _xlpm.loc, "&lt;&gt;",  _xlpm.loc, "&lt;&gt;E-Waste", _xlpm.loc, "&lt;&gt;Virtual",  _xlpm.loc, "&lt;&gt;Assigned to Employee", _xlpm.loc, "&lt;&gt;Decommisioned", _xlpm.loc, "&lt;&gt;Missing")
)</f>
        <v>0</v>
      </c>
      <c r="C11" s="1">
        <f>_xlfn.LET(_xlpm.loc, ITEquipmentTable[Storage Location],
COUNTIFS(ITSecondTable[Tag], ITSecondTable[[#This Row],[Tag]], _xlpm.loc, "&lt;&gt;E-Waste", _xlpm.loc, "&lt;&gt;Virtual", _xlpm.loc, "&lt;&gt;Decommisioned")
)</f>
        <v>29</v>
      </c>
      <c r="D11" s="168">
        <f>_xlfn.LET(_xlpm.loc, ITEquipmentTable[Storage Location],
COUNTIFS(ITSecondTable[Tag], ITSecondTable[[#This Row],[Tag]], _xlpm.loc, "Missing")
)</f>
        <v>0</v>
      </c>
      <c r="E11" s="168">
        <f>_xlfn.LET(_xlpm.loc, ITEquipmentTable[Storage Location],
COUNTIFS(ITSecondTable[Tag], ITSecondTable[[#This Row],[Tag]], _xlpm.loc, "In Use") + COUNTIFS(ITSecondTable[Tag], ITSecondTable[[#This Row],[Tag]], _xlpm.loc, "Assigned to Employee")
)</f>
        <v>3</v>
      </c>
      <c r="F11" s="168">
        <f>_xlfn.LET(_xlpm.loc, ITEquipmentTable[Storage Location],
COUNTIFS(ITSecondTable[Tag], ITSecondTable[[#This Row],[Tag]], _xlpm.loc, "")
)</f>
        <v>26</v>
      </c>
      <c r="G11" s="168">
        <f>MAX(ITSecondTable[[#This Row],[SQty]] - ITSecondTable[[#This Row],[IQty]], 0)</f>
        <v>0</v>
      </c>
      <c r="H11" s="168">
        <f>MAX(ITSecondTable[[#This Row],[IQty]]-ITSecondTable[[#This Row],[SQty]], 0)</f>
        <v>0</v>
      </c>
      <c r="I11" s="151" t="str">
        <f>IFERROR(_xlfn.TEXTJOIN("~", TRUE, ITEquipmentTable[[#This Row],[Type]],ITEquipmentTable[[#This Row],[Brand]],ITEquipmentTable[[#This Row],[Model]]), "")</f>
        <v>Laptop~HP~HP ProBook 650 G2</v>
      </c>
      <c r="J11" s="151" t="b">
        <f xml:space="preserve"> _xlfn.IFNA(MATCH( ITSecondTable[[#This Row],[Tag]], StorageTable[Tag], 0)  &gt; -1, FALSE)</f>
        <v>0</v>
      </c>
      <c r="K11" s="168" t="b">
        <f>COUNTIFS(ITEquipmentTable[Serial], ITEquipmentTable[[#This Row],[Serial]], ITEquipmentTable[Serial], "&lt;&gt;N/A") &gt; 1</f>
        <v>0</v>
      </c>
      <c r="L11" s="168" t="b">
        <f>COUNTIFS(ITEquipmentTable[Name], ITEquipmentTable[[#This Row],[Name]], ITEquipmentTable[Name], "&lt;&gt;&lt;Unassigned&gt;",  ITEquipmentTable[Name], "&lt;&gt;N/A") &gt; 1</f>
        <v>0</v>
      </c>
      <c r="M11" s="168" t="b">
        <f>AND(COUNTIFS(ITEquipmentTable[IPv4 Address], ITEquipmentTable[[#This Row],[IPv4 Address]]) &gt; 1, ITEquipmentTable[[#This Row],[IPv4 Address]] &lt;&gt; "DHCP",  ITEquipmentTable[[#This Row],[IPv4 Address]] &lt;&gt; "N/A")</f>
        <v>0</v>
      </c>
      <c r="O11" t="s">
        <v>2180</v>
      </c>
      <c r="P11" t="s">
        <v>27</v>
      </c>
      <c r="Q11" t="s">
        <v>2193</v>
      </c>
    </row>
    <row r="12" spans="1:18" x14ac:dyDescent="0.2">
      <c r="A12" s="168">
        <f>IF(LEN(ITSecondTable[[#This Row],[Tag]]) &gt; 0, _xlfn.XLOOKUP(ITSecondTable[[#This Row],[Tag]],StorageTable[Tag], StorageTable[In Storage - Count Total], "Err", 0, 1), 0)</f>
        <v>0</v>
      </c>
      <c r="B12" s="1">
        <f>_xlfn.LET(_xlpm.loc, ITEquipmentTable[Storage Location],
COUNTIFS(ITSecondTable[Tag], ITSecondTable[[#This Row],[Tag]], _xlpm.loc, "&lt;&gt;In Use", _xlpm.loc, "&lt;&gt;",  _xlpm.loc, "&lt;&gt;E-Waste", _xlpm.loc, "&lt;&gt;Virtual",  _xlpm.loc, "&lt;&gt;Assigned to Employee", _xlpm.loc, "&lt;&gt;Decommisioned", _xlpm.loc, "&lt;&gt;Missing")
)</f>
        <v>2</v>
      </c>
      <c r="C12" s="1">
        <f>_xlfn.LET(_xlpm.loc, ITEquipmentTable[Storage Location],
COUNTIFS(ITSecondTable[Tag], ITSecondTable[[#This Row],[Tag]], _xlpm.loc, "&lt;&gt;E-Waste", _xlpm.loc, "&lt;&gt;Virtual", _xlpm.loc, "&lt;&gt;Decommisioned")
)</f>
        <v>13</v>
      </c>
      <c r="D12" s="168">
        <f>_xlfn.LET(_xlpm.loc, ITEquipmentTable[Storage Location],
COUNTIFS(ITSecondTable[Tag], ITSecondTable[[#This Row],[Tag]], _xlpm.loc, "Missing")
)</f>
        <v>0</v>
      </c>
      <c r="E12" s="168">
        <f>_xlfn.LET(_xlpm.loc, ITEquipmentTable[Storage Location],
COUNTIFS(ITSecondTable[Tag], ITSecondTable[[#This Row],[Tag]], _xlpm.loc, "In Use") + COUNTIFS(ITSecondTable[Tag], ITSecondTable[[#This Row],[Tag]], _xlpm.loc, "Assigned to Employee")
)</f>
        <v>1</v>
      </c>
      <c r="F12" s="168">
        <f>_xlfn.LET(_xlpm.loc, ITEquipmentTable[Storage Location],
COUNTIFS(ITSecondTable[Tag], ITSecondTable[[#This Row],[Tag]], _xlpm.loc, "")
)</f>
        <v>10</v>
      </c>
      <c r="G12" s="168">
        <f>MAX(ITSecondTable[[#This Row],[SQty]] - ITSecondTable[[#This Row],[IQty]], 0)</f>
        <v>2</v>
      </c>
      <c r="H12" s="168">
        <f>MAX(ITSecondTable[[#This Row],[IQty]]-ITSecondTable[[#This Row],[SQty]], 0)</f>
        <v>0</v>
      </c>
      <c r="I12" s="151" t="str">
        <f>IFERROR(_xlfn.TEXTJOIN("~", TRUE, ITEquipmentTable[[#This Row],[Type]],ITEquipmentTable[[#This Row],[Brand]],ITEquipmentTable[[#This Row],[Model]]), "")</f>
        <v>Laptop~HP~HP ProBook 650 G1</v>
      </c>
      <c r="J12" s="151" t="b">
        <f xml:space="preserve"> _xlfn.IFNA(MATCH( ITSecondTable[[#This Row],[Tag]], StorageTable[Tag], 0)  &gt; -1, FALSE)</f>
        <v>0</v>
      </c>
      <c r="K12" s="168" t="b">
        <f>COUNTIFS(ITEquipmentTable[Serial], ITEquipmentTable[[#This Row],[Serial]], ITEquipmentTable[Serial], "&lt;&gt;N/A") &gt; 1</f>
        <v>0</v>
      </c>
      <c r="L12" s="168" t="b">
        <f>COUNTIFS(ITEquipmentTable[Name], ITEquipmentTable[[#This Row],[Name]], ITEquipmentTable[Name], "&lt;&gt;&lt;Unassigned&gt;",  ITEquipmentTable[Name], "&lt;&gt;N/A") &gt; 1</f>
        <v>0</v>
      </c>
      <c r="M12" s="168" t="b">
        <f>AND(COUNTIFS(ITEquipmentTable[IPv4 Address], ITEquipmentTable[[#This Row],[IPv4 Address]]) &gt; 1, ITEquipmentTable[[#This Row],[IPv4 Address]] &lt;&gt; "DHCP",  ITEquipmentTable[[#This Row],[IPv4 Address]] &lt;&gt; "N/A")</f>
        <v>0</v>
      </c>
    </row>
    <row r="13" spans="1:18" x14ac:dyDescent="0.2">
      <c r="A13" s="168">
        <f>IF(LEN(ITSecondTable[[#This Row],[Tag]]) &gt; 0, _xlfn.XLOOKUP(ITSecondTable[[#This Row],[Tag]],StorageTable[Tag], StorageTable[In Storage - Count Total], "Err", 0, 1), 0)</f>
        <v>0</v>
      </c>
      <c r="B13" s="1">
        <f>_xlfn.LET(_xlpm.loc, ITEquipmentTable[Storage Location],
COUNTIFS(ITSecondTable[Tag], ITSecondTable[[#This Row],[Tag]], _xlpm.loc, "&lt;&gt;In Use", _xlpm.loc, "&lt;&gt;",  _xlpm.loc, "&lt;&gt;E-Waste", _xlpm.loc, "&lt;&gt;Virtual",  _xlpm.loc, "&lt;&gt;Assigned to Employee", _xlpm.loc, "&lt;&gt;Decommisioned", _xlpm.loc, "&lt;&gt;Missing")
)</f>
        <v>0</v>
      </c>
      <c r="C13" s="1">
        <f>_xlfn.LET(_xlpm.loc, ITEquipmentTable[Storage Location],
COUNTIFS(ITSecondTable[Tag], ITSecondTable[[#This Row],[Tag]], _xlpm.loc, "&lt;&gt;E-Waste", _xlpm.loc, "&lt;&gt;Virtual", _xlpm.loc, "&lt;&gt;Decommisioned")
)</f>
        <v>78</v>
      </c>
      <c r="D13" s="168">
        <f>_xlfn.LET(_xlpm.loc, ITEquipmentTable[Storage Location],
COUNTIFS(ITSecondTable[Tag], ITSecondTable[[#This Row],[Tag]], _xlpm.loc, "Missing")
)</f>
        <v>0</v>
      </c>
      <c r="E13" s="168">
        <f>_xlfn.LET(_xlpm.loc, ITEquipmentTable[Storage Location],
COUNTIFS(ITSecondTable[Tag], ITSecondTable[[#This Row],[Tag]], _xlpm.loc, "In Use") + COUNTIFS(ITSecondTable[Tag], ITSecondTable[[#This Row],[Tag]], _xlpm.loc, "Assigned to Employee")
)</f>
        <v>44</v>
      </c>
      <c r="F13" s="168">
        <f>_xlfn.LET(_xlpm.loc, ITEquipmentTable[Storage Location],
COUNTIFS(ITSecondTable[Tag], ITSecondTable[[#This Row],[Tag]], _xlpm.loc, "")
)</f>
        <v>34</v>
      </c>
      <c r="G13" s="168">
        <f>MAX(ITSecondTable[[#This Row],[SQty]] - ITSecondTable[[#This Row],[IQty]], 0)</f>
        <v>0</v>
      </c>
      <c r="H13" s="168">
        <f>MAX(ITSecondTable[[#This Row],[IQty]]-ITSecondTable[[#This Row],[SQty]], 0)</f>
        <v>0</v>
      </c>
      <c r="I13" s="151" t="str">
        <f>IFERROR(_xlfn.TEXTJOIN("~", TRUE, ITEquipmentTable[[#This Row],[Type]],ITEquipmentTable[[#This Row],[Brand]],ITEquipmentTable[[#This Row],[Model]]), "")</f>
        <v>Laptop~HP</v>
      </c>
      <c r="J13" s="151" t="b">
        <f xml:space="preserve"> _xlfn.IFNA(MATCH( ITSecondTable[[#This Row],[Tag]], StorageTable[Tag], 0)  &gt; -1, FALSE)</f>
        <v>0</v>
      </c>
      <c r="K13" s="168" t="b">
        <f>COUNTIFS(ITEquipmentTable[Serial], ITEquipmentTable[[#This Row],[Serial]], ITEquipmentTable[Serial], "&lt;&gt;N/A") &gt; 1</f>
        <v>0</v>
      </c>
      <c r="L13" s="168" t="b">
        <f>COUNTIFS(ITEquipmentTable[Name], ITEquipmentTable[[#This Row],[Name]], ITEquipmentTable[Name], "&lt;&gt;&lt;Unassigned&gt;",  ITEquipmentTable[Name], "&lt;&gt;N/A") &gt; 1</f>
        <v>0</v>
      </c>
      <c r="M13" s="168" t="b">
        <f>AND(COUNTIFS(ITEquipmentTable[IPv4 Address], ITEquipmentTable[[#This Row],[IPv4 Address]]) &gt; 1, ITEquipmentTable[[#This Row],[IPv4 Address]] &lt;&gt; "DHCP",  ITEquipmentTable[[#This Row],[IPv4 Address]] &lt;&gt; "N/A")</f>
        <v>0</v>
      </c>
    </row>
    <row r="14" spans="1:18" x14ac:dyDescent="0.2">
      <c r="A14" s="168">
        <f>IF(LEN(ITSecondTable[[#This Row],[Tag]]) &gt; 0, _xlfn.XLOOKUP(ITSecondTable[[#This Row],[Tag]],StorageTable[Tag], StorageTable[In Storage - Count Total], "Err", 0, 1), 0)</f>
        <v>0</v>
      </c>
      <c r="B14" s="1">
        <f>_xlfn.LET(_xlpm.loc, ITEquipmentTable[Storage Location],
COUNTIFS(ITSecondTable[Tag], ITSecondTable[[#This Row],[Tag]], _xlpm.loc, "&lt;&gt;In Use", _xlpm.loc, "&lt;&gt;",  _xlpm.loc, "&lt;&gt;E-Waste", _xlpm.loc, "&lt;&gt;Virtual",  _xlpm.loc, "&lt;&gt;Assigned to Employee", _xlpm.loc, "&lt;&gt;Decommisioned", _xlpm.loc, "&lt;&gt;Missing")
)</f>
        <v>8</v>
      </c>
      <c r="C14" s="1">
        <f>_xlfn.LET(_xlpm.loc, ITEquipmentTable[Storage Location],
COUNTIFS(ITSecondTable[Tag], ITSecondTable[[#This Row],[Tag]], _xlpm.loc, "&lt;&gt;E-Waste", _xlpm.loc, "&lt;&gt;Virtual", _xlpm.loc, "&lt;&gt;Decommisioned")
)</f>
        <v>27</v>
      </c>
      <c r="D14" s="168">
        <f>_xlfn.LET(_xlpm.loc, ITEquipmentTable[Storage Location],
COUNTIFS(ITSecondTable[Tag], ITSecondTable[[#This Row],[Tag]], _xlpm.loc, "Missing")
)</f>
        <v>0</v>
      </c>
      <c r="E14" s="168">
        <f>_xlfn.LET(_xlpm.loc, ITEquipmentTable[Storage Location],
COUNTIFS(ITSecondTable[Tag], ITSecondTable[[#This Row],[Tag]], _xlpm.loc, "In Use") + COUNTIFS(ITSecondTable[Tag], ITSecondTable[[#This Row],[Tag]], _xlpm.loc, "Assigned to Employee")
)</f>
        <v>12</v>
      </c>
      <c r="F14" s="168">
        <f>_xlfn.LET(_xlpm.loc, ITEquipmentTable[Storage Location],
COUNTIFS(ITSecondTable[Tag], ITSecondTable[[#This Row],[Tag]], _xlpm.loc, "")
)</f>
        <v>7</v>
      </c>
      <c r="G14" s="168">
        <f>MAX(ITSecondTable[[#This Row],[SQty]] - ITSecondTable[[#This Row],[IQty]], 0)</f>
        <v>8</v>
      </c>
      <c r="H14" s="168">
        <f>MAX(ITSecondTable[[#This Row],[IQty]]-ITSecondTable[[#This Row],[SQty]], 0)</f>
        <v>0</v>
      </c>
      <c r="I14" s="151" t="str">
        <f>IFERROR(_xlfn.TEXTJOIN("~", TRUE, ITEquipmentTable[[#This Row],[Type]],ITEquipmentTable[[#This Row],[Brand]],ITEquipmentTable[[#This Row],[Model]]), "")</f>
        <v>Desktop~Dell~OptiPlex 3050</v>
      </c>
      <c r="J14" s="151" t="b">
        <f xml:space="preserve"> _xlfn.IFNA(MATCH( ITSecondTable[[#This Row],[Tag]], StorageTable[Tag], 0)  &gt; -1, FALSE)</f>
        <v>0</v>
      </c>
      <c r="K14" s="168" t="b">
        <f>COUNTIFS(ITEquipmentTable[Serial], ITEquipmentTable[[#This Row],[Serial]], ITEquipmentTable[Serial], "&lt;&gt;N/A") &gt; 1</f>
        <v>0</v>
      </c>
      <c r="L14" s="168" t="b">
        <f>COUNTIFS(ITEquipmentTable[Name], ITEquipmentTable[[#This Row],[Name]], ITEquipmentTable[Name], "&lt;&gt;&lt;Unassigned&gt;",  ITEquipmentTable[Name], "&lt;&gt;N/A") &gt; 1</f>
        <v>0</v>
      </c>
      <c r="M14" s="168" t="b">
        <f>AND(COUNTIFS(ITEquipmentTable[IPv4 Address], ITEquipmentTable[[#This Row],[IPv4 Address]]) &gt; 1, ITEquipmentTable[[#This Row],[IPv4 Address]] &lt;&gt; "DHCP",  ITEquipmentTable[[#This Row],[IPv4 Address]] &lt;&gt; "N/A")</f>
        <v>0</v>
      </c>
    </row>
    <row r="15" spans="1:18" x14ac:dyDescent="0.2">
      <c r="A15" s="168">
        <f>IF(LEN(ITSecondTable[[#This Row],[Tag]]) &gt; 0, _xlfn.XLOOKUP(ITSecondTable[[#This Row],[Tag]],StorageTable[Tag], StorageTable[In Storage - Count Total], "Err", 0, 1), 0)</f>
        <v>0</v>
      </c>
      <c r="B15" s="1">
        <f>_xlfn.LET(_xlpm.loc, ITEquipmentTable[Storage Location],
COUNTIFS(ITSecondTable[Tag], ITSecondTable[[#This Row],[Tag]], _xlpm.loc, "&lt;&gt;In Use", _xlpm.loc, "&lt;&gt;",  _xlpm.loc, "&lt;&gt;E-Waste", _xlpm.loc, "&lt;&gt;Virtual",  _xlpm.loc, "&lt;&gt;Assigned to Employee", _xlpm.loc, "&lt;&gt;Decommisioned", _xlpm.loc, "&lt;&gt;Missing")
)</f>
        <v>1</v>
      </c>
      <c r="C15" s="1">
        <f>_xlfn.LET(_xlpm.loc, ITEquipmentTable[Storage Location],
COUNTIFS(ITSecondTable[Tag], ITSecondTable[[#This Row],[Tag]], _xlpm.loc, "&lt;&gt;E-Waste", _xlpm.loc, "&lt;&gt;Virtual", _xlpm.loc, "&lt;&gt;Decommisioned")
)</f>
        <v>3</v>
      </c>
      <c r="D15" s="168">
        <f>_xlfn.LET(_xlpm.loc, ITEquipmentTable[Storage Location],
COUNTIFS(ITSecondTable[Tag], ITSecondTable[[#This Row],[Tag]], _xlpm.loc, "Missing")
)</f>
        <v>0</v>
      </c>
      <c r="E15" s="168">
        <f>_xlfn.LET(_xlpm.loc, ITEquipmentTable[Storage Location],
COUNTIFS(ITSecondTable[Tag], ITSecondTable[[#This Row],[Tag]], _xlpm.loc, "In Use") + COUNTIFS(ITSecondTable[Tag], ITSecondTable[[#This Row],[Tag]], _xlpm.loc, "Assigned to Employee")
)</f>
        <v>0</v>
      </c>
      <c r="F15" s="168">
        <f>_xlfn.LET(_xlpm.loc, ITEquipmentTable[Storage Location],
COUNTIFS(ITSecondTable[Tag], ITSecondTable[[#This Row],[Tag]], _xlpm.loc, "")
)</f>
        <v>2</v>
      </c>
      <c r="G15" s="168">
        <f>MAX(ITSecondTable[[#This Row],[SQty]] - ITSecondTable[[#This Row],[IQty]], 0)</f>
        <v>1</v>
      </c>
      <c r="H15" s="168">
        <f>MAX(ITSecondTable[[#This Row],[IQty]]-ITSecondTable[[#This Row],[SQty]], 0)</f>
        <v>0</v>
      </c>
      <c r="I15" s="151" t="str">
        <f>IFERROR(_xlfn.TEXTJOIN("~", TRUE, ITEquipmentTable[[#This Row],[Type]],ITEquipmentTable[[#This Row],[Brand]],ITEquipmentTable[[#This Row],[Model]]), "")</f>
        <v>Laptop~HP~HP ZBook 15 G3</v>
      </c>
      <c r="J15" s="151" t="b">
        <f xml:space="preserve"> _xlfn.IFNA(MATCH( ITSecondTable[[#This Row],[Tag]], StorageTable[Tag], 0)  &gt; -1, FALSE)</f>
        <v>0</v>
      </c>
      <c r="K15" s="168" t="b">
        <f>COUNTIFS(ITEquipmentTable[Serial], ITEquipmentTable[[#This Row],[Serial]], ITEquipmentTable[Serial], "&lt;&gt;N/A") &gt; 1</f>
        <v>0</v>
      </c>
      <c r="L15" s="168" t="b">
        <f>COUNTIFS(ITEquipmentTable[Name], ITEquipmentTable[[#This Row],[Name]], ITEquipmentTable[Name], "&lt;&gt;&lt;Unassigned&gt;",  ITEquipmentTable[Name], "&lt;&gt;N/A") &gt; 1</f>
        <v>0</v>
      </c>
      <c r="M15" s="168" t="b">
        <f>AND(COUNTIFS(ITEquipmentTable[IPv4 Address], ITEquipmentTable[[#This Row],[IPv4 Address]]) &gt; 1, ITEquipmentTable[[#This Row],[IPv4 Address]] &lt;&gt; "DHCP",  ITEquipmentTable[[#This Row],[IPv4 Address]] &lt;&gt; "N/A")</f>
        <v>0</v>
      </c>
    </row>
    <row r="16" spans="1:18" x14ac:dyDescent="0.2">
      <c r="A16" s="168">
        <f>IF(LEN(ITSecondTable[[#This Row],[Tag]]) &gt; 0, _xlfn.XLOOKUP(ITSecondTable[[#This Row],[Tag]],StorageTable[Tag], StorageTable[In Storage - Count Total], "Err", 0, 1), 0)</f>
        <v>0</v>
      </c>
      <c r="B16" s="1">
        <f>_xlfn.LET(_xlpm.loc, ITEquipmentTable[Storage Location],
COUNTIFS(ITSecondTable[Tag], ITSecondTable[[#This Row],[Tag]], _xlpm.loc, "&lt;&gt;In Use", _xlpm.loc, "&lt;&gt;",  _xlpm.loc, "&lt;&gt;E-Waste", _xlpm.loc, "&lt;&gt;Virtual",  _xlpm.loc, "&lt;&gt;Assigned to Employee", _xlpm.loc, "&lt;&gt;Decommisioned", _xlpm.loc, "&lt;&gt;Missing")
)</f>
        <v>0</v>
      </c>
      <c r="C16" s="1">
        <f>_xlfn.LET(_xlpm.loc, ITEquipmentTable[Storage Location],
COUNTIFS(ITSecondTable[Tag], ITSecondTable[[#This Row],[Tag]], _xlpm.loc, "&lt;&gt;E-Waste", _xlpm.loc, "&lt;&gt;Virtual", _xlpm.loc, "&lt;&gt;Decommisioned")
)</f>
        <v>4</v>
      </c>
      <c r="D16" s="168">
        <f>_xlfn.LET(_xlpm.loc, ITEquipmentTable[Storage Location],
COUNTIFS(ITSecondTable[Tag], ITSecondTable[[#This Row],[Tag]], _xlpm.loc, "Missing")
)</f>
        <v>0</v>
      </c>
      <c r="E16" s="168">
        <f>_xlfn.LET(_xlpm.loc, ITEquipmentTable[Storage Location],
COUNTIFS(ITSecondTable[Tag], ITSecondTable[[#This Row],[Tag]], _xlpm.loc, "In Use") + COUNTIFS(ITSecondTable[Tag], ITSecondTable[[#This Row],[Tag]], _xlpm.loc, "Assigned to Employee")
)</f>
        <v>1</v>
      </c>
      <c r="F16" s="168">
        <f>_xlfn.LET(_xlpm.loc, ITEquipmentTable[Storage Location],
COUNTIFS(ITSecondTable[Tag], ITSecondTable[[#This Row],[Tag]], _xlpm.loc, "")
)</f>
        <v>3</v>
      </c>
      <c r="G16" s="168">
        <f>MAX(ITSecondTable[[#This Row],[SQty]] - ITSecondTable[[#This Row],[IQty]], 0)</f>
        <v>0</v>
      </c>
      <c r="H16" s="168">
        <f>MAX(ITSecondTable[[#This Row],[IQty]]-ITSecondTable[[#This Row],[SQty]], 0)</f>
        <v>0</v>
      </c>
      <c r="I16" s="151" t="str">
        <f>IFERROR(_xlfn.TEXTJOIN("~", TRUE, ITEquipmentTable[[#This Row],[Type]],ITEquipmentTable[[#This Row],[Brand]],ITEquipmentTable[[#This Row],[Model]]), "")</f>
        <v>Laptop~HP~HP EliteBook 850 G5</v>
      </c>
      <c r="J16" s="151" t="b">
        <f xml:space="preserve"> _xlfn.IFNA(MATCH( ITSecondTable[[#This Row],[Tag]], StorageTable[Tag], 0)  &gt; -1, FALSE)</f>
        <v>0</v>
      </c>
      <c r="K16" s="168" t="b">
        <f>COUNTIFS(ITEquipmentTable[Serial], ITEquipmentTable[[#This Row],[Serial]], ITEquipmentTable[Serial], "&lt;&gt;N/A") &gt; 1</f>
        <v>0</v>
      </c>
      <c r="L16" s="168" t="b">
        <f>COUNTIFS(ITEquipmentTable[Name], ITEquipmentTable[[#This Row],[Name]], ITEquipmentTable[Name], "&lt;&gt;&lt;Unassigned&gt;",  ITEquipmentTable[Name], "&lt;&gt;N/A") &gt; 1</f>
        <v>0</v>
      </c>
      <c r="M16" s="168" t="b">
        <f>AND(COUNTIFS(ITEquipmentTable[IPv4 Address], ITEquipmentTable[[#This Row],[IPv4 Address]]) &gt; 1, ITEquipmentTable[[#This Row],[IPv4 Address]] &lt;&gt; "DHCP",  ITEquipmentTable[[#This Row],[IPv4 Address]] &lt;&gt; "N/A")</f>
        <v>0</v>
      </c>
    </row>
    <row r="17" spans="1:13" x14ac:dyDescent="0.2">
      <c r="A17" s="168">
        <f>IF(LEN(ITSecondTable[[#This Row],[Tag]]) &gt; 0, _xlfn.XLOOKUP(ITSecondTable[[#This Row],[Tag]],StorageTable[Tag], StorageTable[In Storage - Count Total], "Err", 0, 1), 0)</f>
        <v>0</v>
      </c>
      <c r="B17" s="1">
        <f>_xlfn.LET(_xlpm.loc, ITEquipmentTable[Storage Location],
COUNTIFS(ITSecondTable[Tag], ITSecondTable[[#This Row],[Tag]], _xlpm.loc, "&lt;&gt;In Use", _xlpm.loc, "&lt;&gt;",  _xlpm.loc, "&lt;&gt;E-Waste", _xlpm.loc, "&lt;&gt;Virtual",  _xlpm.loc, "&lt;&gt;Assigned to Employee", _xlpm.loc, "&lt;&gt;Decommisioned", _xlpm.loc, "&lt;&gt;Missing")
)</f>
        <v>1</v>
      </c>
      <c r="C17" s="1">
        <f>_xlfn.LET(_xlpm.loc, ITEquipmentTable[Storage Location],
COUNTIFS(ITSecondTable[Tag], ITSecondTable[[#This Row],[Tag]], _xlpm.loc, "&lt;&gt;E-Waste", _xlpm.loc, "&lt;&gt;Virtual", _xlpm.loc, "&lt;&gt;Decommisioned")
)</f>
        <v>3</v>
      </c>
      <c r="D17" s="168">
        <f>_xlfn.LET(_xlpm.loc, ITEquipmentTable[Storage Location],
COUNTIFS(ITSecondTable[Tag], ITSecondTable[[#This Row],[Tag]], _xlpm.loc, "Missing")
)</f>
        <v>0</v>
      </c>
      <c r="E17" s="168">
        <f>_xlfn.LET(_xlpm.loc, ITEquipmentTable[Storage Location],
COUNTIFS(ITSecondTable[Tag], ITSecondTable[[#This Row],[Tag]], _xlpm.loc, "In Use") + COUNTIFS(ITSecondTable[Tag], ITSecondTable[[#This Row],[Tag]], _xlpm.loc, "Assigned to Employee")
)</f>
        <v>0</v>
      </c>
      <c r="F17" s="168">
        <f>_xlfn.LET(_xlpm.loc, ITEquipmentTable[Storage Location],
COUNTIFS(ITSecondTable[Tag], ITSecondTable[[#This Row],[Tag]], _xlpm.loc, "")
)</f>
        <v>2</v>
      </c>
      <c r="G17" s="168">
        <f>MAX(ITSecondTable[[#This Row],[SQty]] - ITSecondTable[[#This Row],[IQty]], 0)</f>
        <v>1</v>
      </c>
      <c r="H17" s="168">
        <f>MAX(ITSecondTable[[#This Row],[IQty]]-ITSecondTable[[#This Row],[SQty]], 0)</f>
        <v>0</v>
      </c>
      <c r="I17" s="151" t="str">
        <f>IFERROR(_xlfn.TEXTJOIN("~", TRUE, ITEquipmentTable[[#This Row],[Type]],ITEquipmentTable[[#This Row],[Brand]],ITEquipmentTable[[#This Row],[Model]]), "")</f>
        <v>Laptop~HP~HP ZBook 15 G3</v>
      </c>
      <c r="J17" s="151" t="b">
        <f xml:space="preserve"> _xlfn.IFNA(MATCH( ITSecondTable[[#This Row],[Tag]], StorageTable[Tag], 0)  &gt; -1, FALSE)</f>
        <v>0</v>
      </c>
      <c r="K17" s="168" t="b">
        <f>COUNTIFS(ITEquipmentTable[Serial], ITEquipmentTable[[#This Row],[Serial]], ITEquipmentTable[Serial], "&lt;&gt;N/A") &gt; 1</f>
        <v>0</v>
      </c>
      <c r="L17" s="168" t="b">
        <f>COUNTIFS(ITEquipmentTable[Name], ITEquipmentTable[[#This Row],[Name]], ITEquipmentTable[Name], "&lt;&gt;&lt;Unassigned&gt;",  ITEquipmentTable[Name], "&lt;&gt;N/A") &gt; 1</f>
        <v>0</v>
      </c>
      <c r="M17" s="168" t="b">
        <f>AND(COUNTIFS(ITEquipmentTable[IPv4 Address], ITEquipmentTable[[#This Row],[IPv4 Address]]) &gt; 1, ITEquipmentTable[[#This Row],[IPv4 Address]] &lt;&gt; "DHCP",  ITEquipmentTable[[#This Row],[IPv4 Address]] &lt;&gt; "N/A")</f>
        <v>0</v>
      </c>
    </row>
    <row r="18" spans="1:13" x14ac:dyDescent="0.2">
      <c r="A18" s="168">
        <f>IF(LEN(ITSecondTable[[#This Row],[Tag]]) &gt; 0, _xlfn.XLOOKUP(ITSecondTable[[#This Row],[Tag]],StorageTable[Tag], StorageTable[In Storage - Count Total], "Err", 0, 1), 0)</f>
        <v>0</v>
      </c>
      <c r="B18" s="1">
        <f>_xlfn.LET(_xlpm.loc, ITEquipmentTable[Storage Location],
COUNTIFS(ITSecondTable[Tag], ITSecondTable[[#This Row],[Tag]], _xlpm.loc, "&lt;&gt;In Use", _xlpm.loc, "&lt;&gt;",  _xlpm.loc, "&lt;&gt;E-Waste", _xlpm.loc, "&lt;&gt;Virtual",  _xlpm.loc, "&lt;&gt;Assigned to Employee", _xlpm.loc, "&lt;&gt;Decommisioned", _xlpm.loc, "&lt;&gt;Missing")
)</f>
        <v>0</v>
      </c>
      <c r="C18" s="1">
        <f>_xlfn.LET(_xlpm.loc, ITEquipmentTable[Storage Location],
COUNTIFS(ITSecondTable[Tag], ITSecondTable[[#This Row],[Tag]], _xlpm.loc, "&lt;&gt;E-Waste", _xlpm.loc, "&lt;&gt;Virtual", _xlpm.loc, "&lt;&gt;Decommisioned")
)</f>
        <v>4</v>
      </c>
      <c r="D18" s="168">
        <f>_xlfn.LET(_xlpm.loc, ITEquipmentTable[Storage Location],
COUNTIFS(ITSecondTable[Tag], ITSecondTable[[#This Row],[Tag]], _xlpm.loc, "Missing")
)</f>
        <v>0</v>
      </c>
      <c r="E18" s="168">
        <f>_xlfn.LET(_xlpm.loc, ITEquipmentTable[Storage Location],
COUNTIFS(ITSecondTable[Tag], ITSecondTable[[#This Row],[Tag]], _xlpm.loc, "In Use") + COUNTIFS(ITSecondTable[Tag], ITSecondTable[[#This Row],[Tag]], _xlpm.loc, "Assigned to Employee")
)</f>
        <v>1</v>
      </c>
      <c r="F18" s="168">
        <f>_xlfn.LET(_xlpm.loc, ITEquipmentTable[Storage Location],
COUNTIFS(ITSecondTable[Tag], ITSecondTable[[#This Row],[Tag]], _xlpm.loc, "")
)</f>
        <v>3</v>
      </c>
      <c r="G18" s="168">
        <f>MAX(ITSecondTable[[#This Row],[SQty]] - ITSecondTable[[#This Row],[IQty]], 0)</f>
        <v>0</v>
      </c>
      <c r="H18" s="168">
        <f>MAX(ITSecondTable[[#This Row],[IQty]]-ITSecondTable[[#This Row],[SQty]], 0)</f>
        <v>0</v>
      </c>
      <c r="I18" s="151" t="str">
        <f>IFERROR(_xlfn.TEXTJOIN("~", TRUE, ITEquipmentTable[[#This Row],[Type]],ITEquipmentTable[[#This Row],[Brand]],ITEquipmentTable[[#This Row],[Model]]), "")</f>
        <v>Laptop~HP~HP EliteBook 850 G5</v>
      </c>
      <c r="J18" s="151" t="b">
        <f xml:space="preserve"> _xlfn.IFNA(MATCH( ITSecondTable[[#This Row],[Tag]], StorageTable[Tag], 0)  &gt; -1, FALSE)</f>
        <v>0</v>
      </c>
      <c r="K18" s="168" t="b">
        <f>COUNTIFS(ITEquipmentTable[Serial], ITEquipmentTable[[#This Row],[Serial]], ITEquipmentTable[Serial], "&lt;&gt;N/A") &gt; 1</f>
        <v>0</v>
      </c>
      <c r="L18" s="168" t="b">
        <f>COUNTIFS(ITEquipmentTable[Name], ITEquipmentTable[[#This Row],[Name]], ITEquipmentTable[Name], "&lt;&gt;&lt;Unassigned&gt;",  ITEquipmentTable[Name], "&lt;&gt;N/A") &gt; 1</f>
        <v>0</v>
      </c>
      <c r="M18" s="168" t="b">
        <f>AND(COUNTIFS(ITEquipmentTable[IPv4 Address], ITEquipmentTable[[#This Row],[IPv4 Address]]) &gt; 1, ITEquipmentTable[[#This Row],[IPv4 Address]] &lt;&gt; "DHCP",  ITEquipmentTable[[#This Row],[IPv4 Address]] &lt;&gt; "N/A")</f>
        <v>0</v>
      </c>
    </row>
    <row r="19" spans="1:13" x14ac:dyDescent="0.2">
      <c r="A19" s="168">
        <f>IF(LEN(ITSecondTable[[#This Row],[Tag]]) &gt; 0, _xlfn.XLOOKUP(ITSecondTable[[#This Row],[Tag]],StorageTable[Tag], StorageTable[In Storage - Count Total], "Err", 0, 1), 0)</f>
        <v>0</v>
      </c>
      <c r="B19" s="1">
        <f>_xlfn.LET(_xlpm.loc, ITEquipmentTable[Storage Location],
COUNTIFS(ITSecondTable[Tag], ITSecondTable[[#This Row],[Tag]], _xlpm.loc, "&lt;&gt;In Use", _xlpm.loc, "&lt;&gt;",  _xlpm.loc, "&lt;&gt;E-Waste", _xlpm.loc, "&lt;&gt;Virtual",  _xlpm.loc, "&lt;&gt;Assigned to Employee", _xlpm.loc, "&lt;&gt;Decommisioned", _xlpm.loc, "&lt;&gt;Missing")
)</f>
        <v>1</v>
      </c>
      <c r="C19" s="1">
        <f>_xlfn.LET(_xlpm.loc, ITEquipmentTable[Storage Location],
COUNTIFS(ITSecondTable[Tag], ITSecondTable[[#This Row],[Tag]], _xlpm.loc, "&lt;&gt;E-Waste", _xlpm.loc, "&lt;&gt;Virtual", _xlpm.loc, "&lt;&gt;Decommisioned")
)</f>
        <v>3</v>
      </c>
      <c r="D19" s="168">
        <f>_xlfn.LET(_xlpm.loc, ITEquipmentTable[Storage Location],
COUNTIFS(ITSecondTable[Tag], ITSecondTable[[#This Row],[Tag]], _xlpm.loc, "Missing")
)</f>
        <v>0</v>
      </c>
      <c r="E19" s="168">
        <f>_xlfn.LET(_xlpm.loc, ITEquipmentTable[Storage Location],
COUNTIFS(ITSecondTable[Tag], ITSecondTable[[#This Row],[Tag]], _xlpm.loc, "In Use") + COUNTIFS(ITSecondTable[Tag], ITSecondTable[[#This Row],[Tag]], _xlpm.loc, "Assigned to Employee")
)</f>
        <v>0</v>
      </c>
      <c r="F19" s="168">
        <f>_xlfn.LET(_xlpm.loc, ITEquipmentTable[Storage Location],
COUNTIFS(ITSecondTable[Tag], ITSecondTable[[#This Row],[Tag]], _xlpm.loc, "")
)</f>
        <v>2</v>
      </c>
      <c r="G19" s="168">
        <f>MAX(ITSecondTable[[#This Row],[SQty]] - ITSecondTable[[#This Row],[IQty]], 0)</f>
        <v>1</v>
      </c>
      <c r="H19" s="168">
        <f>MAX(ITSecondTable[[#This Row],[IQty]]-ITSecondTable[[#This Row],[SQty]], 0)</f>
        <v>0</v>
      </c>
      <c r="I19" s="151" t="str">
        <f>IFERROR(_xlfn.TEXTJOIN("~", TRUE, ITEquipmentTable[[#This Row],[Type]],ITEquipmentTable[[#This Row],[Brand]],ITEquipmentTable[[#This Row],[Model]]), "")</f>
        <v>Laptop~HP~HP ZBook 15 G3</v>
      </c>
      <c r="J19" s="151" t="b">
        <f xml:space="preserve"> _xlfn.IFNA(MATCH( ITSecondTable[[#This Row],[Tag]], StorageTable[Tag], 0)  &gt; -1, FALSE)</f>
        <v>0</v>
      </c>
      <c r="K19" s="168" t="b">
        <f>COUNTIFS(ITEquipmentTable[Serial], ITEquipmentTable[[#This Row],[Serial]], ITEquipmentTable[Serial], "&lt;&gt;N/A") &gt; 1</f>
        <v>0</v>
      </c>
      <c r="L19" s="168" t="b">
        <f>COUNTIFS(ITEquipmentTable[Name], ITEquipmentTable[[#This Row],[Name]], ITEquipmentTable[Name], "&lt;&gt;&lt;Unassigned&gt;",  ITEquipmentTable[Name], "&lt;&gt;N/A") &gt; 1</f>
        <v>0</v>
      </c>
      <c r="M19" s="168" t="b">
        <f>AND(COUNTIFS(ITEquipmentTable[IPv4 Address], ITEquipmentTable[[#This Row],[IPv4 Address]]) &gt; 1, ITEquipmentTable[[#This Row],[IPv4 Address]] &lt;&gt; "DHCP",  ITEquipmentTable[[#This Row],[IPv4 Address]] &lt;&gt; "N/A")</f>
        <v>0</v>
      </c>
    </row>
    <row r="20" spans="1:13" x14ac:dyDescent="0.2">
      <c r="A20" s="168">
        <f>IF(LEN(ITSecondTable[[#This Row],[Tag]]) &gt; 0, _xlfn.XLOOKUP(ITSecondTable[[#This Row],[Tag]],StorageTable[Tag], StorageTable[In Storage - Count Total], "Err", 0, 1), 0)</f>
        <v>0</v>
      </c>
      <c r="B20" s="1">
        <f>_xlfn.LET(_xlpm.loc, ITEquipmentTable[Storage Location],
COUNTIFS(ITSecondTable[Tag], ITSecondTable[[#This Row],[Tag]], _xlpm.loc, "&lt;&gt;In Use", _xlpm.loc, "&lt;&gt;",  _xlpm.loc, "&lt;&gt;E-Waste", _xlpm.loc, "&lt;&gt;Virtual",  _xlpm.loc, "&lt;&gt;Assigned to Employee", _xlpm.loc, "&lt;&gt;Decommisioned", _xlpm.loc, "&lt;&gt;Missing")
)</f>
        <v>0</v>
      </c>
      <c r="C20" s="1">
        <f>_xlfn.LET(_xlpm.loc, ITEquipmentTable[Storage Location],
COUNTIFS(ITSecondTable[Tag], ITSecondTable[[#This Row],[Tag]], _xlpm.loc, "&lt;&gt;E-Waste", _xlpm.loc, "&lt;&gt;Virtual", _xlpm.loc, "&lt;&gt;Decommisioned")
)</f>
        <v>4</v>
      </c>
      <c r="D20" s="168">
        <f>_xlfn.LET(_xlpm.loc, ITEquipmentTable[Storage Location],
COUNTIFS(ITSecondTable[Tag], ITSecondTable[[#This Row],[Tag]], _xlpm.loc, "Missing")
)</f>
        <v>0</v>
      </c>
      <c r="E20" s="168">
        <f>_xlfn.LET(_xlpm.loc, ITEquipmentTable[Storage Location],
COUNTIFS(ITSecondTable[Tag], ITSecondTable[[#This Row],[Tag]], _xlpm.loc, "In Use") + COUNTIFS(ITSecondTable[Tag], ITSecondTable[[#This Row],[Tag]], _xlpm.loc, "Assigned to Employee")
)</f>
        <v>1</v>
      </c>
      <c r="F20" s="168">
        <f>_xlfn.LET(_xlpm.loc, ITEquipmentTable[Storage Location],
COUNTIFS(ITSecondTable[Tag], ITSecondTable[[#This Row],[Tag]], _xlpm.loc, "")
)</f>
        <v>3</v>
      </c>
      <c r="G20" s="168">
        <f>MAX(ITSecondTable[[#This Row],[SQty]] - ITSecondTable[[#This Row],[IQty]], 0)</f>
        <v>0</v>
      </c>
      <c r="H20" s="168">
        <f>MAX(ITSecondTable[[#This Row],[IQty]]-ITSecondTable[[#This Row],[SQty]], 0)</f>
        <v>0</v>
      </c>
      <c r="I20" s="151" t="str">
        <f>IFERROR(_xlfn.TEXTJOIN("~", TRUE, ITEquipmentTable[[#This Row],[Type]],ITEquipmentTable[[#This Row],[Brand]],ITEquipmentTable[[#This Row],[Model]]), "")</f>
        <v>Laptop~HP~HP EliteBook 850 G5</v>
      </c>
      <c r="J20" s="151" t="b">
        <f xml:space="preserve"> _xlfn.IFNA(MATCH( ITSecondTable[[#This Row],[Tag]], StorageTable[Tag], 0)  &gt; -1, FALSE)</f>
        <v>0</v>
      </c>
      <c r="K20" s="168" t="b">
        <f>COUNTIFS(ITEquipmentTable[Serial], ITEquipmentTable[[#This Row],[Serial]], ITEquipmentTable[Serial], "&lt;&gt;N/A") &gt; 1</f>
        <v>0</v>
      </c>
      <c r="L20" s="168" t="b">
        <f>COUNTIFS(ITEquipmentTable[Name], ITEquipmentTable[[#This Row],[Name]], ITEquipmentTable[Name], "&lt;&gt;&lt;Unassigned&gt;",  ITEquipmentTable[Name], "&lt;&gt;N/A") &gt; 1</f>
        <v>0</v>
      </c>
      <c r="M20" s="168" t="b">
        <f>AND(COUNTIFS(ITEquipmentTable[IPv4 Address], ITEquipmentTable[[#This Row],[IPv4 Address]]) &gt; 1, ITEquipmentTable[[#This Row],[IPv4 Address]] &lt;&gt; "DHCP",  ITEquipmentTable[[#This Row],[IPv4 Address]] &lt;&gt; "N/A")</f>
        <v>0</v>
      </c>
    </row>
    <row r="21" spans="1:13" x14ac:dyDescent="0.2">
      <c r="A21" s="168">
        <f>IF(LEN(ITSecondTable[[#This Row],[Tag]]) &gt; 0, _xlfn.XLOOKUP(ITSecondTable[[#This Row],[Tag]],StorageTable[Tag], StorageTable[In Storage - Count Total], "Err", 0, 1), 0)</f>
        <v>0</v>
      </c>
      <c r="B21" s="1">
        <f>_xlfn.LET(_xlpm.loc, ITEquipmentTable[Storage Location],
COUNTIFS(ITSecondTable[Tag], ITSecondTable[[#This Row],[Tag]], _xlpm.loc, "&lt;&gt;In Use", _xlpm.loc, "&lt;&gt;",  _xlpm.loc, "&lt;&gt;E-Waste", _xlpm.loc, "&lt;&gt;Virtual",  _xlpm.loc, "&lt;&gt;Assigned to Employee", _xlpm.loc, "&lt;&gt;Decommisioned", _xlpm.loc, "&lt;&gt;Missing")
)</f>
        <v>0</v>
      </c>
      <c r="C21" s="1">
        <f>_xlfn.LET(_xlpm.loc, ITEquipmentTable[Storage Location],
COUNTIFS(ITSecondTable[Tag], ITSecondTable[[#This Row],[Tag]], _xlpm.loc, "&lt;&gt;E-Waste", _xlpm.loc, "&lt;&gt;Virtual", _xlpm.loc, "&lt;&gt;Decommisioned")
)</f>
        <v>78</v>
      </c>
      <c r="D21" s="168">
        <f>_xlfn.LET(_xlpm.loc, ITEquipmentTable[Storage Location],
COUNTIFS(ITSecondTable[Tag], ITSecondTable[[#This Row],[Tag]], _xlpm.loc, "Missing")
)</f>
        <v>0</v>
      </c>
      <c r="E21" s="168">
        <f>_xlfn.LET(_xlpm.loc, ITEquipmentTable[Storage Location],
COUNTIFS(ITSecondTable[Tag], ITSecondTable[[#This Row],[Tag]], _xlpm.loc, "In Use") + COUNTIFS(ITSecondTable[Tag], ITSecondTable[[#This Row],[Tag]], _xlpm.loc, "Assigned to Employee")
)</f>
        <v>44</v>
      </c>
      <c r="F21" s="168">
        <f>_xlfn.LET(_xlpm.loc, ITEquipmentTable[Storage Location],
COUNTIFS(ITSecondTable[Tag], ITSecondTable[[#This Row],[Tag]], _xlpm.loc, "")
)</f>
        <v>34</v>
      </c>
      <c r="G21" s="168">
        <f>MAX(ITSecondTable[[#This Row],[SQty]] - ITSecondTable[[#This Row],[IQty]], 0)</f>
        <v>0</v>
      </c>
      <c r="H21" s="168">
        <f>MAX(ITSecondTable[[#This Row],[IQty]]-ITSecondTable[[#This Row],[SQty]], 0)</f>
        <v>0</v>
      </c>
      <c r="I21" s="151" t="str">
        <f>IFERROR(_xlfn.TEXTJOIN("~", TRUE, ITEquipmentTable[[#This Row],[Type]],ITEquipmentTable[[#This Row],[Brand]],ITEquipmentTable[[#This Row],[Model]]), "")</f>
        <v>Laptop~HP</v>
      </c>
      <c r="J21" s="151" t="b">
        <f xml:space="preserve"> _xlfn.IFNA(MATCH( ITSecondTable[[#This Row],[Tag]], StorageTable[Tag], 0)  &gt; -1, FALSE)</f>
        <v>0</v>
      </c>
      <c r="K21" s="168" t="b">
        <f>COUNTIFS(ITEquipmentTable[Serial], ITEquipmentTable[[#This Row],[Serial]], ITEquipmentTable[Serial], "&lt;&gt;N/A") &gt; 1</f>
        <v>0</v>
      </c>
      <c r="L21" s="168" t="b">
        <f>COUNTIFS(ITEquipmentTable[Name], ITEquipmentTable[[#This Row],[Name]], ITEquipmentTable[Name], "&lt;&gt;&lt;Unassigned&gt;",  ITEquipmentTable[Name], "&lt;&gt;N/A") &gt; 1</f>
        <v>0</v>
      </c>
      <c r="M21" s="168" t="b">
        <f>AND(COUNTIFS(ITEquipmentTable[IPv4 Address], ITEquipmentTable[[#This Row],[IPv4 Address]]) &gt; 1, ITEquipmentTable[[#This Row],[IPv4 Address]] &lt;&gt; "DHCP",  ITEquipmentTable[[#This Row],[IPv4 Address]] &lt;&gt; "N/A")</f>
        <v>0</v>
      </c>
    </row>
    <row r="22" spans="1:13" x14ac:dyDescent="0.2">
      <c r="A22" s="168">
        <f>IF(LEN(ITSecondTable[[#This Row],[Tag]]) &gt; 0, _xlfn.XLOOKUP(ITSecondTable[[#This Row],[Tag]],StorageTable[Tag], StorageTable[In Storage - Count Total], "Err", 0, 1), 0)</f>
        <v>0</v>
      </c>
      <c r="B22" s="1">
        <f>_xlfn.LET(_xlpm.loc, ITEquipmentTable[Storage Location],
COUNTIFS(ITSecondTable[Tag], ITSecondTable[[#This Row],[Tag]], _xlpm.loc, "&lt;&gt;In Use", _xlpm.loc, "&lt;&gt;",  _xlpm.loc, "&lt;&gt;E-Waste", _xlpm.loc, "&lt;&gt;Virtual",  _xlpm.loc, "&lt;&gt;Assigned to Employee", _xlpm.loc, "&lt;&gt;Decommisioned", _xlpm.loc, "&lt;&gt;Missing")
)</f>
        <v>2</v>
      </c>
      <c r="C22" s="1">
        <f>_xlfn.LET(_xlpm.loc, ITEquipmentTable[Storage Location],
COUNTIFS(ITSecondTable[Tag], ITSecondTable[[#This Row],[Tag]], _xlpm.loc, "&lt;&gt;E-Waste", _xlpm.loc, "&lt;&gt;Virtual", _xlpm.loc, "&lt;&gt;Decommisioned")
)</f>
        <v>13</v>
      </c>
      <c r="D22" s="168">
        <f>_xlfn.LET(_xlpm.loc, ITEquipmentTable[Storage Location],
COUNTIFS(ITSecondTable[Tag], ITSecondTable[[#This Row],[Tag]], _xlpm.loc, "Missing")
)</f>
        <v>0</v>
      </c>
      <c r="E22" s="168">
        <f>_xlfn.LET(_xlpm.loc, ITEquipmentTable[Storage Location],
COUNTIFS(ITSecondTable[Tag], ITSecondTable[[#This Row],[Tag]], _xlpm.loc, "In Use") + COUNTIFS(ITSecondTable[Tag], ITSecondTable[[#This Row],[Tag]], _xlpm.loc, "Assigned to Employee")
)</f>
        <v>1</v>
      </c>
      <c r="F22" s="168">
        <f>_xlfn.LET(_xlpm.loc, ITEquipmentTable[Storage Location],
COUNTIFS(ITSecondTable[Tag], ITSecondTable[[#This Row],[Tag]], _xlpm.loc, "")
)</f>
        <v>10</v>
      </c>
      <c r="G22" s="168">
        <f>MAX(ITSecondTable[[#This Row],[SQty]] - ITSecondTable[[#This Row],[IQty]], 0)</f>
        <v>2</v>
      </c>
      <c r="H22" s="168">
        <f>MAX(ITSecondTable[[#This Row],[IQty]]-ITSecondTable[[#This Row],[SQty]], 0)</f>
        <v>0</v>
      </c>
      <c r="I22" s="151" t="str">
        <f>IFERROR(_xlfn.TEXTJOIN("~", TRUE, ITEquipmentTable[[#This Row],[Type]],ITEquipmentTable[[#This Row],[Brand]],ITEquipmentTable[[#This Row],[Model]]), "")</f>
        <v>Laptop~HP~HP ProBook 650 G1</v>
      </c>
      <c r="J22" s="151" t="b">
        <f xml:space="preserve"> _xlfn.IFNA(MATCH( ITSecondTable[[#This Row],[Tag]], StorageTable[Tag], 0)  &gt; -1, FALSE)</f>
        <v>0</v>
      </c>
      <c r="K22" s="168" t="b">
        <f>COUNTIFS(ITEquipmentTable[Serial], ITEquipmentTable[[#This Row],[Serial]], ITEquipmentTable[Serial], "&lt;&gt;N/A") &gt; 1</f>
        <v>0</v>
      </c>
      <c r="L22" s="168" t="b">
        <f>COUNTIFS(ITEquipmentTable[Name], ITEquipmentTable[[#This Row],[Name]], ITEquipmentTable[Name], "&lt;&gt;&lt;Unassigned&gt;",  ITEquipmentTable[Name], "&lt;&gt;N/A") &gt; 1</f>
        <v>0</v>
      </c>
      <c r="M22" s="168" t="b">
        <f>AND(COUNTIFS(ITEquipmentTable[IPv4 Address], ITEquipmentTable[[#This Row],[IPv4 Address]]) &gt; 1, ITEquipmentTable[[#This Row],[IPv4 Address]] &lt;&gt; "DHCP",  ITEquipmentTable[[#This Row],[IPv4 Address]] &lt;&gt; "N/A")</f>
        <v>0</v>
      </c>
    </row>
    <row r="23" spans="1:13" x14ac:dyDescent="0.2">
      <c r="A23" s="168">
        <f>IF(LEN(ITSecondTable[[#This Row],[Tag]]) &gt; 0, _xlfn.XLOOKUP(ITSecondTable[[#This Row],[Tag]],StorageTable[Tag], StorageTable[In Storage - Count Total], "Err", 0, 1), 0)</f>
        <v>0</v>
      </c>
      <c r="B23" s="1">
        <f>_xlfn.LET(_xlpm.loc, ITEquipmentTable[Storage Location],
COUNTIFS(ITSecondTable[Tag], ITSecondTable[[#This Row],[Tag]], _xlpm.loc, "&lt;&gt;In Use", _xlpm.loc, "&lt;&gt;",  _xlpm.loc, "&lt;&gt;E-Waste", _xlpm.loc, "&lt;&gt;Virtual",  _xlpm.loc, "&lt;&gt;Assigned to Employee", _xlpm.loc, "&lt;&gt;Decommisioned", _xlpm.loc, "&lt;&gt;Missing")
)</f>
        <v>0</v>
      </c>
      <c r="C23" s="1">
        <f>_xlfn.LET(_xlpm.loc, ITEquipmentTable[Storage Location],
COUNTIFS(ITSecondTable[Tag], ITSecondTable[[#This Row],[Tag]], _xlpm.loc, "&lt;&gt;E-Waste", _xlpm.loc, "&lt;&gt;Virtual", _xlpm.loc, "&lt;&gt;Decommisioned")
)</f>
        <v>10</v>
      </c>
      <c r="D23" s="168">
        <f>_xlfn.LET(_xlpm.loc, ITEquipmentTable[Storage Location],
COUNTIFS(ITSecondTable[Tag], ITSecondTable[[#This Row],[Tag]], _xlpm.loc, "Missing")
)</f>
        <v>0</v>
      </c>
      <c r="E23" s="168">
        <f>_xlfn.LET(_xlpm.loc, ITEquipmentTable[Storage Location],
COUNTIFS(ITSecondTable[Tag], ITSecondTable[[#This Row],[Tag]], _xlpm.loc, "In Use") + COUNTIFS(ITSecondTable[Tag], ITSecondTable[[#This Row],[Tag]], _xlpm.loc, "Assigned to Employee")
)</f>
        <v>5</v>
      </c>
      <c r="F23" s="168">
        <f>_xlfn.LET(_xlpm.loc, ITEquipmentTable[Storage Location],
COUNTIFS(ITSecondTable[Tag], ITSecondTable[[#This Row],[Tag]], _xlpm.loc, "")
)</f>
        <v>5</v>
      </c>
      <c r="G23" s="168">
        <f>MAX(ITSecondTable[[#This Row],[SQty]] - ITSecondTable[[#This Row],[IQty]], 0)</f>
        <v>0</v>
      </c>
      <c r="H23" s="168">
        <f>MAX(ITSecondTable[[#This Row],[IQty]]-ITSecondTable[[#This Row],[SQty]], 0)</f>
        <v>0</v>
      </c>
      <c r="I23" s="151" t="str">
        <f>IFERROR(_xlfn.TEXTJOIN("~", TRUE, ITEquipmentTable[[#This Row],[Type]],ITEquipmentTable[[#This Row],[Brand]],ITEquipmentTable[[#This Row],[Model]]), "")</f>
        <v>Laptop~HP~HP ProBook 640 G4</v>
      </c>
      <c r="J23" s="151" t="b">
        <f xml:space="preserve"> _xlfn.IFNA(MATCH( ITSecondTable[[#This Row],[Tag]], StorageTable[Tag], 0)  &gt; -1, FALSE)</f>
        <v>0</v>
      </c>
      <c r="K23" s="168" t="b">
        <f>COUNTIFS(ITEquipmentTable[Serial], ITEquipmentTable[[#This Row],[Serial]], ITEquipmentTable[Serial], "&lt;&gt;N/A") &gt; 1</f>
        <v>0</v>
      </c>
      <c r="L23" s="168" t="b">
        <f>COUNTIFS(ITEquipmentTable[Name], ITEquipmentTable[[#This Row],[Name]], ITEquipmentTable[Name], "&lt;&gt;&lt;Unassigned&gt;",  ITEquipmentTable[Name], "&lt;&gt;N/A") &gt; 1</f>
        <v>0</v>
      </c>
      <c r="M23" s="168" t="b">
        <f>AND(COUNTIFS(ITEquipmentTable[IPv4 Address], ITEquipmentTable[[#This Row],[IPv4 Address]]) &gt; 1, ITEquipmentTable[[#This Row],[IPv4 Address]] &lt;&gt; "DHCP",  ITEquipmentTable[[#This Row],[IPv4 Address]] &lt;&gt; "N/A")</f>
        <v>0</v>
      </c>
    </row>
    <row r="24" spans="1:13" x14ac:dyDescent="0.2">
      <c r="A24" s="168">
        <f>IF(LEN(ITSecondTable[[#This Row],[Tag]]) &gt; 0, _xlfn.XLOOKUP(ITSecondTable[[#This Row],[Tag]],StorageTable[Tag], StorageTable[In Storage - Count Total], "Err", 0, 1), 0)</f>
        <v>0</v>
      </c>
      <c r="B24" s="1">
        <f>_xlfn.LET(_xlpm.loc, ITEquipmentTable[Storage Location],
COUNTIFS(ITSecondTable[Tag], ITSecondTable[[#This Row],[Tag]], _xlpm.loc, "&lt;&gt;In Use", _xlpm.loc, "&lt;&gt;",  _xlpm.loc, "&lt;&gt;E-Waste", _xlpm.loc, "&lt;&gt;Virtual",  _xlpm.loc, "&lt;&gt;Assigned to Employee", _xlpm.loc, "&lt;&gt;Decommisioned", _xlpm.loc, "&lt;&gt;Missing")
)</f>
        <v>2</v>
      </c>
      <c r="C24" s="1">
        <f>_xlfn.LET(_xlpm.loc, ITEquipmentTable[Storage Location],
COUNTIFS(ITSecondTable[Tag], ITSecondTable[[#This Row],[Tag]], _xlpm.loc, "&lt;&gt;E-Waste", _xlpm.loc, "&lt;&gt;Virtual", _xlpm.loc, "&lt;&gt;Decommisioned")
)</f>
        <v>13</v>
      </c>
      <c r="D24" s="168">
        <f>_xlfn.LET(_xlpm.loc, ITEquipmentTable[Storage Location],
COUNTIFS(ITSecondTable[Tag], ITSecondTable[[#This Row],[Tag]], _xlpm.loc, "Missing")
)</f>
        <v>0</v>
      </c>
      <c r="E24" s="168">
        <f>_xlfn.LET(_xlpm.loc, ITEquipmentTable[Storage Location],
COUNTIFS(ITSecondTable[Tag], ITSecondTable[[#This Row],[Tag]], _xlpm.loc, "In Use") + COUNTIFS(ITSecondTable[Tag], ITSecondTable[[#This Row],[Tag]], _xlpm.loc, "Assigned to Employee")
)</f>
        <v>1</v>
      </c>
      <c r="F24" s="168">
        <f>_xlfn.LET(_xlpm.loc, ITEquipmentTable[Storage Location],
COUNTIFS(ITSecondTable[Tag], ITSecondTable[[#This Row],[Tag]], _xlpm.loc, "")
)</f>
        <v>10</v>
      </c>
      <c r="G24" s="168">
        <f>MAX(ITSecondTable[[#This Row],[SQty]] - ITSecondTable[[#This Row],[IQty]], 0)</f>
        <v>2</v>
      </c>
      <c r="H24" s="168">
        <f>MAX(ITSecondTable[[#This Row],[IQty]]-ITSecondTable[[#This Row],[SQty]], 0)</f>
        <v>0</v>
      </c>
      <c r="I24" s="151" t="str">
        <f>IFERROR(_xlfn.TEXTJOIN("~", TRUE, ITEquipmentTable[[#This Row],[Type]],ITEquipmentTable[[#This Row],[Brand]],ITEquipmentTable[[#This Row],[Model]]), "")</f>
        <v>Laptop~HP~HP ProBook 650 G1</v>
      </c>
      <c r="J24" s="151" t="b">
        <f xml:space="preserve"> _xlfn.IFNA(MATCH( ITSecondTable[[#This Row],[Tag]], StorageTable[Tag], 0)  &gt; -1, FALSE)</f>
        <v>0</v>
      </c>
      <c r="K24" s="168" t="b">
        <f>COUNTIFS(ITEquipmentTable[Serial], ITEquipmentTable[[#This Row],[Serial]], ITEquipmentTable[Serial], "&lt;&gt;N/A") &gt; 1</f>
        <v>0</v>
      </c>
      <c r="L24" s="168" t="b">
        <f>COUNTIFS(ITEquipmentTable[Name], ITEquipmentTable[[#This Row],[Name]], ITEquipmentTable[Name], "&lt;&gt;&lt;Unassigned&gt;",  ITEquipmentTable[Name], "&lt;&gt;N/A") &gt; 1</f>
        <v>0</v>
      </c>
      <c r="M24" s="168" t="b">
        <f>AND(COUNTIFS(ITEquipmentTable[IPv4 Address], ITEquipmentTable[[#This Row],[IPv4 Address]]) &gt; 1, ITEquipmentTable[[#This Row],[IPv4 Address]] &lt;&gt; "DHCP",  ITEquipmentTable[[#This Row],[IPv4 Address]] &lt;&gt; "N/A")</f>
        <v>0</v>
      </c>
    </row>
    <row r="25" spans="1:13" x14ac:dyDescent="0.2">
      <c r="A25" s="168">
        <f>IF(LEN(ITSecondTable[[#This Row],[Tag]]) &gt; 0, _xlfn.XLOOKUP(ITSecondTable[[#This Row],[Tag]],StorageTable[Tag], StorageTable[In Storage - Count Total], "Err", 0, 1), 0)</f>
        <v>0</v>
      </c>
      <c r="B25" s="1">
        <f>_xlfn.LET(_xlpm.loc, ITEquipmentTable[Storage Location],
COUNTIFS(ITSecondTable[Tag], ITSecondTable[[#This Row],[Tag]], _xlpm.loc, "&lt;&gt;In Use", _xlpm.loc, "&lt;&gt;",  _xlpm.loc, "&lt;&gt;E-Waste", _xlpm.loc, "&lt;&gt;Virtual",  _xlpm.loc, "&lt;&gt;Assigned to Employee", _xlpm.loc, "&lt;&gt;Decommisioned", _xlpm.loc, "&lt;&gt;Missing")
)</f>
        <v>0</v>
      </c>
      <c r="C25" s="1">
        <f>_xlfn.LET(_xlpm.loc, ITEquipmentTable[Storage Location],
COUNTIFS(ITSecondTable[Tag], ITSecondTable[[#This Row],[Tag]], _xlpm.loc, "&lt;&gt;E-Waste", _xlpm.loc, "&lt;&gt;Virtual", _xlpm.loc, "&lt;&gt;Decommisioned")
)</f>
        <v>12</v>
      </c>
      <c r="D25" s="168">
        <f>_xlfn.LET(_xlpm.loc, ITEquipmentTable[Storage Location],
COUNTIFS(ITSecondTable[Tag], ITSecondTable[[#This Row],[Tag]], _xlpm.loc, "Missing")
)</f>
        <v>0</v>
      </c>
      <c r="E25" s="168">
        <f>_xlfn.LET(_xlpm.loc, ITEquipmentTable[Storage Location],
COUNTIFS(ITSecondTable[Tag], ITSecondTable[[#This Row],[Tag]], _xlpm.loc, "In Use") + COUNTIFS(ITSecondTable[Tag], ITSecondTable[[#This Row],[Tag]], _xlpm.loc, "Assigned to Employee")
)</f>
        <v>8</v>
      </c>
      <c r="F25" s="168">
        <f>_xlfn.LET(_xlpm.loc, ITEquipmentTable[Storage Location],
COUNTIFS(ITSecondTable[Tag], ITSecondTable[[#This Row],[Tag]], _xlpm.loc, "")
)</f>
        <v>4</v>
      </c>
      <c r="G25" s="168">
        <f>MAX(ITSecondTable[[#This Row],[SQty]] - ITSecondTable[[#This Row],[IQty]], 0)</f>
        <v>0</v>
      </c>
      <c r="H25" s="168">
        <f>MAX(ITSecondTable[[#This Row],[IQty]]-ITSecondTable[[#This Row],[SQty]], 0)</f>
        <v>0</v>
      </c>
      <c r="I25" s="151" t="str">
        <f>IFERROR(_xlfn.TEXTJOIN("~", TRUE, ITEquipmentTable[[#This Row],[Type]],ITEquipmentTable[[#This Row],[Brand]],ITEquipmentTable[[#This Row],[Model]]), "")</f>
        <v>Tablet~Microsoft~Surface Pro</v>
      </c>
      <c r="J25" s="151" t="b">
        <f xml:space="preserve"> _xlfn.IFNA(MATCH( ITSecondTable[[#This Row],[Tag]], StorageTable[Tag], 0)  &gt; -1, FALSE)</f>
        <v>0</v>
      </c>
      <c r="K25" s="168" t="b">
        <f>COUNTIFS(ITEquipmentTable[Serial], ITEquipmentTable[[#This Row],[Serial]], ITEquipmentTable[Serial], "&lt;&gt;N/A") &gt; 1</f>
        <v>0</v>
      </c>
      <c r="L25" s="168" t="b">
        <f>COUNTIFS(ITEquipmentTable[Name], ITEquipmentTable[[#This Row],[Name]], ITEquipmentTable[Name], "&lt;&gt;&lt;Unassigned&gt;",  ITEquipmentTable[Name], "&lt;&gt;N/A") &gt; 1</f>
        <v>0</v>
      </c>
      <c r="M25" s="168" t="b">
        <f>AND(COUNTIFS(ITEquipmentTable[IPv4 Address], ITEquipmentTable[[#This Row],[IPv4 Address]]) &gt; 1, ITEquipmentTable[[#This Row],[IPv4 Address]] &lt;&gt; "DHCP",  ITEquipmentTable[[#This Row],[IPv4 Address]] &lt;&gt; "N/A")</f>
        <v>0</v>
      </c>
    </row>
    <row r="26" spans="1:13" x14ac:dyDescent="0.2">
      <c r="A26" s="168">
        <f>IF(LEN(ITSecondTable[[#This Row],[Tag]]) &gt; 0, _xlfn.XLOOKUP(ITSecondTable[[#This Row],[Tag]],StorageTable[Tag], StorageTable[In Storage - Count Total], "Err", 0, 1), 0)</f>
        <v>0</v>
      </c>
      <c r="B26" s="1">
        <f>_xlfn.LET(_xlpm.loc, ITEquipmentTable[Storage Location],
COUNTIFS(ITSecondTable[Tag], ITSecondTable[[#This Row],[Tag]], _xlpm.loc, "&lt;&gt;In Use", _xlpm.loc, "&lt;&gt;",  _xlpm.loc, "&lt;&gt;E-Waste", _xlpm.loc, "&lt;&gt;Virtual",  _xlpm.loc, "&lt;&gt;Assigned to Employee", _xlpm.loc, "&lt;&gt;Decommisioned", _xlpm.loc, "&lt;&gt;Missing")
)</f>
        <v>0</v>
      </c>
      <c r="C26" s="1">
        <f>_xlfn.LET(_xlpm.loc, ITEquipmentTable[Storage Location],
COUNTIFS(ITSecondTable[Tag], ITSecondTable[[#This Row],[Tag]], _xlpm.loc, "&lt;&gt;E-Waste", _xlpm.loc, "&lt;&gt;Virtual", _xlpm.loc, "&lt;&gt;Decommisioned")
)</f>
        <v>12</v>
      </c>
      <c r="D26" s="168">
        <f>_xlfn.LET(_xlpm.loc, ITEquipmentTable[Storage Location],
COUNTIFS(ITSecondTable[Tag], ITSecondTable[[#This Row],[Tag]], _xlpm.loc, "Missing")
)</f>
        <v>0</v>
      </c>
      <c r="E26" s="168">
        <f>_xlfn.LET(_xlpm.loc, ITEquipmentTable[Storage Location],
COUNTIFS(ITSecondTable[Tag], ITSecondTable[[#This Row],[Tag]], _xlpm.loc, "In Use") + COUNTIFS(ITSecondTable[Tag], ITSecondTable[[#This Row],[Tag]], _xlpm.loc, "Assigned to Employee")
)</f>
        <v>8</v>
      </c>
      <c r="F26" s="168">
        <f>_xlfn.LET(_xlpm.loc, ITEquipmentTable[Storage Location],
COUNTIFS(ITSecondTable[Tag], ITSecondTable[[#This Row],[Tag]], _xlpm.loc, "")
)</f>
        <v>4</v>
      </c>
      <c r="G26" s="168">
        <f>MAX(ITSecondTable[[#This Row],[SQty]] - ITSecondTable[[#This Row],[IQty]], 0)</f>
        <v>0</v>
      </c>
      <c r="H26" s="168">
        <f>MAX(ITSecondTable[[#This Row],[IQty]]-ITSecondTable[[#This Row],[SQty]], 0)</f>
        <v>0</v>
      </c>
      <c r="I26" s="151" t="str">
        <f>IFERROR(_xlfn.TEXTJOIN("~", TRUE, ITEquipmentTable[[#This Row],[Type]],ITEquipmentTable[[#This Row],[Brand]],ITEquipmentTable[[#This Row],[Model]]), "")</f>
        <v>Tablet~Microsoft~Surface Pro</v>
      </c>
      <c r="J26" s="151" t="b">
        <f xml:space="preserve"> _xlfn.IFNA(MATCH( ITSecondTable[[#This Row],[Tag]], StorageTable[Tag], 0)  &gt; -1, FALSE)</f>
        <v>0</v>
      </c>
      <c r="K26" s="168" t="b">
        <f>COUNTIFS(ITEquipmentTable[Serial], ITEquipmentTable[[#This Row],[Serial]], ITEquipmentTable[Serial], "&lt;&gt;N/A") &gt; 1</f>
        <v>0</v>
      </c>
      <c r="L26" s="168" t="b">
        <f>COUNTIFS(ITEquipmentTable[Name], ITEquipmentTable[[#This Row],[Name]], ITEquipmentTable[Name], "&lt;&gt;&lt;Unassigned&gt;",  ITEquipmentTable[Name], "&lt;&gt;N/A") &gt; 1</f>
        <v>0</v>
      </c>
      <c r="M26" s="168" t="b">
        <f>AND(COUNTIFS(ITEquipmentTable[IPv4 Address], ITEquipmentTable[[#This Row],[IPv4 Address]]) &gt; 1, ITEquipmentTable[[#This Row],[IPv4 Address]] &lt;&gt; "DHCP",  ITEquipmentTable[[#This Row],[IPv4 Address]] &lt;&gt; "N/A")</f>
        <v>0</v>
      </c>
    </row>
    <row r="27" spans="1:13" x14ac:dyDescent="0.2">
      <c r="A27" s="168">
        <f>IF(LEN(ITSecondTable[[#This Row],[Tag]]) &gt; 0, _xlfn.XLOOKUP(ITSecondTable[[#This Row],[Tag]],StorageTable[Tag], StorageTable[In Storage - Count Total], "Err", 0, 1), 0)</f>
        <v>1</v>
      </c>
      <c r="B27" s="1">
        <f>_xlfn.LET(_xlpm.loc, ITEquipmentTable[Storage Location],
COUNTIFS(ITSecondTable[Tag], ITSecondTable[[#This Row],[Tag]], _xlpm.loc, "&lt;&gt;In Use", _xlpm.loc, "&lt;&gt;",  _xlpm.loc, "&lt;&gt;E-Waste", _xlpm.loc, "&lt;&gt;Virtual",  _xlpm.loc, "&lt;&gt;Assigned to Employee", _xlpm.loc, "&lt;&gt;Decommisioned", _xlpm.loc, "&lt;&gt;Missing")
)</f>
        <v>3</v>
      </c>
      <c r="C27" s="1">
        <f>_xlfn.LET(_xlpm.loc, ITEquipmentTable[Storage Location],
COUNTIFS(ITSecondTable[Tag], ITSecondTable[[#This Row],[Tag]], _xlpm.loc, "&lt;&gt;E-Waste", _xlpm.loc, "&lt;&gt;Virtual", _xlpm.loc, "&lt;&gt;Decommisioned")
)</f>
        <v>10</v>
      </c>
      <c r="D27" s="168">
        <f>_xlfn.LET(_xlpm.loc, ITEquipmentTable[Storage Location],
COUNTIFS(ITSecondTable[Tag], ITSecondTable[[#This Row],[Tag]], _xlpm.loc, "Missing")
)</f>
        <v>0</v>
      </c>
      <c r="E27" s="168">
        <f>_xlfn.LET(_xlpm.loc, ITEquipmentTable[Storage Location],
COUNTIFS(ITSecondTable[Tag], ITSecondTable[[#This Row],[Tag]], _xlpm.loc, "In Use") + COUNTIFS(ITSecondTable[Tag], ITSecondTable[[#This Row],[Tag]], _xlpm.loc, "Assigned to Employee")
)</f>
        <v>6</v>
      </c>
      <c r="F27" s="168">
        <f>_xlfn.LET(_xlpm.loc, ITEquipmentTable[Storage Location],
COUNTIFS(ITSecondTable[Tag], ITSecondTable[[#This Row],[Tag]], _xlpm.loc, "")
)</f>
        <v>1</v>
      </c>
      <c r="G27" s="168">
        <f>MAX(ITSecondTable[[#This Row],[SQty]] - ITSecondTable[[#This Row],[IQty]], 0)</f>
        <v>2</v>
      </c>
      <c r="H27" s="168">
        <f>MAX(ITSecondTable[[#This Row],[IQty]]-ITSecondTable[[#This Row],[SQty]], 0)</f>
        <v>0</v>
      </c>
      <c r="I27" s="151" t="str">
        <f>IFERROR(_xlfn.TEXTJOIN("~", TRUE, ITEquipmentTable[[#This Row],[Type]],ITEquipmentTable[[#This Row],[Brand]],ITEquipmentTable[[#This Row],[Model]]), "")</f>
        <v>Desktop~Dell~OptiPlex 3060</v>
      </c>
      <c r="J27" s="151" t="b">
        <f xml:space="preserve"> _xlfn.IFNA(MATCH( ITSecondTable[[#This Row],[Tag]], StorageTable[Tag], 0)  &gt; -1, FALSE)</f>
        <v>0</v>
      </c>
      <c r="K27" s="168" t="b">
        <f>COUNTIFS(ITEquipmentTable[Serial], ITEquipmentTable[[#This Row],[Serial]], ITEquipmentTable[Serial], "&lt;&gt;N/A") &gt; 1</f>
        <v>0</v>
      </c>
      <c r="L27" s="168" t="b">
        <f>COUNTIFS(ITEquipmentTable[Name], ITEquipmentTable[[#This Row],[Name]], ITEquipmentTable[Name], "&lt;&gt;&lt;Unassigned&gt;",  ITEquipmentTable[Name], "&lt;&gt;N/A") &gt; 1</f>
        <v>0</v>
      </c>
      <c r="M27" s="168" t="b">
        <f>AND(COUNTIFS(ITEquipmentTable[IPv4 Address], ITEquipmentTable[[#This Row],[IPv4 Address]]) &gt; 1, ITEquipmentTable[[#This Row],[IPv4 Address]] &lt;&gt; "DHCP",  ITEquipmentTable[[#This Row],[IPv4 Address]] &lt;&gt; "N/A")</f>
        <v>0</v>
      </c>
    </row>
    <row r="28" spans="1:13" x14ac:dyDescent="0.2">
      <c r="A28" s="168">
        <f>IF(LEN(ITSecondTable[[#This Row],[Tag]]) &gt; 0, _xlfn.XLOOKUP(ITSecondTable[[#This Row],[Tag]],StorageTable[Tag], StorageTable[In Storage - Count Total], "Err", 0, 1), 0)</f>
        <v>0</v>
      </c>
      <c r="B28" s="1">
        <f>_xlfn.LET(_xlpm.loc, ITEquipmentTable[Storage Location],
COUNTIFS(ITSecondTable[Tag], ITSecondTable[[#This Row],[Tag]], _xlpm.loc, "&lt;&gt;In Use", _xlpm.loc, "&lt;&gt;",  _xlpm.loc, "&lt;&gt;E-Waste", _xlpm.loc, "&lt;&gt;Virtual",  _xlpm.loc, "&lt;&gt;Assigned to Employee", _xlpm.loc, "&lt;&gt;Decommisioned", _xlpm.loc, "&lt;&gt;Missing")
)</f>
        <v>2</v>
      </c>
      <c r="C28" s="1">
        <f>_xlfn.LET(_xlpm.loc, ITEquipmentTable[Storage Location],
COUNTIFS(ITSecondTable[Tag], ITSecondTable[[#This Row],[Tag]], _xlpm.loc, "&lt;&gt;E-Waste", _xlpm.loc, "&lt;&gt;Virtual", _xlpm.loc, "&lt;&gt;Decommisioned")
)</f>
        <v>11</v>
      </c>
      <c r="D28" s="168">
        <f>_xlfn.LET(_xlpm.loc, ITEquipmentTable[Storage Location],
COUNTIFS(ITSecondTable[Tag], ITSecondTable[[#This Row],[Tag]], _xlpm.loc, "Missing")
)</f>
        <v>0</v>
      </c>
      <c r="E28" s="168">
        <f>_xlfn.LET(_xlpm.loc, ITEquipmentTable[Storage Location],
COUNTIFS(ITSecondTable[Tag], ITSecondTable[[#This Row],[Tag]], _xlpm.loc, "In Use") + COUNTIFS(ITSecondTable[Tag], ITSecondTable[[#This Row],[Tag]], _xlpm.loc, "Assigned to Employee")
)</f>
        <v>6</v>
      </c>
      <c r="F28" s="168">
        <f>_xlfn.LET(_xlpm.loc, ITEquipmentTable[Storage Location],
COUNTIFS(ITSecondTable[Tag], ITSecondTable[[#This Row],[Tag]], _xlpm.loc, "")
)</f>
        <v>3</v>
      </c>
      <c r="G28" s="168">
        <f>MAX(ITSecondTable[[#This Row],[SQty]] - ITSecondTable[[#This Row],[IQty]], 0)</f>
        <v>2</v>
      </c>
      <c r="H28" s="168">
        <f>MAX(ITSecondTable[[#This Row],[IQty]]-ITSecondTable[[#This Row],[SQty]], 0)</f>
        <v>0</v>
      </c>
      <c r="I28" s="151" t="str">
        <f>IFERROR(_xlfn.TEXTJOIN("~", TRUE, ITEquipmentTable[[#This Row],[Type]],ITEquipmentTable[[#This Row],[Brand]],ITEquipmentTable[[#This Row],[Model]]), "")</f>
        <v>Desktop~Dell</v>
      </c>
      <c r="J28" s="151" t="b">
        <f xml:space="preserve"> _xlfn.IFNA(MATCH( ITSecondTable[[#This Row],[Tag]], StorageTable[Tag], 0)  &gt; -1, FALSE)</f>
        <v>0</v>
      </c>
      <c r="K28" s="168" t="b">
        <f>COUNTIFS(ITEquipmentTable[Serial], ITEquipmentTable[[#This Row],[Serial]], ITEquipmentTable[Serial], "&lt;&gt;N/A") &gt; 1</f>
        <v>0</v>
      </c>
      <c r="L28" s="168" t="b">
        <f>COUNTIFS(ITEquipmentTable[Name], ITEquipmentTable[[#This Row],[Name]], ITEquipmentTable[Name], "&lt;&gt;&lt;Unassigned&gt;",  ITEquipmentTable[Name], "&lt;&gt;N/A") &gt; 1</f>
        <v>0</v>
      </c>
      <c r="M28" s="168" t="b">
        <f>AND(COUNTIFS(ITEquipmentTable[IPv4 Address], ITEquipmentTable[[#This Row],[IPv4 Address]]) &gt; 1, ITEquipmentTable[[#This Row],[IPv4 Address]] &lt;&gt; "DHCP",  ITEquipmentTable[[#This Row],[IPv4 Address]] &lt;&gt; "N/A")</f>
        <v>0</v>
      </c>
    </row>
    <row r="29" spans="1:13" x14ac:dyDescent="0.2">
      <c r="A29" s="168">
        <f>IF(LEN(ITSecondTable[[#This Row],[Tag]]) &gt; 0, _xlfn.XLOOKUP(ITSecondTable[[#This Row],[Tag]],StorageTable[Tag], StorageTable[In Storage - Count Total], "Err", 0, 1), 0)</f>
        <v>0</v>
      </c>
      <c r="B29" s="1">
        <f>_xlfn.LET(_xlpm.loc, ITEquipmentTable[Storage Location],
COUNTIFS(ITSecondTable[Tag], ITSecondTable[[#This Row],[Tag]], _xlpm.loc, "&lt;&gt;In Use", _xlpm.loc, "&lt;&gt;",  _xlpm.loc, "&lt;&gt;E-Waste", _xlpm.loc, "&lt;&gt;Virtual",  _xlpm.loc, "&lt;&gt;Assigned to Employee", _xlpm.loc, "&lt;&gt;Decommisioned", _xlpm.loc, "&lt;&gt;Missing")
)</f>
        <v>0</v>
      </c>
      <c r="C29" s="1">
        <f>_xlfn.LET(_xlpm.loc, ITEquipmentTable[Storage Location],
COUNTIFS(ITSecondTable[Tag], ITSecondTable[[#This Row],[Tag]], _xlpm.loc, "&lt;&gt;E-Waste", _xlpm.loc, "&lt;&gt;Virtual", _xlpm.loc, "&lt;&gt;Decommisioned")
)</f>
        <v>3</v>
      </c>
      <c r="D29" s="168">
        <f>_xlfn.LET(_xlpm.loc, ITEquipmentTable[Storage Location],
COUNTIFS(ITSecondTable[Tag], ITSecondTable[[#This Row],[Tag]], _xlpm.loc, "Missing")
)</f>
        <v>0</v>
      </c>
      <c r="E29" s="168">
        <f>_xlfn.LET(_xlpm.loc, ITEquipmentTable[Storage Location],
COUNTIFS(ITSecondTable[Tag], ITSecondTable[[#This Row],[Tag]], _xlpm.loc, "In Use") + COUNTIFS(ITSecondTable[Tag], ITSecondTable[[#This Row],[Tag]], _xlpm.loc, "Assigned to Employee")
)</f>
        <v>3</v>
      </c>
      <c r="F29" s="168">
        <f>_xlfn.LET(_xlpm.loc, ITEquipmentTable[Storage Location],
COUNTIFS(ITSecondTable[Tag], ITSecondTable[[#This Row],[Tag]], _xlpm.loc, "")
)</f>
        <v>0</v>
      </c>
      <c r="G29" s="168">
        <f>MAX(ITSecondTable[[#This Row],[SQty]] - ITSecondTable[[#This Row],[IQty]], 0)</f>
        <v>0</v>
      </c>
      <c r="H29" s="168">
        <f>MAX(ITSecondTable[[#This Row],[IQty]]-ITSecondTable[[#This Row],[SQty]], 0)</f>
        <v>0</v>
      </c>
      <c r="I29" s="151" t="str">
        <f>IFERROR(_xlfn.TEXTJOIN("~", TRUE, ITEquipmentTable[[#This Row],[Type]],ITEquipmentTable[[#This Row],[Brand]],ITEquipmentTable[[#This Row],[Model]]), "")</f>
        <v>Laptop~HP~HP ProBook 650 G8</v>
      </c>
      <c r="J29" s="151" t="b">
        <f xml:space="preserve"> _xlfn.IFNA(MATCH( ITSecondTable[[#This Row],[Tag]], StorageTable[Tag], 0)  &gt; -1, FALSE)</f>
        <v>0</v>
      </c>
      <c r="K29" s="168" t="b">
        <f>COUNTIFS(ITEquipmentTable[Serial], ITEquipmentTable[[#This Row],[Serial]], ITEquipmentTable[Serial], "&lt;&gt;N/A") &gt; 1</f>
        <v>0</v>
      </c>
      <c r="L29" s="168" t="b">
        <f>COUNTIFS(ITEquipmentTable[Name], ITEquipmentTable[[#This Row],[Name]], ITEquipmentTable[Name], "&lt;&gt;&lt;Unassigned&gt;",  ITEquipmentTable[Name], "&lt;&gt;N/A") &gt; 1</f>
        <v>0</v>
      </c>
      <c r="M29" s="168" t="b">
        <f>AND(COUNTIFS(ITEquipmentTable[IPv4 Address], ITEquipmentTable[[#This Row],[IPv4 Address]]) &gt; 1, ITEquipmentTable[[#This Row],[IPv4 Address]] &lt;&gt; "DHCP",  ITEquipmentTable[[#This Row],[IPv4 Address]] &lt;&gt; "N/A")</f>
        <v>0</v>
      </c>
    </row>
    <row r="30" spans="1:13" x14ac:dyDescent="0.2">
      <c r="A30" s="168">
        <f>IF(LEN(ITSecondTable[[#This Row],[Tag]]) &gt; 0, _xlfn.XLOOKUP(ITSecondTable[[#This Row],[Tag]],StorageTable[Tag], StorageTable[In Storage - Count Total], "Err", 0, 1), 0)</f>
        <v>0</v>
      </c>
      <c r="B30" s="1">
        <f>_xlfn.LET(_xlpm.loc, ITEquipmentTable[Storage Location],
COUNTIFS(ITSecondTable[Tag], ITSecondTable[[#This Row],[Tag]], _xlpm.loc, "&lt;&gt;In Use", _xlpm.loc, "&lt;&gt;",  _xlpm.loc, "&lt;&gt;E-Waste", _xlpm.loc, "&lt;&gt;Virtual",  _xlpm.loc, "&lt;&gt;Assigned to Employee", _xlpm.loc, "&lt;&gt;Decommisioned", _xlpm.loc, "&lt;&gt;Missing")
)</f>
        <v>0</v>
      </c>
      <c r="C30" s="1">
        <f>_xlfn.LET(_xlpm.loc, ITEquipmentTable[Storage Location],
COUNTIFS(ITSecondTable[Tag], ITSecondTable[[#This Row],[Tag]], _xlpm.loc, "&lt;&gt;E-Waste", _xlpm.loc, "&lt;&gt;Virtual", _xlpm.loc, "&lt;&gt;Decommisioned")
)</f>
        <v>32</v>
      </c>
      <c r="D30" s="168">
        <f>_xlfn.LET(_xlpm.loc, ITEquipmentTable[Storage Location],
COUNTIFS(ITSecondTable[Tag], ITSecondTable[[#This Row],[Tag]], _xlpm.loc, "Missing")
)</f>
        <v>0</v>
      </c>
      <c r="E30" s="168">
        <f>_xlfn.LET(_xlpm.loc, ITEquipmentTable[Storage Location],
COUNTIFS(ITSecondTable[Tag], ITSecondTable[[#This Row],[Tag]], _xlpm.loc, "In Use") + COUNTIFS(ITSecondTable[Tag], ITSecondTable[[#This Row],[Tag]], _xlpm.loc, "Assigned to Employee")
)</f>
        <v>26</v>
      </c>
      <c r="F30" s="168">
        <f>_xlfn.LET(_xlpm.loc, ITEquipmentTable[Storage Location],
COUNTIFS(ITSecondTable[Tag], ITSecondTable[[#This Row],[Tag]], _xlpm.loc, "")
)</f>
        <v>6</v>
      </c>
      <c r="G30" s="168">
        <f>MAX(ITSecondTable[[#This Row],[SQty]] - ITSecondTable[[#This Row],[IQty]], 0)</f>
        <v>0</v>
      </c>
      <c r="H30" s="168">
        <f>MAX(ITSecondTable[[#This Row],[IQty]]-ITSecondTable[[#This Row],[SQty]], 0)</f>
        <v>0</v>
      </c>
      <c r="I30" s="151" t="str">
        <f>IFERROR(_xlfn.TEXTJOIN("~", TRUE, ITEquipmentTable[[#This Row],[Type]],ITEquipmentTable[[#This Row],[Brand]],ITEquipmentTable[[#This Row],[Model]]), "")</f>
        <v>Desktop</v>
      </c>
      <c r="J30" s="151" t="b">
        <f xml:space="preserve"> _xlfn.IFNA(MATCH( ITSecondTable[[#This Row],[Tag]], StorageTable[Tag], 0)  &gt; -1, FALSE)</f>
        <v>1</v>
      </c>
      <c r="K30" s="168" t="b">
        <f>COUNTIFS(ITEquipmentTable[Serial], ITEquipmentTable[[#This Row],[Serial]], ITEquipmentTable[Serial], "&lt;&gt;N/A") &gt; 1</f>
        <v>0</v>
      </c>
      <c r="L30" s="168" t="b">
        <f>COUNTIFS(ITEquipmentTable[Name], ITEquipmentTable[[#This Row],[Name]], ITEquipmentTable[Name], "&lt;&gt;&lt;Unassigned&gt;",  ITEquipmentTable[Name], "&lt;&gt;N/A") &gt; 1</f>
        <v>0</v>
      </c>
      <c r="M30" s="168" t="b">
        <f>AND(COUNTIFS(ITEquipmentTable[IPv4 Address], ITEquipmentTable[[#This Row],[IPv4 Address]]) &gt; 1, ITEquipmentTable[[#This Row],[IPv4 Address]] &lt;&gt; "DHCP",  ITEquipmentTable[[#This Row],[IPv4 Address]] &lt;&gt; "N/A")</f>
        <v>1</v>
      </c>
    </row>
    <row r="31" spans="1:13" x14ac:dyDescent="0.2">
      <c r="A31" s="168">
        <f>IF(LEN(ITSecondTable[[#This Row],[Tag]]) &gt; 0, _xlfn.XLOOKUP(ITSecondTable[[#This Row],[Tag]],StorageTable[Tag], StorageTable[In Storage - Count Total], "Err", 0, 1), 0)</f>
        <v>0</v>
      </c>
      <c r="B31" s="1">
        <f>_xlfn.LET(_xlpm.loc, ITEquipmentTable[Storage Location],
COUNTIFS(ITSecondTable[Tag], ITSecondTable[[#This Row],[Tag]], _xlpm.loc, "&lt;&gt;In Use", _xlpm.loc, "&lt;&gt;",  _xlpm.loc, "&lt;&gt;E-Waste", _xlpm.loc, "&lt;&gt;Virtual",  _xlpm.loc, "&lt;&gt;Assigned to Employee", _xlpm.loc, "&lt;&gt;Decommisioned", _xlpm.loc, "&lt;&gt;Missing")
)</f>
        <v>0</v>
      </c>
      <c r="C31" s="1">
        <f>_xlfn.LET(_xlpm.loc, ITEquipmentTable[Storage Location],
COUNTIFS(ITSecondTable[Tag], ITSecondTable[[#This Row],[Tag]], _xlpm.loc, "&lt;&gt;E-Waste", _xlpm.loc, "&lt;&gt;Virtual", _xlpm.loc, "&lt;&gt;Decommisioned")
)</f>
        <v>32</v>
      </c>
      <c r="D31" s="168">
        <f>_xlfn.LET(_xlpm.loc, ITEquipmentTable[Storage Location],
COUNTIFS(ITSecondTable[Tag], ITSecondTable[[#This Row],[Tag]], _xlpm.loc, "Missing")
)</f>
        <v>0</v>
      </c>
      <c r="E31" s="168">
        <f>_xlfn.LET(_xlpm.loc, ITEquipmentTable[Storage Location],
COUNTIFS(ITSecondTable[Tag], ITSecondTable[[#This Row],[Tag]], _xlpm.loc, "In Use") + COUNTIFS(ITSecondTable[Tag], ITSecondTable[[#This Row],[Tag]], _xlpm.loc, "Assigned to Employee")
)</f>
        <v>26</v>
      </c>
      <c r="F31" s="168">
        <f>_xlfn.LET(_xlpm.loc, ITEquipmentTable[Storage Location],
COUNTIFS(ITSecondTable[Tag], ITSecondTable[[#This Row],[Tag]], _xlpm.loc, "")
)</f>
        <v>6</v>
      </c>
      <c r="G31" s="168">
        <f>MAX(ITSecondTable[[#This Row],[SQty]] - ITSecondTable[[#This Row],[IQty]], 0)</f>
        <v>0</v>
      </c>
      <c r="H31" s="168">
        <f>MAX(ITSecondTable[[#This Row],[IQty]]-ITSecondTable[[#This Row],[SQty]], 0)</f>
        <v>0</v>
      </c>
      <c r="I31" s="151" t="str">
        <f>IFERROR(_xlfn.TEXTJOIN("~", TRUE, ITEquipmentTable[[#This Row],[Type]],ITEquipmentTable[[#This Row],[Brand]],ITEquipmentTable[[#This Row],[Model]]), "")</f>
        <v>Desktop</v>
      </c>
      <c r="J31" s="151" t="b">
        <f xml:space="preserve"> _xlfn.IFNA(MATCH( ITSecondTable[[#This Row],[Tag]], StorageTable[Tag], 0)  &gt; -1, FALSE)</f>
        <v>1</v>
      </c>
      <c r="K31" s="168" t="b">
        <f>COUNTIFS(ITEquipmentTable[Serial], ITEquipmentTable[[#This Row],[Serial]], ITEquipmentTable[Serial], "&lt;&gt;N/A") &gt; 1</f>
        <v>0</v>
      </c>
      <c r="L31" s="168" t="b">
        <f>COUNTIFS(ITEquipmentTable[Name], ITEquipmentTable[[#This Row],[Name]], ITEquipmentTable[Name], "&lt;&gt;&lt;Unassigned&gt;",  ITEquipmentTable[Name], "&lt;&gt;N/A") &gt; 1</f>
        <v>0</v>
      </c>
      <c r="M31" s="168" t="b">
        <f>AND(COUNTIFS(ITEquipmentTable[IPv4 Address], ITEquipmentTable[[#This Row],[IPv4 Address]]) &gt; 1, ITEquipmentTable[[#This Row],[IPv4 Address]] &lt;&gt; "DHCP",  ITEquipmentTable[[#This Row],[IPv4 Address]] &lt;&gt; "N/A")</f>
        <v>0</v>
      </c>
    </row>
    <row r="32" spans="1:13" x14ac:dyDescent="0.2">
      <c r="A32" s="168">
        <f>IF(LEN(ITSecondTable[[#This Row],[Tag]]) &gt; 0, _xlfn.XLOOKUP(ITSecondTable[[#This Row],[Tag]],StorageTable[Tag], StorageTable[In Storage - Count Total], "Err", 0, 1), 0)</f>
        <v>0</v>
      </c>
      <c r="B32" s="1">
        <f>_xlfn.LET(_xlpm.loc, ITEquipmentTable[Storage Location],
COUNTIFS(ITSecondTable[Tag], ITSecondTable[[#This Row],[Tag]], _xlpm.loc, "&lt;&gt;In Use", _xlpm.loc, "&lt;&gt;",  _xlpm.loc, "&lt;&gt;E-Waste", _xlpm.loc, "&lt;&gt;Virtual",  _xlpm.loc, "&lt;&gt;Assigned to Employee", _xlpm.loc, "&lt;&gt;Decommisioned", _xlpm.loc, "&lt;&gt;Missing")
)</f>
        <v>0</v>
      </c>
      <c r="C32" s="1">
        <f>_xlfn.LET(_xlpm.loc, ITEquipmentTable[Storage Location],
COUNTIFS(ITSecondTable[Tag], ITSecondTable[[#This Row],[Tag]], _xlpm.loc, "&lt;&gt;E-Waste", _xlpm.loc, "&lt;&gt;Virtual", _xlpm.loc, "&lt;&gt;Decommisioned")
)</f>
        <v>21</v>
      </c>
      <c r="D32" s="168">
        <f>_xlfn.LET(_xlpm.loc, ITEquipmentTable[Storage Location],
COUNTIFS(ITSecondTable[Tag], ITSecondTable[[#This Row],[Tag]], _xlpm.loc, "Missing")
)</f>
        <v>0</v>
      </c>
      <c r="E32" s="168">
        <f>_xlfn.LET(_xlpm.loc, ITEquipmentTable[Storage Location],
COUNTIFS(ITSecondTable[Tag], ITSecondTable[[#This Row],[Tag]], _xlpm.loc, "In Use") + COUNTIFS(ITSecondTable[Tag], ITSecondTable[[#This Row],[Tag]], _xlpm.loc, "Assigned to Employee")
)</f>
        <v>3</v>
      </c>
      <c r="F32" s="168">
        <f>_xlfn.LET(_xlpm.loc, ITEquipmentTable[Storage Location],
COUNTIFS(ITSecondTable[Tag], ITSecondTable[[#This Row],[Tag]], _xlpm.loc, "")
)</f>
        <v>18</v>
      </c>
      <c r="G32" s="168">
        <f>MAX(ITSecondTable[[#This Row],[SQty]] - ITSecondTable[[#This Row],[IQty]], 0)</f>
        <v>0</v>
      </c>
      <c r="H32" s="168">
        <f>MAX(ITSecondTable[[#This Row],[IQty]]-ITSecondTable[[#This Row],[SQty]], 0)</f>
        <v>0</v>
      </c>
      <c r="I32" s="151" t="str">
        <f>IFERROR(_xlfn.TEXTJOIN("~", TRUE, ITEquipmentTable[[#This Row],[Type]],ITEquipmentTable[[#This Row],[Brand]],ITEquipmentTable[[#This Row],[Model]]), "")</f>
        <v/>
      </c>
      <c r="J32" s="151" t="b">
        <f xml:space="preserve"> _xlfn.IFNA(MATCH( ITSecondTable[[#This Row],[Tag]], StorageTable[Tag], 0)  &gt; -1, FALSE)</f>
        <v>0</v>
      </c>
      <c r="K32" s="168" t="b">
        <f>COUNTIFS(ITEquipmentTable[Serial], ITEquipmentTable[[#This Row],[Serial]], ITEquipmentTable[Serial], "&lt;&gt;N/A") &gt; 1</f>
        <v>0</v>
      </c>
      <c r="L32" s="168" t="b">
        <f>COUNTIFS(ITEquipmentTable[Name], ITEquipmentTable[[#This Row],[Name]], ITEquipmentTable[Name], "&lt;&gt;&lt;Unassigned&gt;",  ITEquipmentTable[Name], "&lt;&gt;N/A") &gt; 1</f>
        <v>0</v>
      </c>
      <c r="M32" s="168" t="b">
        <f>AND(COUNTIFS(ITEquipmentTable[IPv4 Address], ITEquipmentTable[[#This Row],[IPv4 Address]]) &gt; 1, ITEquipmentTable[[#This Row],[IPv4 Address]] &lt;&gt; "DHCP",  ITEquipmentTable[[#This Row],[IPv4 Address]] &lt;&gt; "N/A")</f>
        <v>0</v>
      </c>
    </row>
    <row r="33" spans="1:13" x14ac:dyDescent="0.2">
      <c r="A33" s="168">
        <f>IF(LEN(ITSecondTable[[#This Row],[Tag]]) &gt; 0, _xlfn.XLOOKUP(ITSecondTable[[#This Row],[Tag]],StorageTable[Tag], StorageTable[In Storage - Count Total], "Err", 0, 1), 0)</f>
        <v>0</v>
      </c>
      <c r="B33" s="1">
        <f>_xlfn.LET(_xlpm.loc, ITEquipmentTable[Storage Location],
COUNTIFS(ITSecondTable[Tag], ITSecondTable[[#This Row],[Tag]], _xlpm.loc, "&lt;&gt;In Use", _xlpm.loc, "&lt;&gt;",  _xlpm.loc, "&lt;&gt;E-Waste", _xlpm.loc, "&lt;&gt;Virtual",  _xlpm.loc, "&lt;&gt;Assigned to Employee", _xlpm.loc, "&lt;&gt;Decommisioned", _xlpm.loc, "&lt;&gt;Missing")
)</f>
        <v>0</v>
      </c>
      <c r="C33" s="1">
        <f>_xlfn.LET(_xlpm.loc, ITEquipmentTable[Storage Location],
COUNTIFS(ITSecondTable[Tag], ITSecondTable[[#This Row],[Tag]], _xlpm.loc, "&lt;&gt;E-Waste", _xlpm.loc, "&lt;&gt;Virtual", _xlpm.loc, "&lt;&gt;Decommisioned")
)</f>
        <v>32</v>
      </c>
      <c r="D33" s="168">
        <f>_xlfn.LET(_xlpm.loc, ITEquipmentTable[Storage Location],
COUNTIFS(ITSecondTable[Tag], ITSecondTable[[#This Row],[Tag]], _xlpm.loc, "Missing")
)</f>
        <v>0</v>
      </c>
      <c r="E33" s="168">
        <f>_xlfn.LET(_xlpm.loc, ITEquipmentTable[Storage Location],
COUNTIFS(ITSecondTable[Tag], ITSecondTable[[#This Row],[Tag]], _xlpm.loc, "In Use") + COUNTIFS(ITSecondTable[Tag], ITSecondTable[[#This Row],[Tag]], _xlpm.loc, "Assigned to Employee")
)</f>
        <v>26</v>
      </c>
      <c r="F33" s="168">
        <f>_xlfn.LET(_xlpm.loc, ITEquipmentTable[Storage Location],
COUNTIFS(ITSecondTable[Tag], ITSecondTable[[#This Row],[Tag]], _xlpm.loc, "")
)</f>
        <v>6</v>
      </c>
      <c r="G33" s="168">
        <f>MAX(ITSecondTable[[#This Row],[SQty]] - ITSecondTable[[#This Row],[IQty]], 0)</f>
        <v>0</v>
      </c>
      <c r="H33" s="168">
        <f>MAX(ITSecondTable[[#This Row],[IQty]]-ITSecondTable[[#This Row],[SQty]], 0)</f>
        <v>0</v>
      </c>
      <c r="I33" s="151" t="str">
        <f>IFERROR(_xlfn.TEXTJOIN("~", TRUE, ITEquipmentTable[[#This Row],[Type]],ITEquipmentTable[[#This Row],[Brand]],ITEquipmentTable[[#This Row],[Model]]), "")</f>
        <v>Desktop</v>
      </c>
      <c r="J33" s="151" t="b">
        <f xml:space="preserve"> _xlfn.IFNA(MATCH( ITSecondTable[[#This Row],[Tag]], StorageTable[Tag], 0)  &gt; -1, FALSE)</f>
        <v>1</v>
      </c>
      <c r="K33" s="168" t="b">
        <f>COUNTIFS(ITEquipmentTable[Serial], ITEquipmentTable[[#This Row],[Serial]], ITEquipmentTable[Serial], "&lt;&gt;N/A") &gt; 1</f>
        <v>0</v>
      </c>
      <c r="L33" s="168" t="b">
        <f>COUNTIFS(ITEquipmentTable[Name], ITEquipmentTable[[#This Row],[Name]], ITEquipmentTable[Name], "&lt;&gt;&lt;Unassigned&gt;",  ITEquipmentTable[Name], "&lt;&gt;N/A") &gt; 1</f>
        <v>0</v>
      </c>
      <c r="M33" s="168" t="b">
        <f>AND(COUNTIFS(ITEquipmentTable[IPv4 Address], ITEquipmentTable[[#This Row],[IPv4 Address]]) &gt; 1, ITEquipmentTable[[#This Row],[IPv4 Address]] &lt;&gt; "DHCP",  ITEquipmentTable[[#This Row],[IPv4 Address]] &lt;&gt; "N/A")</f>
        <v>1</v>
      </c>
    </row>
    <row r="34" spans="1:13" x14ac:dyDescent="0.2">
      <c r="A34" s="168">
        <f>IF(LEN(ITSecondTable[[#This Row],[Tag]]) &gt; 0, _xlfn.XLOOKUP(ITSecondTable[[#This Row],[Tag]],StorageTable[Tag], StorageTable[In Storage - Count Total], "Err", 0, 1), 0)</f>
        <v>0</v>
      </c>
      <c r="B34" s="1">
        <f>_xlfn.LET(_xlpm.loc, ITEquipmentTable[Storage Location],
COUNTIFS(ITSecondTable[Tag], ITSecondTable[[#This Row],[Tag]], _xlpm.loc, "&lt;&gt;In Use", _xlpm.loc, "&lt;&gt;",  _xlpm.loc, "&lt;&gt;E-Waste", _xlpm.loc, "&lt;&gt;Virtual",  _xlpm.loc, "&lt;&gt;Assigned to Employee", _xlpm.loc, "&lt;&gt;Decommisioned", _xlpm.loc, "&lt;&gt;Missing")
)</f>
        <v>0</v>
      </c>
      <c r="C34" s="1">
        <f>_xlfn.LET(_xlpm.loc, ITEquipmentTable[Storage Location],
COUNTIFS(ITSecondTable[Tag], ITSecondTable[[#This Row],[Tag]], _xlpm.loc, "&lt;&gt;E-Waste", _xlpm.loc, "&lt;&gt;Virtual", _xlpm.loc, "&lt;&gt;Decommisioned")
)</f>
        <v>32</v>
      </c>
      <c r="D34" s="168">
        <f>_xlfn.LET(_xlpm.loc, ITEquipmentTable[Storage Location],
COUNTIFS(ITSecondTable[Tag], ITSecondTable[[#This Row],[Tag]], _xlpm.loc, "Missing")
)</f>
        <v>0</v>
      </c>
      <c r="E34" s="168">
        <f>_xlfn.LET(_xlpm.loc, ITEquipmentTable[Storage Location],
COUNTIFS(ITSecondTable[Tag], ITSecondTable[[#This Row],[Tag]], _xlpm.loc, "In Use") + COUNTIFS(ITSecondTable[Tag], ITSecondTable[[#This Row],[Tag]], _xlpm.loc, "Assigned to Employee")
)</f>
        <v>26</v>
      </c>
      <c r="F34" s="168">
        <f>_xlfn.LET(_xlpm.loc, ITEquipmentTable[Storage Location],
COUNTIFS(ITSecondTable[Tag], ITSecondTable[[#This Row],[Tag]], _xlpm.loc, "")
)</f>
        <v>6</v>
      </c>
      <c r="G34" s="168">
        <f>MAX(ITSecondTable[[#This Row],[SQty]] - ITSecondTable[[#This Row],[IQty]], 0)</f>
        <v>0</v>
      </c>
      <c r="H34" s="168">
        <f>MAX(ITSecondTable[[#This Row],[IQty]]-ITSecondTable[[#This Row],[SQty]], 0)</f>
        <v>0</v>
      </c>
      <c r="I34" s="151" t="str">
        <f>IFERROR(_xlfn.TEXTJOIN("~", TRUE, ITEquipmentTable[[#This Row],[Type]],ITEquipmentTable[[#This Row],[Brand]],ITEquipmentTable[[#This Row],[Model]]), "")</f>
        <v>Desktop</v>
      </c>
      <c r="J34" s="151" t="b">
        <f xml:space="preserve"> _xlfn.IFNA(MATCH( ITSecondTable[[#This Row],[Tag]], StorageTable[Tag], 0)  &gt; -1, FALSE)</f>
        <v>1</v>
      </c>
      <c r="K34" s="168" t="b">
        <f>COUNTIFS(ITEquipmentTable[Serial], ITEquipmentTable[[#This Row],[Serial]], ITEquipmentTable[Serial], "&lt;&gt;N/A") &gt; 1</f>
        <v>0</v>
      </c>
      <c r="L34" s="168" t="b">
        <f>COUNTIFS(ITEquipmentTable[Name], ITEquipmentTable[[#This Row],[Name]], ITEquipmentTable[Name], "&lt;&gt;&lt;Unassigned&gt;",  ITEquipmentTable[Name], "&lt;&gt;N/A") &gt; 1</f>
        <v>0</v>
      </c>
      <c r="M34" s="168" t="b">
        <f>AND(COUNTIFS(ITEquipmentTable[IPv4 Address], ITEquipmentTable[[#This Row],[IPv4 Address]]) &gt; 1, ITEquipmentTable[[#This Row],[IPv4 Address]] &lt;&gt; "DHCP",  ITEquipmentTable[[#This Row],[IPv4 Address]] &lt;&gt; "N/A")</f>
        <v>0</v>
      </c>
    </row>
    <row r="35" spans="1:13" x14ac:dyDescent="0.2">
      <c r="A35" s="168">
        <f>IF(LEN(ITSecondTable[[#This Row],[Tag]]) &gt; 0, _xlfn.XLOOKUP(ITSecondTable[[#This Row],[Tag]],StorageTable[Tag], StorageTable[In Storage - Count Total], "Err", 0, 1), 0)</f>
        <v>0</v>
      </c>
      <c r="B35" s="1">
        <f>_xlfn.LET(_xlpm.loc, ITEquipmentTable[Storage Location],
COUNTIFS(ITSecondTable[Tag], ITSecondTable[[#This Row],[Tag]], _xlpm.loc, "&lt;&gt;In Use", _xlpm.loc, "&lt;&gt;",  _xlpm.loc, "&lt;&gt;E-Waste", _xlpm.loc, "&lt;&gt;Virtual",  _xlpm.loc, "&lt;&gt;Assigned to Employee", _xlpm.loc, "&lt;&gt;Decommisioned", _xlpm.loc, "&lt;&gt;Missing")
)</f>
        <v>0</v>
      </c>
      <c r="C35" s="1">
        <f>_xlfn.LET(_xlpm.loc, ITEquipmentTable[Storage Location],
COUNTIFS(ITSecondTable[Tag], ITSecondTable[[#This Row],[Tag]], _xlpm.loc, "&lt;&gt;E-Waste", _xlpm.loc, "&lt;&gt;Virtual", _xlpm.loc, "&lt;&gt;Decommisioned")
)</f>
        <v>21</v>
      </c>
      <c r="D35" s="168">
        <f>_xlfn.LET(_xlpm.loc, ITEquipmentTable[Storage Location],
COUNTIFS(ITSecondTable[Tag], ITSecondTable[[#This Row],[Tag]], _xlpm.loc, "Missing")
)</f>
        <v>0</v>
      </c>
      <c r="E35" s="168">
        <f>_xlfn.LET(_xlpm.loc, ITEquipmentTable[Storage Location],
COUNTIFS(ITSecondTable[Tag], ITSecondTable[[#This Row],[Tag]], _xlpm.loc, "In Use") + COUNTIFS(ITSecondTable[Tag], ITSecondTable[[#This Row],[Tag]], _xlpm.loc, "Assigned to Employee")
)</f>
        <v>3</v>
      </c>
      <c r="F35" s="168">
        <f>_xlfn.LET(_xlpm.loc, ITEquipmentTable[Storage Location],
COUNTIFS(ITSecondTable[Tag], ITSecondTable[[#This Row],[Tag]], _xlpm.loc, "")
)</f>
        <v>18</v>
      </c>
      <c r="G35" s="168">
        <f>MAX(ITSecondTable[[#This Row],[SQty]] - ITSecondTable[[#This Row],[IQty]], 0)</f>
        <v>0</v>
      </c>
      <c r="H35" s="168">
        <f>MAX(ITSecondTable[[#This Row],[IQty]]-ITSecondTable[[#This Row],[SQty]], 0)</f>
        <v>0</v>
      </c>
      <c r="I35" s="151" t="str">
        <f>IFERROR(_xlfn.TEXTJOIN("~", TRUE, ITEquipmentTable[[#This Row],[Type]],ITEquipmentTable[[#This Row],[Brand]],ITEquipmentTable[[#This Row],[Model]]), "")</f>
        <v/>
      </c>
      <c r="J35" s="151" t="b">
        <f xml:space="preserve"> _xlfn.IFNA(MATCH( ITSecondTable[[#This Row],[Tag]], StorageTable[Tag], 0)  &gt; -1, FALSE)</f>
        <v>0</v>
      </c>
      <c r="K35" s="168" t="b">
        <f>COUNTIFS(ITEquipmentTable[Serial], ITEquipmentTable[[#This Row],[Serial]], ITEquipmentTable[Serial], "&lt;&gt;N/A") &gt; 1</f>
        <v>0</v>
      </c>
      <c r="L35" s="168" t="b">
        <f>COUNTIFS(ITEquipmentTable[Name], ITEquipmentTable[[#This Row],[Name]], ITEquipmentTable[Name], "&lt;&gt;&lt;Unassigned&gt;",  ITEquipmentTable[Name], "&lt;&gt;N/A") &gt; 1</f>
        <v>0</v>
      </c>
      <c r="M35" s="168" t="b">
        <f>AND(COUNTIFS(ITEquipmentTable[IPv4 Address], ITEquipmentTable[[#This Row],[IPv4 Address]]) &gt; 1, ITEquipmentTable[[#This Row],[IPv4 Address]] &lt;&gt; "DHCP",  ITEquipmentTable[[#This Row],[IPv4 Address]] &lt;&gt; "N/A")</f>
        <v>0</v>
      </c>
    </row>
    <row r="36" spans="1:13" x14ac:dyDescent="0.2">
      <c r="A36" s="168">
        <f>IF(LEN(ITSecondTable[[#This Row],[Tag]]) &gt; 0, _xlfn.XLOOKUP(ITSecondTable[[#This Row],[Tag]],StorageTable[Tag], StorageTable[In Storage - Count Total], "Err", 0, 1), 0)</f>
        <v>0</v>
      </c>
      <c r="B36" s="1">
        <f>_xlfn.LET(_xlpm.loc, ITEquipmentTable[Storage Location],
COUNTIFS(ITSecondTable[Tag], ITSecondTable[[#This Row],[Tag]], _xlpm.loc, "&lt;&gt;In Use", _xlpm.loc, "&lt;&gt;",  _xlpm.loc, "&lt;&gt;E-Waste", _xlpm.loc, "&lt;&gt;Virtual",  _xlpm.loc, "&lt;&gt;Assigned to Employee", _xlpm.loc, "&lt;&gt;Decommisioned", _xlpm.loc, "&lt;&gt;Missing")
)</f>
        <v>0</v>
      </c>
      <c r="C36" s="1">
        <f>_xlfn.LET(_xlpm.loc, ITEquipmentTable[Storage Location],
COUNTIFS(ITSecondTable[Tag], ITSecondTable[[#This Row],[Tag]], _xlpm.loc, "&lt;&gt;E-Waste", _xlpm.loc, "&lt;&gt;Virtual", _xlpm.loc, "&lt;&gt;Decommisioned")
)</f>
        <v>32</v>
      </c>
      <c r="D36" s="168">
        <f>_xlfn.LET(_xlpm.loc, ITEquipmentTable[Storage Location],
COUNTIFS(ITSecondTable[Tag], ITSecondTable[[#This Row],[Tag]], _xlpm.loc, "Missing")
)</f>
        <v>0</v>
      </c>
      <c r="E36" s="168">
        <f>_xlfn.LET(_xlpm.loc, ITEquipmentTable[Storage Location],
COUNTIFS(ITSecondTable[Tag], ITSecondTable[[#This Row],[Tag]], _xlpm.loc, "In Use") + COUNTIFS(ITSecondTable[Tag], ITSecondTable[[#This Row],[Tag]], _xlpm.loc, "Assigned to Employee")
)</f>
        <v>26</v>
      </c>
      <c r="F36" s="168">
        <f>_xlfn.LET(_xlpm.loc, ITEquipmentTable[Storage Location],
COUNTIFS(ITSecondTable[Tag], ITSecondTable[[#This Row],[Tag]], _xlpm.loc, "")
)</f>
        <v>6</v>
      </c>
      <c r="G36" s="168">
        <f>MAX(ITSecondTable[[#This Row],[SQty]] - ITSecondTable[[#This Row],[IQty]], 0)</f>
        <v>0</v>
      </c>
      <c r="H36" s="168">
        <f>MAX(ITSecondTable[[#This Row],[IQty]]-ITSecondTable[[#This Row],[SQty]], 0)</f>
        <v>0</v>
      </c>
      <c r="I36" s="151" t="str">
        <f>IFERROR(_xlfn.TEXTJOIN("~", TRUE, ITEquipmentTable[[#This Row],[Type]],ITEquipmentTable[[#This Row],[Brand]],ITEquipmentTable[[#This Row],[Model]]), "")</f>
        <v>Desktop</v>
      </c>
      <c r="J36" s="151" t="b">
        <f xml:space="preserve"> _xlfn.IFNA(MATCH( ITSecondTable[[#This Row],[Tag]], StorageTable[Tag], 0)  &gt; -1, FALSE)</f>
        <v>1</v>
      </c>
      <c r="K36" s="168" t="b">
        <f>COUNTIFS(ITEquipmentTable[Serial], ITEquipmentTable[[#This Row],[Serial]], ITEquipmentTable[Serial], "&lt;&gt;N/A") &gt; 1</f>
        <v>0</v>
      </c>
      <c r="L36" s="168" t="b">
        <f>COUNTIFS(ITEquipmentTable[Name], ITEquipmentTable[[#This Row],[Name]], ITEquipmentTable[Name], "&lt;&gt;&lt;Unassigned&gt;",  ITEquipmentTable[Name], "&lt;&gt;N/A") &gt; 1</f>
        <v>0</v>
      </c>
      <c r="M36" s="168" t="b">
        <f>AND(COUNTIFS(ITEquipmentTable[IPv4 Address], ITEquipmentTable[[#This Row],[IPv4 Address]]) &gt; 1, ITEquipmentTable[[#This Row],[IPv4 Address]] &lt;&gt; "DHCP",  ITEquipmentTable[[#This Row],[IPv4 Address]] &lt;&gt; "N/A")</f>
        <v>0</v>
      </c>
    </row>
    <row r="37" spans="1:13" x14ac:dyDescent="0.2">
      <c r="A37" s="168">
        <f>IF(LEN(ITSecondTable[[#This Row],[Tag]]) &gt; 0, _xlfn.XLOOKUP(ITSecondTable[[#This Row],[Tag]],StorageTable[Tag], StorageTable[In Storage - Count Total], "Err", 0, 1), 0)</f>
        <v>0</v>
      </c>
      <c r="B37" s="1">
        <f>_xlfn.LET(_xlpm.loc, ITEquipmentTable[Storage Location],
COUNTIFS(ITSecondTable[Tag], ITSecondTable[[#This Row],[Tag]], _xlpm.loc, "&lt;&gt;In Use", _xlpm.loc, "&lt;&gt;",  _xlpm.loc, "&lt;&gt;E-Waste", _xlpm.loc, "&lt;&gt;Virtual",  _xlpm.loc, "&lt;&gt;Assigned to Employee", _xlpm.loc, "&lt;&gt;Decommisioned", _xlpm.loc, "&lt;&gt;Missing")
)</f>
        <v>0</v>
      </c>
      <c r="C37" s="1">
        <f>_xlfn.LET(_xlpm.loc, ITEquipmentTable[Storage Location],
COUNTIFS(ITSecondTable[Tag], ITSecondTable[[#This Row],[Tag]], _xlpm.loc, "&lt;&gt;E-Waste", _xlpm.loc, "&lt;&gt;Virtual", _xlpm.loc, "&lt;&gt;Decommisioned")
)</f>
        <v>32</v>
      </c>
      <c r="D37" s="168">
        <f>_xlfn.LET(_xlpm.loc, ITEquipmentTable[Storage Location],
COUNTIFS(ITSecondTable[Tag], ITSecondTable[[#This Row],[Tag]], _xlpm.loc, "Missing")
)</f>
        <v>0</v>
      </c>
      <c r="E37" s="168">
        <f>_xlfn.LET(_xlpm.loc, ITEquipmentTable[Storage Location],
COUNTIFS(ITSecondTable[Tag], ITSecondTable[[#This Row],[Tag]], _xlpm.loc, "In Use") + COUNTIFS(ITSecondTable[Tag], ITSecondTable[[#This Row],[Tag]], _xlpm.loc, "Assigned to Employee")
)</f>
        <v>26</v>
      </c>
      <c r="F37" s="168">
        <f>_xlfn.LET(_xlpm.loc, ITEquipmentTable[Storage Location],
COUNTIFS(ITSecondTable[Tag], ITSecondTable[[#This Row],[Tag]], _xlpm.loc, "")
)</f>
        <v>6</v>
      </c>
      <c r="G37" s="168">
        <f>MAX(ITSecondTable[[#This Row],[SQty]] - ITSecondTable[[#This Row],[IQty]], 0)</f>
        <v>0</v>
      </c>
      <c r="H37" s="168">
        <f>MAX(ITSecondTable[[#This Row],[IQty]]-ITSecondTable[[#This Row],[SQty]], 0)</f>
        <v>0</v>
      </c>
      <c r="I37" s="151" t="str">
        <f>IFERROR(_xlfn.TEXTJOIN("~", TRUE, ITEquipmentTable[[#This Row],[Type]],ITEquipmentTable[[#This Row],[Brand]],ITEquipmentTable[[#This Row],[Model]]), "")</f>
        <v>Desktop</v>
      </c>
      <c r="J37" s="151" t="b">
        <f xml:space="preserve"> _xlfn.IFNA(MATCH( ITSecondTable[[#This Row],[Tag]], StorageTable[Tag], 0)  &gt; -1, FALSE)</f>
        <v>1</v>
      </c>
      <c r="K37" s="168" t="b">
        <f>COUNTIFS(ITEquipmentTable[Serial], ITEquipmentTable[[#This Row],[Serial]], ITEquipmentTable[Serial], "&lt;&gt;N/A") &gt; 1</f>
        <v>0</v>
      </c>
      <c r="L37" s="168" t="b">
        <f>COUNTIFS(ITEquipmentTable[Name], ITEquipmentTable[[#This Row],[Name]], ITEquipmentTable[Name], "&lt;&gt;&lt;Unassigned&gt;",  ITEquipmentTable[Name], "&lt;&gt;N/A") &gt; 1</f>
        <v>0</v>
      </c>
      <c r="M37" s="168" t="b">
        <f>AND(COUNTIFS(ITEquipmentTable[IPv4 Address], ITEquipmentTable[[#This Row],[IPv4 Address]]) &gt; 1, ITEquipmentTable[[#This Row],[IPv4 Address]] &lt;&gt; "DHCP",  ITEquipmentTable[[#This Row],[IPv4 Address]] &lt;&gt; "N/A")</f>
        <v>0</v>
      </c>
    </row>
    <row r="38" spans="1:13" x14ac:dyDescent="0.2">
      <c r="A38" s="168">
        <f>IF(LEN(ITSecondTable[[#This Row],[Tag]]) &gt; 0, _xlfn.XLOOKUP(ITSecondTable[[#This Row],[Tag]],StorageTable[Tag], StorageTable[In Storage - Count Total], "Err", 0, 1), 0)</f>
        <v>0</v>
      </c>
      <c r="B38" s="1">
        <f>_xlfn.LET(_xlpm.loc, ITEquipmentTable[Storage Location],
COUNTIFS(ITSecondTable[Tag], ITSecondTable[[#This Row],[Tag]], _xlpm.loc, "&lt;&gt;In Use", _xlpm.loc, "&lt;&gt;",  _xlpm.loc, "&lt;&gt;E-Waste", _xlpm.loc, "&lt;&gt;Virtual",  _xlpm.loc, "&lt;&gt;Assigned to Employee", _xlpm.loc, "&lt;&gt;Decommisioned", _xlpm.loc, "&lt;&gt;Missing")
)</f>
        <v>0</v>
      </c>
      <c r="C38" s="1">
        <f>_xlfn.LET(_xlpm.loc, ITEquipmentTable[Storage Location],
COUNTIFS(ITSecondTable[Tag], ITSecondTable[[#This Row],[Tag]], _xlpm.loc, "&lt;&gt;E-Waste", _xlpm.loc, "&lt;&gt;Virtual", _xlpm.loc, "&lt;&gt;Decommisioned")
)</f>
        <v>32</v>
      </c>
      <c r="D38" s="168">
        <f>_xlfn.LET(_xlpm.loc, ITEquipmentTable[Storage Location],
COUNTIFS(ITSecondTable[Tag], ITSecondTable[[#This Row],[Tag]], _xlpm.loc, "Missing")
)</f>
        <v>0</v>
      </c>
      <c r="E38" s="168">
        <f>_xlfn.LET(_xlpm.loc, ITEquipmentTable[Storage Location],
COUNTIFS(ITSecondTable[Tag], ITSecondTable[[#This Row],[Tag]], _xlpm.loc, "In Use") + COUNTIFS(ITSecondTable[Tag], ITSecondTable[[#This Row],[Tag]], _xlpm.loc, "Assigned to Employee")
)</f>
        <v>26</v>
      </c>
      <c r="F38" s="168">
        <f>_xlfn.LET(_xlpm.loc, ITEquipmentTable[Storage Location],
COUNTIFS(ITSecondTable[Tag], ITSecondTable[[#This Row],[Tag]], _xlpm.loc, "")
)</f>
        <v>6</v>
      </c>
      <c r="G38" s="168">
        <f>MAX(ITSecondTable[[#This Row],[SQty]] - ITSecondTable[[#This Row],[IQty]], 0)</f>
        <v>0</v>
      </c>
      <c r="H38" s="168">
        <f>MAX(ITSecondTable[[#This Row],[IQty]]-ITSecondTable[[#This Row],[SQty]], 0)</f>
        <v>0</v>
      </c>
      <c r="I38" s="151" t="str">
        <f>IFERROR(_xlfn.TEXTJOIN("~", TRUE, ITEquipmentTable[[#This Row],[Type]],ITEquipmentTable[[#This Row],[Brand]],ITEquipmentTable[[#This Row],[Model]]), "")</f>
        <v>Desktop</v>
      </c>
      <c r="J38" s="151" t="b">
        <f xml:space="preserve"> _xlfn.IFNA(MATCH( ITSecondTable[[#This Row],[Tag]], StorageTable[Tag], 0)  &gt; -1, FALSE)</f>
        <v>1</v>
      </c>
      <c r="K38" s="168" t="b">
        <f>COUNTIFS(ITEquipmentTable[Serial], ITEquipmentTable[[#This Row],[Serial]], ITEquipmentTable[Serial], "&lt;&gt;N/A") &gt; 1</f>
        <v>0</v>
      </c>
      <c r="L38" s="168" t="b">
        <f>COUNTIFS(ITEquipmentTable[Name], ITEquipmentTable[[#This Row],[Name]], ITEquipmentTable[Name], "&lt;&gt;&lt;Unassigned&gt;",  ITEquipmentTable[Name], "&lt;&gt;N/A") &gt; 1</f>
        <v>0</v>
      </c>
      <c r="M38" s="168" t="b">
        <f>AND(COUNTIFS(ITEquipmentTable[IPv4 Address], ITEquipmentTable[[#This Row],[IPv4 Address]]) &gt; 1, ITEquipmentTable[[#This Row],[IPv4 Address]] &lt;&gt; "DHCP",  ITEquipmentTable[[#This Row],[IPv4 Address]] &lt;&gt; "N/A")</f>
        <v>0</v>
      </c>
    </row>
    <row r="39" spans="1:13" x14ac:dyDescent="0.2">
      <c r="A39" s="168">
        <f>IF(LEN(ITSecondTable[[#This Row],[Tag]]) &gt; 0, _xlfn.XLOOKUP(ITSecondTable[[#This Row],[Tag]],StorageTable[Tag], StorageTable[In Storage - Count Total], "Err", 0, 1), 0)</f>
        <v>0</v>
      </c>
      <c r="B39" s="1">
        <f>_xlfn.LET(_xlpm.loc, ITEquipmentTable[Storage Location],
COUNTIFS(ITSecondTable[Tag], ITSecondTable[[#This Row],[Tag]], _xlpm.loc, "&lt;&gt;In Use", _xlpm.loc, "&lt;&gt;",  _xlpm.loc, "&lt;&gt;E-Waste", _xlpm.loc, "&lt;&gt;Virtual",  _xlpm.loc, "&lt;&gt;Assigned to Employee", _xlpm.loc, "&lt;&gt;Decommisioned", _xlpm.loc, "&lt;&gt;Missing")
)</f>
        <v>2</v>
      </c>
      <c r="C39" s="1">
        <f>_xlfn.LET(_xlpm.loc, ITEquipmentTable[Storage Location],
COUNTIFS(ITSecondTable[Tag], ITSecondTable[[#This Row],[Tag]], _xlpm.loc, "&lt;&gt;E-Waste", _xlpm.loc, "&lt;&gt;Virtual", _xlpm.loc, "&lt;&gt;Decommisioned")
)</f>
        <v>17</v>
      </c>
      <c r="D39" s="168">
        <f>_xlfn.LET(_xlpm.loc, ITEquipmentTable[Storage Location],
COUNTIFS(ITSecondTable[Tag], ITSecondTable[[#This Row],[Tag]], _xlpm.loc, "Missing")
)</f>
        <v>0</v>
      </c>
      <c r="E39" s="168">
        <f>_xlfn.LET(_xlpm.loc, ITEquipmentTable[Storage Location],
COUNTIFS(ITSecondTable[Tag], ITSecondTable[[#This Row],[Tag]], _xlpm.loc, "In Use") + COUNTIFS(ITSecondTable[Tag], ITSecondTable[[#This Row],[Tag]], _xlpm.loc, "Assigned to Employee")
)</f>
        <v>5</v>
      </c>
      <c r="F39" s="168">
        <f>_xlfn.LET(_xlpm.loc, ITEquipmentTable[Storage Location],
COUNTIFS(ITSecondTable[Tag], ITSecondTable[[#This Row],[Tag]], _xlpm.loc, "")
)</f>
        <v>10</v>
      </c>
      <c r="G39" s="168">
        <f>MAX(ITSecondTable[[#This Row],[SQty]] - ITSecondTable[[#This Row],[IQty]], 0)</f>
        <v>2</v>
      </c>
      <c r="H39" s="168">
        <f>MAX(ITSecondTable[[#This Row],[IQty]]-ITSecondTable[[#This Row],[SQty]], 0)</f>
        <v>0</v>
      </c>
      <c r="I39" s="151" t="str">
        <f>IFERROR(_xlfn.TEXTJOIN("~", TRUE, ITEquipmentTable[[#This Row],[Type]],ITEquipmentTable[[#This Row],[Brand]],ITEquipmentTable[[#This Row],[Model]]), "")</f>
        <v>Laptop~HP~HP ProBook 640 G3</v>
      </c>
      <c r="J39" s="151" t="b">
        <f xml:space="preserve"> _xlfn.IFNA(MATCH( ITSecondTable[[#This Row],[Tag]], StorageTable[Tag], 0)  &gt; -1, FALSE)</f>
        <v>0</v>
      </c>
      <c r="K39" s="168" t="b">
        <f>COUNTIFS(ITEquipmentTable[Serial], ITEquipmentTable[[#This Row],[Serial]], ITEquipmentTable[Serial], "&lt;&gt;N/A") &gt; 1</f>
        <v>0</v>
      </c>
      <c r="L39" s="168" t="b">
        <f>COUNTIFS(ITEquipmentTable[Name], ITEquipmentTable[[#This Row],[Name]], ITEquipmentTable[Name], "&lt;&gt;&lt;Unassigned&gt;",  ITEquipmentTable[Name], "&lt;&gt;N/A") &gt; 1</f>
        <v>0</v>
      </c>
      <c r="M39" s="168" t="b">
        <f>AND(COUNTIFS(ITEquipmentTable[IPv4 Address], ITEquipmentTable[[#This Row],[IPv4 Address]]) &gt; 1, ITEquipmentTable[[#This Row],[IPv4 Address]] &lt;&gt; "DHCP",  ITEquipmentTable[[#This Row],[IPv4 Address]] &lt;&gt; "N/A")</f>
        <v>0</v>
      </c>
    </row>
    <row r="40" spans="1:13" x14ac:dyDescent="0.2">
      <c r="A40" s="168">
        <f>IF(LEN(ITSecondTable[[#This Row],[Tag]]) &gt; 0, _xlfn.XLOOKUP(ITSecondTable[[#This Row],[Tag]],StorageTable[Tag], StorageTable[In Storage - Count Total], "Err", 0, 1), 0)</f>
        <v>0</v>
      </c>
      <c r="B40" s="1">
        <f>_xlfn.LET(_xlpm.loc, ITEquipmentTable[Storage Location],
COUNTIFS(ITSecondTable[Tag], ITSecondTable[[#This Row],[Tag]], _xlpm.loc, "&lt;&gt;In Use", _xlpm.loc, "&lt;&gt;",  _xlpm.loc, "&lt;&gt;E-Waste", _xlpm.loc, "&lt;&gt;Virtual",  _xlpm.loc, "&lt;&gt;Assigned to Employee", _xlpm.loc, "&lt;&gt;Decommisioned", _xlpm.loc, "&lt;&gt;Missing")
)</f>
        <v>0</v>
      </c>
      <c r="C40" s="1">
        <f>_xlfn.LET(_xlpm.loc, ITEquipmentTable[Storage Location],
COUNTIFS(ITSecondTable[Tag], ITSecondTable[[#This Row],[Tag]], _xlpm.loc, "&lt;&gt;E-Waste", _xlpm.loc, "&lt;&gt;Virtual", _xlpm.loc, "&lt;&gt;Decommisioned")
)</f>
        <v>1</v>
      </c>
      <c r="D40" s="168">
        <f>_xlfn.LET(_xlpm.loc, ITEquipmentTable[Storage Location],
COUNTIFS(ITSecondTable[Tag], ITSecondTable[[#This Row],[Tag]], _xlpm.loc, "Missing")
)</f>
        <v>0</v>
      </c>
      <c r="E40" s="168">
        <f>_xlfn.LET(_xlpm.loc, ITEquipmentTable[Storage Location],
COUNTIFS(ITSecondTable[Tag], ITSecondTable[[#This Row],[Tag]], _xlpm.loc, "In Use") + COUNTIFS(ITSecondTable[Tag], ITSecondTable[[#This Row],[Tag]], _xlpm.loc, "Assigned to Employee")
)</f>
        <v>0</v>
      </c>
      <c r="F40" s="168">
        <f>_xlfn.LET(_xlpm.loc, ITEquipmentTable[Storage Location],
COUNTIFS(ITSecondTable[Tag], ITSecondTable[[#This Row],[Tag]], _xlpm.loc, "")
)</f>
        <v>1</v>
      </c>
      <c r="G40" s="168">
        <f>MAX(ITSecondTable[[#This Row],[SQty]] - ITSecondTable[[#This Row],[IQty]], 0)</f>
        <v>0</v>
      </c>
      <c r="H40" s="168">
        <f>MAX(ITSecondTable[[#This Row],[IQty]]-ITSecondTable[[#This Row],[SQty]], 0)</f>
        <v>0</v>
      </c>
      <c r="I40" s="151" t="str">
        <f>IFERROR(_xlfn.TEXTJOIN("~", TRUE, ITEquipmentTable[[#This Row],[Type]],ITEquipmentTable[[#This Row],[Brand]],ITEquipmentTable[[#This Row],[Model]]), "")</f>
        <v>Laptop~HP~HP ProBook 650 G3</v>
      </c>
      <c r="J40" s="151" t="b">
        <f xml:space="preserve"> _xlfn.IFNA(MATCH( ITSecondTable[[#This Row],[Tag]], StorageTable[Tag], 0)  &gt; -1, FALSE)</f>
        <v>0</v>
      </c>
      <c r="K40" s="168" t="b">
        <f>COUNTIFS(ITEquipmentTable[Serial], ITEquipmentTable[[#This Row],[Serial]], ITEquipmentTable[Serial], "&lt;&gt;N/A") &gt; 1</f>
        <v>0</v>
      </c>
      <c r="L40" s="168" t="b">
        <f>COUNTIFS(ITEquipmentTable[Name], ITEquipmentTable[[#This Row],[Name]], ITEquipmentTable[Name], "&lt;&gt;&lt;Unassigned&gt;",  ITEquipmentTable[Name], "&lt;&gt;N/A") &gt; 1</f>
        <v>0</v>
      </c>
      <c r="M40" s="168" t="b">
        <f>AND(COUNTIFS(ITEquipmentTable[IPv4 Address], ITEquipmentTable[[#This Row],[IPv4 Address]]) &gt; 1, ITEquipmentTable[[#This Row],[IPv4 Address]] &lt;&gt; "DHCP",  ITEquipmentTable[[#This Row],[IPv4 Address]] &lt;&gt; "N/A")</f>
        <v>0</v>
      </c>
    </row>
    <row r="41" spans="1:13" x14ac:dyDescent="0.2">
      <c r="A41" s="168">
        <f>IF(LEN(ITSecondTable[[#This Row],[Tag]]) &gt; 0, _xlfn.XLOOKUP(ITSecondTable[[#This Row],[Tag]],StorageTable[Tag], StorageTable[In Storage - Count Total], "Err", 0, 1), 0)</f>
        <v>0</v>
      </c>
      <c r="B41" s="1">
        <f>_xlfn.LET(_xlpm.loc, ITEquipmentTable[Storage Location],
COUNTIFS(ITSecondTable[Tag], ITSecondTable[[#This Row],[Tag]], _xlpm.loc, "&lt;&gt;In Use", _xlpm.loc, "&lt;&gt;",  _xlpm.loc, "&lt;&gt;E-Waste", _xlpm.loc, "&lt;&gt;Virtual",  _xlpm.loc, "&lt;&gt;Assigned to Employee", _xlpm.loc, "&lt;&gt;Decommisioned", _xlpm.loc, "&lt;&gt;Missing")
)</f>
        <v>0</v>
      </c>
      <c r="C41" s="1">
        <f>_xlfn.LET(_xlpm.loc, ITEquipmentTable[Storage Location],
COUNTIFS(ITSecondTable[Tag], ITSecondTable[[#This Row],[Tag]], _xlpm.loc, "&lt;&gt;E-Waste", _xlpm.loc, "&lt;&gt;Virtual", _xlpm.loc, "&lt;&gt;Decommisioned")
)</f>
        <v>29</v>
      </c>
      <c r="D41" s="168">
        <f>_xlfn.LET(_xlpm.loc, ITEquipmentTable[Storage Location],
COUNTIFS(ITSecondTable[Tag], ITSecondTable[[#This Row],[Tag]], _xlpm.loc, "Missing")
)</f>
        <v>0</v>
      </c>
      <c r="E41" s="168">
        <f>_xlfn.LET(_xlpm.loc, ITEquipmentTable[Storage Location],
COUNTIFS(ITSecondTable[Tag], ITSecondTable[[#This Row],[Tag]], _xlpm.loc, "In Use") + COUNTIFS(ITSecondTable[Tag], ITSecondTable[[#This Row],[Tag]], _xlpm.loc, "Assigned to Employee")
)</f>
        <v>3</v>
      </c>
      <c r="F41" s="168">
        <f>_xlfn.LET(_xlpm.loc, ITEquipmentTable[Storage Location],
COUNTIFS(ITSecondTable[Tag], ITSecondTable[[#This Row],[Tag]], _xlpm.loc, "")
)</f>
        <v>26</v>
      </c>
      <c r="G41" s="168">
        <f>MAX(ITSecondTable[[#This Row],[SQty]] - ITSecondTable[[#This Row],[IQty]], 0)</f>
        <v>0</v>
      </c>
      <c r="H41" s="168">
        <f>MAX(ITSecondTable[[#This Row],[IQty]]-ITSecondTable[[#This Row],[SQty]], 0)</f>
        <v>0</v>
      </c>
      <c r="I41" s="151" t="str">
        <f>IFERROR(_xlfn.TEXTJOIN("~", TRUE, ITEquipmentTable[[#This Row],[Type]],ITEquipmentTable[[#This Row],[Brand]],ITEquipmentTable[[#This Row],[Model]]), "")</f>
        <v>Laptop~HP~HP ProBook 650 G2</v>
      </c>
      <c r="J41" s="151" t="b">
        <f xml:space="preserve"> _xlfn.IFNA(MATCH( ITSecondTable[[#This Row],[Tag]], StorageTable[Tag], 0)  &gt; -1, FALSE)</f>
        <v>0</v>
      </c>
      <c r="K41" s="168" t="b">
        <f>COUNTIFS(ITEquipmentTable[Serial], ITEquipmentTable[[#This Row],[Serial]], ITEquipmentTable[Serial], "&lt;&gt;N/A") &gt; 1</f>
        <v>0</v>
      </c>
      <c r="L41" s="168" t="b">
        <f>COUNTIFS(ITEquipmentTable[Name], ITEquipmentTable[[#This Row],[Name]], ITEquipmentTable[Name], "&lt;&gt;&lt;Unassigned&gt;",  ITEquipmentTable[Name], "&lt;&gt;N/A") &gt; 1</f>
        <v>0</v>
      </c>
      <c r="M41" s="168" t="b">
        <f>AND(COUNTIFS(ITEquipmentTable[IPv4 Address], ITEquipmentTable[[#This Row],[IPv4 Address]]) &gt; 1, ITEquipmentTable[[#This Row],[IPv4 Address]] &lt;&gt; "DHCP",  ITEquipmentTable[[#This Row],[IPv4 Address]] &lt;&gt; "N/A")</f>
        <v>0</v>
      </c>
    </row>
    <row r="42" spans="1:13" x14ac:dyDescent="0.2">
      <c r="A42" s="168">
        <f>IF(LEN(ITSecondTable[[#This Row],[Tag]]) &gt; 0, _xlfn.XLOOKUP(ITSecondTable[[#This Row],[Tag]],StorageTable[Tag], StorageTable[In Storage - Count Total], "Err", 0, 1), 0)</f>
        <v>0</v>
      </c>
      <c r="B42" s="1">
        <f>_xlfn.LET(_xlpm.loc, ITEquipmentTable[Storage Location],
COUNTIFS(ITSecondTable[Tag], ITSecondTable[[#This Row],[Tag]], _xlpm.loc, "&lt;&gt;In Use", _xlpm.loc, "&lt;&gt;",  _xlpm.loc, "&lt;&gt;E-Waste", _xlpm.loc, "&lt;&gt;Virtual",  _xlpm.loc, "&lt;&gt;Assigned to Employee", _xlpm.loc, "&lt;&gt;Decommisioned", _xlpm.loc, "&lt;&gt;Missing")
)</f>
        <v>0</v>
      </c>
      <c r="C42" s="1">
        <f>_xlfn.LET(_xlpm.loc, ITEquipmentTable[Storage Location],
COUNTIFS(ITSecondTable[Tag], ITSecondTable[[#This Row],[Tag]], _xlpm.loc, "&lt;&gt;E-Waste", _xlpm.loc, "&lt;&gt;Virtual", _xlpm.loc, "&lt;&gt;Decommisioned")
)</f>
        <v>2</v>
      </c>
      <c r="D42" s="168">
        <f>_xlfn.LET(_xlpm.loc, ITEquipmentTable[Storage Location],
COUNTIFS(ITSecondTable[Tag], ITSecondTable[[#This Row],[Tag]], _xlpm.loc, "Missing")
)</f>
        <v>0</v>
      </c>
      <c r="E42" s="168">
        <f>_xlfn.LET(_xlpm.loc, ITEquipmentTable[Storage Location],
COUNTIFS(ITSecondTable[Tag], ITSecondTable[[#This Row],[Tag]], _xlpm.loc, "In Use") + COUNTIFS(ITSecondTable[Tag], ITSecondTable[[#This Row],[Tag]], _xlpm.loc, "Assigned to Employee")
)</f>
        <v>0</v>
      </c>
      <c r="F42" s="168">
        <f>_xlfn.LET(_xlpm.loc, ITEquipmentTable[Storage Location],
COUNTIFS(ITSecondTable[Tag], ITSecondTable[[#This Row],[Tag]], _xlpm.loc, "")
)</f>
        <v>2</v>
      </c>
      <c r="G42" s="168">
        <f>MAX(ITSecondTable[[#This Row],[SQty]] - ITSecondTable[[#This Row],[IQty]], 0)</f>
        <v>0</v>
      </c>
      <c r="H42" s="168">
        <f>MAX(ITSecondTable[[#This Row],[IQty]]-ITSecondTable[[#This Row],[SQty]], 0)</f>
        <v>0</v>
      </c>
      <c r="I42" s="151" t="str">
        <f>IFERROR(_xlfn.TEXTJOIN("~", TRUE, ITEquipmentTable[[#This Row],[Type]],ITEquipmentTable[[#This Row],[Brand]],ITEquipmentTable[[#This Row],[Model]]), "")</f>
        <v>Monitor (Touch)~Dell~P2424HT</v>
      </c>
      <c r="J42" s="151" t="b">
        <f xml:space="preserve"> _xlfn.IFNA(MATCH( ITSecondTable[[#This Row],[Tag]], StorageTable[Tag], 0)  &gt; -1, FALSE)</f>
        <v>0</v>
      </c>
      <c r="K42" s="168" t="b">
        <f>COUNTIFS(ITEquipmentTable[Serial], ITEquipmentTable[[#This Row],[Serial]], ITEquipmentTable[Serial], "&lt;&gt;N/A") &gt; 1</f>
        <v>0</v>
      </c>
      <c r="L42" s="168" t="b">
        <f>COUNTIFS(ITEquipmentTable[Name], ITEquipmentTable[[#This Row],[Name]], ITEquipmentTable[Name], "&lt;&gt;&lt;Unassigned&gt;",  ITEquipmentTable[Name], "&lt;&gt;N/A") &gt; 1</f>
        <v>0</v>
      </c>
      <c r="M42" s="168" t="b">
        <f>AND(COUNTIFS(ITEquipmentTable[IPv4 Address], ITEquipmentTable[[#This Row],[IPv4 Address]]) &gt; 1, ITEquipmentTable[[#This Row],[IPv4 Address]] &lt;&gt; "DHCP",  ITEquipmentTable[[#This Row],[IPv4 Address]] &lt;&gt; "N/A")</f>
        <v>0</v>
      </c>
    </row>
    <row r="43" spans="1:13" x14ac:dyDescent="0.2">
      <c r="A43" s="168">
        <f>IF(LEN(ITSecondTable[[#This Row],[Tag]]) &gt; 0, _xlfn.XLOOKUP(ITSecondTable[[#This Row],[Tag]],StorageTable[Tag], StorageTable[In Storage - Count Total], "Err", 0, 1), 0)</f>
        <v>0</v>
      </c>
      <c r="B43" s="1">
        <f>_xlfn.LET(_xlpm.loc, ITEquipmentTable[Storage Location],
COUNTIFS(ITSecondTable[Tag], ITSecondTable[[#This Row],[Tag]], _xlpm.loc, "&lt;&gt;In Use", _xlpm.loc, "&lt;&gt;",  _xlpm.loc, "&lt;&gt;E-Waste", _xlpm.loc, "&lt;&gt;Virtual",  _xlpm.loc, "&lt;&gt;Assigned to Employee", _xlpm.loc, "&lt;&gt;Decommisioned", _xlpm.loc, "&lt;&gt;Missing")
)</f>
        <v>0</v>
      </c>
      <c r="C43" s="1">
        <f>_xlfn.LET(_xlpm.loc, ITEquipmentTable[Storage Location],
COUNTIFS(ITSecondTable[Tag], ITSecondTable[[#This Row],[Tag]], _xlpm.loc, "&lt;&gt;E-Waste", _xlpm.loc, "&lt;&gt;Virtual", _xlpm.loc, "&lt;&gt;Decommisioned")
)</f>
        <v>78</v>
      </c>
      <c r="D43" s="168">
        <f>_xlfn.LET(_xlpm.loc, ITEquipmentTable[Storage Location],
COUNTIFS(ITSecondTable[Tag], ITSecondTable[[#This Row],[Tag]], _xlpm.loc, "Missing")
)</f>
        <v>0</v>
      </c>
      <c r="E43" s="168">
        <f>_xlfn.LET(_xlpm.loc, ITEquipmentTable[Storage Location],
COUNTIFS(ITSecondTable[Tag], ITSecondTable[[#This Row],[Tag]], _xlpm.loc, "In Use") + COUNTIFS(ITSecondTable[Tag], ITSecondTable[[#This Row],[Tag]], _xlpm.loc, "Assigned to Employee")
)</f>
        <v>44</v>
      </c>
      <c r="F43" s="168">
        <f>_xlfn.LET(_xlpm.loc, ITEquipmentTable[Storage Location],
COUNTIFS(ITSecondTable[Tag], ITSecondTable[[#This Row],[Tag]], _xlpm.loc, "")
)</f>
        <v>34</v>
      </c>
      <c r="G43" s="168">
        <f>MAX(ITSecondTable[[#This Row],[SQty]] - ITSecondTable[[#This Row],[IQty]], 0)</f>
        <v>0</v>
      </c>
      <c r="H43" s="168">
        <f>MAX(ITSecondTable[[#This Row],[IQty]]-ITSecondTable[[#This Row],[SQty]], 0)</f>
        <v>0</v>
      </c>
      <c r="I43" s="151" t="str">
        <f>IFERROR(_xlfn.TEXTJOIN("~", TRUE, ITEquipmentTable[[#This Row],[Type]],ITEquipmentTable[[#This Row],[Brand]],ITEquipmentTable[[#This Row],[Model]]), "")</f>
        <v>Laptop~HP</v>
      </c>
      <c r="J43" s="151" t="b">
        <f xml:space="preserve"> _xlfn.IFNA(MATCH( ITSecondTable[[#This Row],[Tag]], StorageTable[Tag], 0)  &gt; -1, FALSE)</f>
        <v>0</v>
      </c>
      <c r="K43" s="168" t="b">
        <f>COUNTIFS(ITEquipmentTable[Serial], ITEquipmentTable[[#This Row],[Serial]], ITEquipmentTable[Serial], "&lt;&gt;N/A") &gt; 1</f>
        <v>0</v>
      </c>
      <c r="L43" s="168" t="b">
        <f>COUNTIFS(ITEquipmentTable[Name], ITEquipmentTable[[#This Row],[Name]], ITEquipmentTable[Name], "&lt;&gt;&lt;Unassigned&gt;",  ITEquipmentTable[Name], "&lt;&gt;N/A") &gt; 1</f>
        <v>0</v>
      </c>
      <c r="M43" s="168" t="b">
        <f>AND(COUNTIFS(ITEquipmentTable[IPv4 Address], ITEquipmentTable[[#This Row],[IPv4 Address]]) &gt; 1, ITEquipmentTable[[#This Row],[IPv4 Address]] &lt;&gt; "DHCP",  ITEquipmentTable[[#This Row],[IPv4 Address]] &lt;&gt; "N/A")</f>
        <v>0</v>
      </c>
    </row>
    <row r="44" spans="1:13" x14ac:dyDescent="0.2">
      <c r="A44" s="168">
        <f>IF(LEN(ITSecondTable[[#This Row],[Tag]]) &gt; 0, _xlfn.XLOOKUP(ITSecondTable[[#This Row],[Tag]],StorageTable[Tag], StorageTable[In Storage - Count Total], "Err", 0, 1), 0)</f>
        <v>0</v>
      </c>
      <c r="B44" s="1">
        <f>_xlfn.LET(_xlpm.loc, ITEquipmentTable[Storage Location],
COUNTIFS(ITSecondTable[Tag], ITSecondTable[[#This Row],[Tag]], _xlpm.loc, "&lt;&gt;In Use", _xlpm.loc, "&lt;&gt;",  _xlpm.loc, "&lt;&gt;E-Waste", _xlpm.loc, "&lt;&gt;Virtual",  _xlpm.loc, "&lt;&gt;Assigned to Employee", _xlpm.loc, "&lt;&gt;Decommisioned", _xlpm.loc, "&lt;&gt;Missing")
)</f>
        <v>0</v>
      </c>
      <c r="C44" s="1">
        <f>_xlfn.LET(_xlpm.loc, ITEquipmentTable[Storage Location],
COUNTIFS(ITSecondTable[Tag], ITSecondTable[[#This Row],[Tag]], _xlpm.loc, "&lt;&gt;E-Waste", _xlpm.loc, "&lt;&gt;Virtual", _xlpm.loc, "&lt;&gt;Decommisioned")
)</f>
        <v>78</v>
      </c>
      <c r="D44" s="168">
        <f>_xlfn.LET(_xlpm.loc, ITEquipmentTable[Storage Location],
COUNTIFS(ITSecondTable[Tag], ITSecondTable[[#This Row],[Tag]], _xlpm.loc, "Missing")
)</f>
        <v>0</v>
      </c>
      <c r="E44" s="168">
        <f>_xlfn.LET(_xlpm.loc, ITEquipmentTable[Storage Location],
COUNTIFS(ITSecondTable[Tag], ITSecondTable[[#This Row],[Tag]], _xlpm.loc, "In Use") + COUNTIFS(ITSecondTable[Tag], ITSecondTable[[#This Row],[Tag]], _xlpm.loc, "Assigned to Employee")
)</f>
        <v>44</v>
      </c>
      <c r="F44" s="168">
        <f>_xlfn.LET(_xlpm.loc, ITEquipmentTable[Storage Location],
COUNTIFS(ITSecondTable[Tag], ITSecondTable[[#This Row],[Tag]], _xlpm.loc, "")
)</f>
        <v>34</v>
      </c>
      <c r="G44" s="168">
        <f>MAX(ITSecondTable[[#This Row],[SQty]] - ITSecondTable[[#This Row],[IQty]], 0)</f>
        <v>0</v>
      </c>
      <c r="H44" s="168">
        <f>MAX(ITSecondTable[[#This Row],[IQty]]-ITSecondTable[[#This Row],[SQty]], 0)</f>
        <v>0</v>
      </c>
      <c r="I44" s="151" t="str">
        <f>IFERROR(_xlfn.TEXTJOIN("~", TRUE, ITEquipmentTable[[#This Row],[Type]],ITEquipmentTable[[#This Row],[Brand]],ITEquipmentTable[[#This Row],[Model]]), "")</f>
        <v>Laptop~HP</v>
      </c>
      <c r="J44" s="151" t="b">
        <f xml:space="preserve"> _xlfn.IFNA(MATCH( ITSecondTable[[#This Row],[Tag]], StorageTable[Tag], 0)  &gt; -1, FALSE)</f>
        <v>0</v>
      </c>
      <c r="K44" s="168" t="b">
        <f>COUNTIFS(ITEquipmentTable[Serial], ITEquipmentTable[[#This Row],[Serial]], ITEquipmentTable[Serial], "&lt;&gt;N/A") &gt; 1</f>
        <v>0</v>
      </c>
      <c r="L44" s="168" t="b">
        <f>COUNTIFS(ITEquipmentTable[Name], ITEquipmentTable[[#This Row],[Name]], ITEquipmentTable[Name], "&lt;&gt;&lt;Unassigned&gt;",  ITEquipmentTable[Name], "&lt;&gt;N/A") &gt; 1</f>
        <v>0</v>
      </c>
      <c r="M44" s="168" t="b">
        <f>AND(COUNTIFS(ITEquipmentTable[IPv4 Address], ITEquipmentTable[[#This Row],[IPv4 Address]]) &gt; 1, ITEquipmentTable[[#This Row],[IPv4 Address]] &lt;&gt; "DHCP",  ITEquipmentTable[[#This Row],[IPv4 Address]] &lt;&gt; "N/A")</f>
        <v>0</v>
      </c>
    </row>
    <row r="45" spans="1:13" x14ac:dyDescent="0.2">
      <c r="A45" s="168">
        <f>IF(LEN(ITSecondTable[[#This Row],[Tag]]) &gt; 0, _xlfn.XLOOKUP(ITSecondTable[[#This Row],[Tag]],StorageTable[Tag], StorageTable[In Storage - Count Total], "Err", 0, 1), 0)</f>
        <v>0</v>
      </c>
      <c r="B45" s="1">
        <f>_xlfn.LET(_xlpm.loc, ITEquipmentTable[Storage Location],
COUNTIFS(ITSecondTable[Tag], ITSecondTable[[#This Row],[Tag]], _xlpm.loc, "&lt;&gt;In Use", _xlpm.loc, "&lt;&gt;",  _xlpm.loc, "&lt;&gt;E-Waste", _xlpm.loc, "&lt;&gt;Virtual",  _xlpm.loc, "&lt;&gt;Assigned to Employee", _xlpm.loc, "&lt;&gt;Decommisioned", _xlpm.loc, "&lt;&gt;Missing")
)</f>
        <v>0</v>
      </c>
      <c r="C45" s="1">
        <f>_xlfn.LET(_xlpm.loc, ITEquipmentTable[Storage Location],
COUNTIFS(ITSecondTable[Tag], ITSecondTable[[#This Row],[Tag]], _xlpm.loc, "&lt;&gt;E-Waste", _xlpm.loc, "&lt;&gt;Virtual", _xlpm.loc, "&lt;&gt;Decommisioned")
)</f>
        <v>29</v>
      </c>
      <c r="D45" s="168">
        <f>_xlfn.LET(_xlpm.loc, ITEquipmentTable[Storage Location],
COUNTIFS(ITSecondTable[Tag], ITSecondTable[[#This Row],[Tag]], _xlpm.loc, "Missing")
)</f>
        <v>0</v>
      </c>
      <c r="E45" s="168">
        <f>_xlfn.LET(_xlpm.loc, ITEquipmentTable[Storage Location],
COUNTIFS(ITSecondTable[Tag], ITSecondTable[[#This Row],[Tag]], _xlpm.loc, "In Use") + COUNTIFS(ITSecondTable[Tag], ITSecondTable[[#This Row],[Tag]], _xlpm.loc, "Assigned to Employee")
)</f>
        <v>3</v>
      </c>
      <c r="F45" s="168">
        <f>_xlfn.LET(_xlpm.loc, ITEquipmentTable[Storage Location],
COUNTIFS(ITSecondTable[Tag], ITSecondTable[[#This Row],[Tag]], _xlpm.loc, "")
)</f>
        <v>26</v>
      </c>
      <c r="G45" s="168">
        <f>MAX(ITSecondTable[[#This Row],[SQty]] - ITSecondTable[[#This Row],[IQty]], 0)</f>
        <v>0</v>
      </c>
      <c r="H45" s="168">
        <f>MAX(ITSecondTable[[#This Row],[IQty]]-ITSecondTable[[#This Row],[SQty]], 0)</f>
        <v>0</v>
      </c>
      <c r="I45" s="151" t="str">
        <f>IFERROR(_xlfn.TEXTJOIN("~", TRUE, ITEquipmentTable[[#This Row],[Type]],ITEquipmentTable[[#This Row],[Brand]],ITEquipmentTable[[#This Row],[Model]]), "")</f>
        <v>Laptop~HP~HP ProBook 650 G2</v>
      </c>
      <c r="J45" s="151" t="b">
        <f xml:space="preserve"> _xlfn.IFNA(MATCH( ITSecondTable[[#This Row],[Tag]], StorageTable[Tag], 0)  &gt; -1, FALSE)</f>
        <v>0</v>
      </c>
      <c r="K45" s="168" t="b">
        <f>COUNTIFS(ITEquipmentTable[Serial], ITEquipmentTable[[#This Row],[Serial]], ITEquipmentTable[Serial], "&lt;&gt;N/A") &gt; 1</f>
        <v>0</v>
      </c>
      <c r="L45" s="168" t="b">
        <f>COUNTIFS(ITEquipmentTable[Name], ITEquipmentTable[[#This Row],[Name]], ITEquipmentTable[Name], "&lt;&gt;&lt;Unassigned&gt;",  ITEquipmentTable[Name], "&lt;&gt;N/A") &gt; 1</f>
        <v>0</v>
      </c>
      <c r="M45" s="168" t="b">
        <f>AND(COUNTIFS(ITEquipmentTable[IPv4 Address], ITEquipmentTable[[#This Row],[IPv4 Address]]) &gt; 1, ITEquipmentTable[[#This Row],[IPv4 Address]] &lt;&gt; "DHCP",  ITEquipmentTable[[#This Row],[IPv4 Address]] &lt;&gt; "N/A")</f>
        <v>0</v>
      </c>
    </row>
    <row r="46" spans="1:13" x14ac:dyDescent="0.2">
      <c r="A46" s="168">
        <f>IF(LEN(ITSecondTable[[#This Row],[Tag]]) &gt; 0, _xlfn.XLOOKUP(ITSecondTable[[#This Row],[Tag]],StorageTable[Tag], StorageTable[In Storage - Count Total], "Err", 0, 1), 0)</f>
        <v>0</v>
      </c>
      <c r="B46" s="1">
        <f>_xlfn.LET(_xlpm.loc, ITEquipmentTable[Storage Location],
COUNTIFS(ITSecondTable[Tag], ITSecondTable[[#This Row],[Tag]], _xlpm.loc, "&lt;&gt;In Use", _xlpm.loc, "&lt;&gt;",  _xlpm.loc, "&lt;&gt;E-Waste", _xlpm.loc, "&lt;&gt;Virtual",  _xlpm.loc, "&lt;&gt;Assigned to Employee", _xlpm.loc, "&lt;&gt;Decommisioned", _xlpm.loc, "&lt;&gt;Missing")
)</f>
        <v>0</v>
      </c>
      <c r="C46" s="1">
        <f>_xlfn.LET(_xlpm.loc, ITEquipmentTable[Storage Location],
COUNTIFS(ITSecondTable[Tag], ITSecondTable[[#This Row],[Tag]], _xlpm.loc, "&lt;&gt;E-Waste", _xlpm.loc, "&lt;&gt;Virtual", _xlpm.loc, "&lt;&gt;Decommisioned")
)</f>
        <v>29</v>
      </c>
      <c r="D46" s="168">
        <f>_xlfn.LET(_xlpm.loc, ITEquipmentTable[Storage Location],
COUNTIFS(ITSecondTable[Tag], ITSecondTable[[#This Row],[Tag]], _xlpm.loc, "Missing")
)</f>
        <v>0</v>
      </c>
      <c r="E46" s="168">
        <f>_xlfn.LET(_xlpm.loc, ITEquipmentTable[Storage Location],
COUNTIFS(ITSecondTable[Tag], ITSecondTable[[#This Row],[Tag]], _xlpm.loc, "In Use") + COUNTIFS(ITSecondTable[Tag], ITSecondTable[[#This Row],[Tag]], _xlpm.loc, "Assigned to Employee")
)</f>
        <v>3</v>
      </c>
      <c r="F46" s="168">
        <f>_xlfn.LET(_xlpm.loc, ITEquipmentTable[Storage Location],
COUNTIFS(ITSecondTable[Tag], ITSecondTable[[#This Row],[Tag]], _xlpm.loc, "")
)</f>
        <v>26</v>
      </c>
      <c r="G46" s="168">
        <f>MAX(ITSecondTable[[#This Row],[SQty]] - ITSecondTable[[#This Row],[IQty]], 0)</f>
        <v>0</v>
      </c>
      <c r="H46" s="168">
        <f>MAX(ITSecondTable[[#This Row],[IQty]]-ITSecondTable[[#This Row],[SQty]], 0)</f>
        <v>0</v>
      </c>
      <c r="I46" s="151" t="str">
        <f>IFERROR(_xlfn.TEXTJOIN("~", TRUE, ITEquipmentTable[[#This Row],[Type]],ITEquipmentTable[[#This Row],[Brand]],ITEquipmentTable[[#This Row],[Model]]), "")</f>
        <v>Laptop~HP~HP ProBook 650 G2</v>
      </c>
      <c r="J46" s="151" t="b">
        <f xml:space="preserve"> _xlfn.IFNA(MATCH( ITSecondTable[[#This Row],[Tag]], StorageTable[Tag], 0)  &gt; -1, FALSE)</f>
        <v>0</v>
      </c>
      <c r="K46" s="168" t="b">
        <f>COUNTIFS(ITEquipmentTable[Serial], ITEquipmentTable[[#This Row],[Serial]], ITEquipmentTable[Serial], "&lt;&gt;N/A") &gt; 1</f>
        <v>0</v>
      </c>
      <c r="L46" s="168" t="b">
        <f>COUNTIFS(ITEquipmentTable[Name], ITEquipmentTable[[#This Row],[Name]], ITEquipmentTable[Name], "&lt;&gt;&lt;Unassigned&gt;",  ITEquipmentTable[Name], "&lt;&gt;N/A") &gt; 1</f>
        <v>0</v>
      </c>
      <c r="M46" s="168" t="b">
        <f>AND(COUNTIFS(ITEquipmentTable[IPv4 Address], ITEquipmentTable[[#This Row],[IPv4 Address]]) &gt; 1, ITEquipmentTable[[#This Row],[IPv4 Address]] &lt;&gt; "DHCP",  ITEquipmentTable[[#This Row],[IPv4 Address]] &lt;&gt; "N/A")</f>
        <v>0</v>
      </c>
    </row>
    <row r="47" spans="1:13" x14ac:dyDescent="0.2">
      <c r="A47" s="168">
        <f>IF(LEN(ITSecondTable[[#This Row],[Tag]]) &gt; 0, _xlfn.XLOOKUP(ITSecondTable[[#This Row],[Tag]],StorageTable[Tag], StorageTable[In Storage - Count Total], "Err", 0, 1), 0)</f>
        <v>0</v>
      </c>
      <c r="B47" s="1">
        <f>_xlfn.LET(_xlpm.loc, ITEquipmentTable[Storage Location],
COUNTIFS(ITSecondTable[Tag], ITSecondTable[[#This Row],[Tag]], _xlpm.loc, "&lt;&gt;In Use", _xlpm.loc, "&lt;&gt;",  _xlpm.loc, "&lt;&gt;E-Waste", _xlpm.loc, "&lt;&gt;Virtual",  _xlpm.loc, "&lt;&gt;Assigned to Employee", _xlpm.loc, "&lt;&gt;Decommisioned", _xlpm.loc, "&lt;&gt;Missing")
)</f>
        <v>2</v>
      </c>
      <c r="C47" s="1">
        <f>_xlfn.LET(_xlpm.loc, ITEquipmentTable[Storage Location],
COUNTIFS(ITSecondTable[Tag], ITSecondTable[[#This Row],[Tag]], _xlpm.loc, "&lt;&gt;E-Waste", _xlpm.loc, "&lt;&gt;Virtual", _xlpm.loc, "&lt;&gt;Decommisioned")
)</f>
        <v>13</v>
      </c>
      <c r="D47" s="168">
        <f>_xlfn.LET(_xlpm.loc, ITEquipmentTable[Storage Location],
COUNTIFS(ITSecondTable[Tag], ITSecondTable[[#This Row],[Tag]], _xlpm.loc, "Missing")
)</f>
        <v>0</v>
      </c>
      <c r="E47" s="168">
        <f>_xlfn.LET(_xlpm.loc, ITEquipmentTable[Storage Location],
COUNTIFS(ITSecondTable[Tag], ITSecondTable[[#This Row],[Tag]], _xlpm.loc, "In Use") + COUNTIFS(ITSecondTable[Tag], ITSecondTable[[#This Row],[Tag]], _xlpm.loc, "Assigned to Employee")
)</f>
        <v>1</v>
      </c>
      <c r="F47" s="168">
        <f>_xlfn.LET(_xlpm.loc, ITEquipmentTable[Storage Location],
COUNTIFS(ITSecondTable[Tag], ITSecondTable[[#This Row],[Tag]], _xlpm.loc, "")
)</f>
        <v>10</v>
      </c>
      <c r="G47" s="168">
        <f>MAX(ITSecondTable[[#This Row],[SQty]] - ITSecondTable[[#This Row],[IQty]], 0)</f>
        <v>2</v>
      </c>
      <c r="H47" s="168">
        <f>MAX(ITSecondTable[[#This Row],[IQty]]-ITSecondTable[[#This Row],[SQty]], 0)</f>
        <v>0</v>
      </c>
      <c r="I47" s="151" t="str">
        <f>IFERROR(_xlfn.TEXTJOIN("~", TRUE, ITEquipmentTable[[#This Row],[Type]],ITEquipmentTable[[#This Row],[Brand]],ITEquipmentTable[[#This Row],[Model]]), "")</f>
        <v>Laptop~HP~HP ProBook 650 G1</v>
      </c>
      <c r="J47" s="151" t="b">
        <f xml:space="preserve"> _xlfn.IFNA(MATCH( ITSecondTable[[#This Row],[Tag]], StorageTable[Tag], 0)  &gt; -1, FALSE)</f>
        <v>0</v>
      </c>
      <c r="K47" s="168" t="b">
        <f>COUNTIFS(ITEquipmentTable[Serial], ITEquipmentTable[[#This Row],[Serial]], ITEquipmentTable[Serial], "&lt;&gt;N/A") &gt; 1</f>
        <v>0</v>
      </c>
      <c r="L47" s="168" t="b">
        <f>COUNTIFS(ITEquipmentTable[Name], ITEquipmentTable[[#This Row],[Name]], ITEquipmentTable[Name], "&lt;&gt;&lt;Unassigned&gt;",  ITEquipmentTable[Name], "&lt;&gt;N/A") &gt; 1</f>
        <v>0</v>
      </c>
      <c r="M47" s="168" t="b">
        <f>AND(COUNTIFS(ITEquipmentTable[IPv4 Address], ITEquipmentTable[[#This Row],[IPv4 Address]]) &gt; 1, ITEquipmentTable[[#This Row],[IPv4 Address]] &lt;&gt; "DHCP",  ITEquipmentTable[[#This Row],[IPv4 Address]] &lt;&gt; "N/A")</f>
        <v>0</v>
      </c>
    </row>
    <row r="48" spans="1:13" x14ac:dyDescent="0.2">
      <c r="A48" s="168">
        <f>IF(LEN(ITSecondTable[[#This Row],[Tag]]) &gt; 0, _xlfn.XLOOKUP(ITSecondTable[[#This Row],[Tag]],StorageTable[Tag], StorageTable[In Storage - Count Total], "Err", 0, 1), 0)</f>
        <v>0</v>
      </c>
      <c r="B48" s="1">
        <f>_xlfn.LET(_xlpm.loc, ITEquipmentTable[Storage Location],
COUNTIFS(ITSecondTable[Tag], ITSecondTable[[#This Row],[Tag]], _xlpm.loc, "&lt;&gt;In Use", _xlpm.loc, "&lt;&gt;",  _xlpm.loc, "&lt;&gt;E-Waste", _xlpm.loc, "&lt;&gt;Virtual",  _xlpm.loc, "&lt;&gt;Assigned to Employee", _xlpm.loc, "&lt;&gt;Decommisioned", _xlpm.loc, "&lt;&gt;Missing")
)</f>
        <v>0</v>
      </c>
      <c r="C48" s="1">
        <f>_xlfn.LET(_xlpm.loc, ITEquipmentTable[Storage Location],
COUNTIFS(ITSecondTable[Tag], ITSecondTable[[#This Row],[Tag]], _xlpm.loc, "&lt;&gt;E-Waste", _xlpm.loc, "&lt;&gt;Virtual", _xlpm.loc, "&lt;&gt;Decommisioned")
)</f>
        <v>21</v>
      </c>
      <c r="D48" s="168">
        <f>_xlfn.LET(_xlpm.loc, ITEquipmentTable[Storage Location],
COUNTIFS(ITSecondTable[Tag], ITSecondTable[[#This Row],[Tag]], _xlpm.loc, "Missing")
)</f>
        <v>0</v>
      </c>
      <c r="E48" s="168">
        <f>_xlfn.LET(_xlpm.loc, ITEquipmentTable[Storage Location],
COUNTIFS(ITSecondTable[Tag], ITSecondTable[[#This Row],[Tag]], _xlpm.loc, "In Use") + COUNTIFS(ITSecondTable[Tag], ITSecondTable[[#This Row],[Tag]], _xlpm.loc, "Assigned to Employee")
)</f>
        <v>3</v>
      </c>
      <c r="F48" s="168">
        <f>_xlfn.LET(_xlpm.loc, ITEquipmentTable[Storage Location],
COUNTIFS(ITSecondTable[Tag], ITSecondTable[[#This Row],[Tag]], _xlpm.loc, "")
)</f>
        <v>18</v>
      </c>
      <c r="G48" s="168">
        <f>MAX(ITSecondTable[[#This Row],[SQty]] - ITSecondTable[[#This Row],[IQty]], 0)</f>
        <v>0</v>
      </c>
      <c r="H48" s="168">
        <f>MAX(ITSecondTable[[#This Row],[IQty]]-ITSecondTable[[#This Row],[SQty]], 0)</f>
        <v>0</v>
      </c>
      <c r="I48" s="151" t="str">
        <f>IFERROR(_xlfn.TEXTJOIN("~", TRUE, ITEquipmentTable[[#This Row],[Type]],ITEquipmentTable[[#This Row],[Brand]],ITEquipmentTable[[#This Row],[Model]]), "")</f>
        <v/>
      </c>
      <c r="J48" s="151" t="b">
        <f xml:space="preserve"> _xlfn.IFNA(MATCH( ITSecondTable[[#This Row],[Tag]], StorageTable[Tag], 0)  &gt; -1, FALSE)</f>
        <v>0</v>
      </c>
      <c r="K48" s="168" t="b">
        <f>COUNTIFS(ITEquipmentTable[Serial], ITEquipmentTable[[#This Row],[Serial]], ITEquipmentTable[Serial], "&lt;&gt;N/A") &gt; 1</f>
        <v>0</v>
      </c>
      <c r="L48" s="168" t="b">
        <f>COUNTIFS(ITEquipmentTable[Name], ITEquipmentTable[[#This Row],[Name]], ITEquipmentTable[Name], "&lt;&gt;&lt;Unassigned&gt;",  ITEquipmentTable[Name], "&lt;&gt;N/A") &gt; 1</f>
        <v>0</v>
      </c>
      <c r="M48" s="168" t="b">
        <f>AND(COUNTIFS(ITEquipmentTable[IPv4 Address], ITEquipmentTable[[#This Row],[IPv4 Address]]) &gt; 1, ITEquipmentTable[[#This Row],[IPv4 Address]] &lt;&gt; "DHCP",  ITEquipmentTable[[#This Row],[IPv4 Address]] &lt;&gt; "N/A")</f>
        <v>0</v>
      </c>
    </row>
    <row r="49" spans="1:13" x14ac:dyDescent="0.2">
      <c r="A49" s="168">
        <f>IF(LEN(ITSecondTable[[#This Row],[Tag]]) &gt; 0, _xlfn.XLOOKUP(ITSecondTable[[#This Row],[Tag]],StorageTable[Tag], StorageTable[In Storage - Count Total], "Err", 0, 1), 0)</f>
        <v>0</v>
      </c>
      <c r="B49" s="1">
        <f>_xlfn.LET(_xlpm.loc, ITEquipmentTable[Storage Location],
COUNTIFS(ITSecondTable[Tag], ITSecondTable[[#This Row],[Tag]], _xlpm.loc, "&lt;&gt;In Use", _xlpm.loc, "&lt;&gt;",  _xlpm.loc, "&lt;&gt;E-Waste", _xlpm.loc, "&lt;&gt;Virtual",  _xlpm.loc, "&lt;&gt;Assigned to Employee", _xlpm.loc, "&lt;&gt;Decommisioned", _xlpm.loc, "&lt;&gt;Missing")
)</f>
        <v>0</v>
      </c>
      <c r="C49" s="1">
        <f>_xlfn.LET(_xlpm.loc, ITEquipmentTable[Storage Location],
COUNTIFS(ITSecondTable[Tag], ITSecondTable[[#This Row],[Tag]], _xlpm.loc, "&lt;&gt;E-Waste", _xlpm.loc, "&lt;&gt;Virtual", _xlpm.loc, "&lt;&gt;Decommisioned")
)</f>
        <v>29</v>
      </c>
      <c r="D49" s="168">
        <f>_xlfn.LET(_xlpm.loc, ITEquipmentTable[Storage Location],
COUNTIFS(ITSecondTable[Tag], ITSecondTable[[#This Row],[Tag]], _xlpm.loc, "Missing")
)</f>
        <v>0</v>
      </c>
      <c r="E49" s="168">
        <f>_xlfn.LET(_xlpm.loc, ITEquipmentTable[Storage Location],
COUNTIFS(ITSecondTable[Tag], ITSecondTable[[#This Row],[Tag]], _xlpm.loc, "In Use") + COUNTIFS(ITSecondTable[Tag], ITSecondTable[[#This Row],[Tag]], _xlpm.loc, "Assigned to Employee")
)</f>
        <v>3</v>
      </c>
      <c r="F49" s="168">
        <f>_xlfn.LET(_xlpm.loc, ITEquipmentTable[Storage Location],
COUNTIFS(ITSecondTable[Tag], ITSecondTable[[#This Row],[Tag]], _xlpm.loc, "")
)</f>
        <v>26</v>
      </c>
      <c r="G49" s="168">
        <f>MAX(ITSecondTable[[#This Row],[SQty]] - ITSecondTable[[#This Row],[IQty]], 0)</f>
        <v>0</v>
      </c>
      <c r="H49" s="168">
        <f>MAX(ITSecondTable[[#This Row],[IQty]]-ITSecondTable[[#This Row],[SQty]], 0)</f>
        <v>0</v>
      </c>
      <c r="I49" s="151" t="str">
        <f>IFERROR(_xlfn.TEXTJOIN("~", TRUE, ITEquipmentTable[[#This Row],[Type]],ITEquipmentTable[[#This Row],[Brand]],ITEquipmentTable[[#This Row],[Model]]), "")</f>
        <v>Laptop~HP~HP ProBook 650 G2</v>
      </c>
      <c r="J49" s="151" t="b">
        <f xml:space="preserve"> _xlfn.IFNA(MATCH( ITSecondTable[[#This Row],[Tag]], StorageTable[Tag], 0)  &gt; -1, FALSE)</f>
        <v>0</v>
      </c>
      <c r="K49" s="168" t="b">
        <f>COUNTIFS(ITEquipmentTable[Serial], ITEquipmentTable[[#This Row],[Serial]], ITEquipmentTable[Serial], "&lt;&gt;N/A") &gt; 1</f>
        <v>0</v>
      </c>
      <c r="L49" s="168" t="b">
        <f>COUNTIFS(ITEquipmentTable[Name], ITEquipmentTable[[#This Row],[Name]], ITEquipmentTable[Name], "&lt;&gt;&lt;Unassigned&gt;",  ITEquipmentTable[Name], "&lt;&gt;N/A") &gt; 1</f>
        <v>0</v>
      </c>
      <c r="M49" s="168" t="b">
        <f>AND(COUNTIFS(ITEquipmentTable[IPv4 Address], ITEquipmentTable[[#This Row],[IPv4 Address]]) &gt; 1, ITEquipmentTable[[#This Row],[IPv4 Address]] &lt;&gt; "DHCP",  ITEquipmentTable[[#This Row],[IPv4 Address]] &lt;&gt; "N/A")</f>
        <v>0</v>
      </c>
    </row>
    <row r="50" spans="1:13" x14ac:dyDescent="0.2">
      <c r="A50" s="168">
        <f>IF(LEN(ITSecondTable[[#This Row],[Tag]]) &gt; 0, _xlfn.XLOOKUP(ITSecondTable[[#This Row],[Tag]],StorageTable[Tag], StorageTable[In Storage - Count Total], "Err", 0, 1), 0)</f>
        <v>0</v>
      </c>
      <c r="B50" s="1">
        <f>_xlfn.LET(_xlpm.loc, ITEquipmentTable[Storage Location],
COUNTIFS(ITSecondTable[Tag], ITSecondTable[[#This Row],[Tag]], _xlpm.loc, "&lt;&gt;In Use", _xlpm.loc, "&lt;&gt;",  _xlpm.loc, "&lt;&gt;E-Waste", _xlpm.loc, "&lt;&gt;Virtual",  _xlpm.loc, "&lt;&gt;Assigned to Employee", _xlpm.loc, "&lt;&gt;Decommisioned", _xlpm.loc, "&lt;&gt;Missing")
)</f>
        <v>0</v>
      </c>
      <c r="C50" s="1">
        <f>_xlfn.LET(_xlpm.loc, ITEquipmentTable[Storage Location],
COUNTIFS(ITSecondTable[Tag], ITSecondTable[[#This Row],[Tag]], _xlpm.loc, "&lt;&gt;E-Waste", _xlpm.loc, "&lt;&gt;Virtual", _xlpm.loc, "&lt;&gt;Decommisioned")
)</f>
        <v>32</v>
      </c>
      <c r="D50" s="168">
        <f>_xlfn.LET(_xlpm.loc, ITEquipmentTable[Storage Location],
COUNTIFS(ITSecondTable[Tag], ITSecondTable[[#This Row],[Tag]], _xlpm.loc, "Missing")
)</f>
        <v>0</v>
      </c>
      <c r="E50" s="168">
        <f>_xlfn.LET(_xlpm.loc, ITEquipmentTable[Storage Location],
COUNTIFS(ITSecondTable[Tag], ITSecondTable[[#This Row],[Tag]], _xlpm.loc, "In Use") + COUNTIFS(ITSecondTable[Tag], ITSecondTable[[#This Row],[Tag]], _xlpm.loc, "Assigned to Employee")
)</f>
        <v>26</v>
      </c>
      <c r="F50" s="168">
        <f>_xlfn.LET(_xlpm.loc, ITEquipmentTable[Storage Location],
COUNTIFS(ITSecondTable[Tag], ITSecondTable[[#This Row],[Tag]], _xlpm.loc, "")
)</f>
        <v>6</v>
      </c>
      <c r="G50" s="168">
        <f>MAX(ITSecondTable[[#This Row],[SQty]] - ITSecondTable[[#This Row],[IQty]], 0)</f>
        <v>0</v>
      </c>
      <c r="H50" s="168">
        <f>MAX(ITSecondTable[[#This Row],[IQty]]-ITSecondTable[[#This Row],[SQty]], 0)</f>
        <v>0</v>
      </c>
      <c r="I50" s="151" t="str">
        <f>IFERROR(_xlfn.TEXTJOIN("~", TRUE, ITEquipmentTable[[#This Row],[Type]],ITEquipmentTable[[#This Row],[Brand]],ITEquipmentTable[[#This Row],[Model]]), "")</f>
        <v>Desktop</v>
      </c>
      <c r="J50" s="151" t="b">
        <f xml:space="preserve"> _xlfn.IFNA(MATCH( ITSecondTable[[#This Row],[Tag]], StorageTable[Tag], 0)  &gt; -1, FALSE)</f>
        <v>1</v>
      </c>
      <c r="K50" s="168" t="b">
        <f>COUNTIFS(ITEquipmentTable[Serial], ITEquipmentTable[[#This Row],[Serial]], ITEquipmentTable[Serial], "&lt;&gt;N/A") &gt; 1</f>
        <v>0</v>
      </c>
      <c r="L50" s="168" t="b">
        <f>COUNTIFS(ITEquipmentTable[Name], ITEquipmentTable[[#This Row],[Name]], ITEquipmentTable[Name], "&lt;&gt;&lt;Unassigned&gt;",  ITEquipmentTable[Name], "&lt;&gt;N/A") &gt; 1</f>
        <v>0</v>
      </c>
      <c r="M50" s="168" t="b">
        <f>AND(COUNTIFS(ITEquipmentTable[IPv4 Address], ITEquipmentTable[[#This Row],[IPv4 Address]]) &gt; 1, ITEquipmentTable[[#This Row],[IPv4 Address]] &lt;&gt; "DHCP",  ITEquipmentTable[[#This Row],[IPv4 Address]] &lt;&gt; "N/A")</f>
        <v>0</v>
      </c>
    </row>
    <row r="51" spans="1:13" x14ac:dyDescent="0.2">
      <c r="A51" s="168">
        <f>IF(LEN(ITSecondTable[[#This Row],[Tag]]) &gt; 0, _xlfn.XLOOKUP(ITSecondTable[[#This Row],[Tag]],StorageTable[Tag], StorageTable[In Storage - Count Total], "Err", 0, 1), 0)</f>
        <v>0</v>
      </c>
      <c r="B51" s="1">
        <f>_xlfn.LET(_xlpm.loc, ITEquipmentTable[Storage Location],
COUNTIFS(ITSecondTable[Tag], ITSecondTable[[#This Row],[Tag]], _xlpm.loc, "&lt;&gt;In Use", _xlpm.loc, "&lt;&gt;",  _xlpm.loc, "&lt;&gt;E-Waste", _xlpm.loc, "&lt;&gt;Virtual",  _xlpm.loc, "&lt;&gt;Assigned to Employee", _xlpm.loc, "&lt;&gt;Decommisioned", _xlpm.loc, "&lt;&gt;Missing")
)</f>
        <v>0</v>
      </c>
      <c r="C51" s="1">
        <f>_xlfn.LET(_xlpm.loc, ITEquipmentTable[Storage Location],
COUNTIFS(ITSecondTable[Tag], ITSecondTable[[#This Row],[Tag]], _xlpm.loc, "&lt;&gt;E-Waste", _xlpm.loc, "&lt;&gt;Virtual", _xlpm.loc, "&lt;&gt;Decommisioned")
)</f>
        <v>32</v>
      </c>
      <c r="D51" s="168">
        <f>_xlfn.LET(_xlpm.loc, ITEquipmentTable[Storage Location],
COUNTIFS(ITSecondTable[Tag], ITSecondTable[[#This Row],[Tag]], _xlpm.loc, "Missing")
)</f>
        <v>0</v>
      </c>
      <c r="E51" s="168">
        <f>_xlfn.LET(_xlpm.loc, ITEquipmentTable[Storage Location],
COUNTIFS(ITSecondTable[Tag], ITSecondTable[[#This Row],[Tag]], _xlpm.loc, "In Use") + COUNTIFS(ITSecondTable[Tag], ITSecondTable[[#This Row],[Tag]], _xlpm.loc, "Assigned to Employee")
)</f>
        <v>26</v>
      </c>
      <c r="F51" s="168">
        <f>_xlfn.LET(_xlpm.loc, ITEquipmentTable[Storage Location],
COUNTIFS(ITSecondTable[Tag], ITSecondTable[[#This Row],[Tag]], _xlpm.loc, "")
)</f>
        <v>6</v>
      </c>
      <c r="G51" s="168">
        <f>MAX(ITSecondTable[[#This Row],[SQty]] - ITSecondTable[[#This Row],[IQty]], 0)</f>
        <v>0</v>
      </c>
      <c r="H51" s="168">
        <f>MAX(ITSecondTable[[#This Row],[IQty]]-ITSecondTable[[#This Row],[SQty]], 0)</f>
        <v>0</v>
      </c>
      <c r="I51" s="151" t="str">
        <f>IFERROR(_xlfn.TEXTJOIN("~", TRUE, ITEquipmentTable[[#This Row],[Type]],ITEquipmentTable[[#This Row],[Brand]],ITEquipmentTable[[#This Row],[Model]]), "")</f>
        <v>Desktop</v>
      </c>
      <c r="J51" s="151" t="b">
        <f xml:space="preserve"> _xlfn.IFNA(MATCH( ITSecondTable[[#This Row],[Tag]], StorageTable[Tag], 0)  &gt; -1, FALSE)</f>
        <v>1</v>
      </c>
      <c r="K51" s="168" t="b">
        <f>COUNTIFS(ITEquipmentTable[Serial], ITEquipmentTable[[#This Row],[Serial]], ITEquipmentTable[Serial], "&lt;&gt;N/A") &gt; 1</f>
        <v>0</v>
      </c>
      <c r="L51" s="168" t="b">
        <f>COUNTIFS(ITEquipmentTable[Name], ITEquipmentTable[[#This Row],[Name]], ITEquipmentTable[Name], "&lt;&gt;&lt;Unassigned&gt;",  ITEquipmentTable[Name], "&lt;&gt;N/A") &gt; 1</f>
        <v>0</v>
      </c>
      <c r="M51" s="168" t="b">
        <f>AND(COUNTIFS(ITEquipmentTable[IPv4 Address], ITEquipmentTable[[#This Row],[IPv4 Address]]) &gt; 1, ITEquipmentTable[[#This Row],[IPv4 Address]] &lt;&gt; "DHCP",  ITEquipmentTable[[#This Row],[IPv4 Address]] &lt;&gt; "N/A")</f>
        <v>0</v>
      </c>
    </row>
    <row r="52" spans="1:13" x14ac:dyDescent="0.2">
      <c r="A52" s="168">
        <f>IF(LEN(ITSecondTable[[#This Row],[Tag]]) &gt; 0, _xlfn.XLOOKUP(ITSecondTable[[#This Row],[Tag]],StorageTable[Tag], StorageTable[In Storage - Count Total], "Err", 0, 1), 0)</f>
        <v>0</v>
      </c>
      <c r="B52" s="1">
        <f>_xlfn.LET(_xlpm.loc, ITEquipmentTable[Storage Location],
COUNTIFS(ITSecondTable[Tag], ITSecondTable[[#This Row],[Tag]], _xlpm.loc, "&lt;&gt;In Use", _xlpm.loc, "&lt;&gt;",  _xlpm.loc, "&lt;&gt;E-Waste", _xlpm.loc, "&lt;&gt;Virtual",  _xlpm.loc, "&lt;&gt;Assigned to Employee", _xlpm.loc, "&lt;&gt;Decommisioned", _xlpm.loc, "&lt;&gt;Missing")
)</f>
        <v>0</v>
      </c>
      <c r="C52" s="1">
        <f>_xlfn.LET(_xlpm.loc, ITEquipmentTable[Storage Location],
COUNTIFS(ITSecondTable[Tag], ITSecondTable[[#This Row],[Tag]], _xlpm.loc, "&lt;&gt;E-Waste", _xlpm.loc, "&lt;&gt;Virtual", _xlpm.loc, "&lt;&gt;Decommisioned")
)</f>
        <v>32</v>
      </c>
      <c r="D52" s="168">
        <f>_xlfn.LET(_xlpm.loc, ITEquipmentTable[Storage Location],
COUNTIFS(ITSecondTable[Tag], ITSecondTable[[#This Row],[Tag]], _xlpm.loc, "Missing")
)</f>
        <v>0</v>
      </c>
      <c r="E52" s="168">
        <f>_xlfn.LET(_xlpm.loc, ITEquipmentTable[Storage Location],
COUNTIFS(ITSecondTable[Tag], ITSecondTable[[#This Row],[Tag]], _xlpm.loc, "In Use") + COUNTIFS(ITSecondTable[Tag], ITSecondTable[[#This Row],[Tag]], _xlpm.loc, "Assigned to Employee")
)</f>
        <v>26</v>
      </c>
      <c r="F52" s="168">
        <f>_xlfn.LET(_xlpm.loc, ITEquipmentTable[Storage Location],
COUNTIFS(ITSecondTable[Tag], ITSecondTable[[#This Row],[Tag]], _xlpm.loc, "")
)</f>
        <v>6</v>
      </c>
      <c r="G52" s="168">
        <f>MAX(ITSecondTable[[#This Row],[SQty]] - ITSecondTable[[#This Row],[IQty]], 0)</f>
        <v>0</v>
      </c>
      <c r="H52" s="168">
        <f>MAX(ITSecondTable[[#This Row],[IQty]]-ITSecondTable[[#This Row],[SQty]], 0)</f>
        <v>0</v>
      </c>
      <c r="I52" s="151" t="str">
        <f>IFERROR(_xlfn.TEXTJOIN("~", TRUE, ITEquipmentTable[[#This Row],[Type]],ITEquipmentTable[[#This Row],[Brand]],ITEquipmentTable[[#This Row],[Model]]), "")</f>
        <v>Desktop</v>
      </c>
      <c r="J52" s="151" t="b">
        <f xml:space="preserve"> _xlfn.IFNA(MATCH( ITSecondTable[[#This Row],[Tag]], StorageTable[Tag], 0)  &gt; -1, FALSE)</f>
        <v>1</v>
      </c>
      <c r="K52" s="168" t="b">
        <f>COUNTIFS(ITEquipmentTable[Serial], ITEquipmentTable[[#This Row],[Serial]], ITEquipmentTable[Serial], "&lt;&gt;N/A") &gt; 1</f>
        <v>0</v>
      </c>
      <c r="L52" s="168" t="b">
        <f>COUNTIFS(ITEquipmentTable[Name], ITEquipmentTable[[#This Row],[Name]], ITEquipmentTable[Name], "&lt;&gt;&lt;Unassigned&gt;",  ITEquipmentTable[Name], "&lt;&gt;N/A") &gt; 1</f>
        <v>0</v>
      </c>
      <c r="M52" s="168" t="b">
        <f>AND(COUNTIFS(ITEquipmentTable[IPv4 Address], ITEquipmentTable[[#This Row],[IPv4 Address]]) &gt; 1, ITEquipmentTable[[#This Row],[IPv4 Address]] &lt;&gt; "DHCP",  ITEquipmentTable[[#This Row],[IPv4 Address]] &lt;&gt; "N/A")</f>
        <v>0</v>
      </c>
    </row>
    <row r="53" spans="1:13" x14ac:dyDescent="0.2">
      <c r="A53" s="168">
        <f>IF(LEN(ITSecondTable[[#This Row],[Tag]]) &gt; 0, _xlfn.XLOOKUP(ITSecondTable[[#This Row],[Tag]],StorageTable[Tag], StorageTable[In Storage - Count Total], "Err", 0, 1), 0)</f>
        <v>0</v>
      </c>
      <c r="B53" s="1">
        <f>_xlfn.LET(_xlpm.loc, ITEquipmentTable[Storage Location],
COUNTIFS(ITSecondTable[Tag], ITSecondTable[[#This Row],[Tag]], _xlpm.loc, "&lt;&gt;In Use", _xlpm.loc, "&lt;&gt;",  _xlpm.loc, "&lt;&gt;E-Waste", _xlpm.loc, "&lt;&gt;Virtual",  _xlpm.loc, "&lt;&gt;Assigned to Employee", _xlpm.loc, "&lt;&gt;Decommisioned", _xlpm.loc, "&lt;&gt;Missing")
)</f>
        <v>0</v>
      </c>
      <c r="C53" s="1">
        <f>_xlfn.LET(_xlpm.loc, ITEquipmentTable[Storage Location],
COUNTIFS(ITSecondTable[Tag], ITSecondTable[[#This Row],[Tag]], _xlpm.loc, "&lt;&gt;E-Waste", _xlpm.loc, "&lt;&gt;Virtual", _xlpm.loc, "&lt;&gt;Decommisioned")
)</f>
        <v>2</v>
      </c>
      <c r="D53" s="168">
        <f>_xlfn.LET(_xlpm.loc, ITEquipmentTable[Storage Location],
COUNTIFS(ITSecondTable[Tag], ITSecondTable[[#This Row],[Tag]], _xlpm.loc, "Missing")
)</f>
        <v>0</v>
      </c>
      <c r="E53" s="168">
        <f>_xlfn.LET(_xlpm.loc, ITEquipmentTable[Storage Location],
COUNTIFS(ITSecondTable[Tag], ITSecondTable[[#This Row],[Tag]], _xlpm.loc, "In Use") + COUNTIFS(ITSecondTable[Tag], ITSecondTable[[#This Row],[Tag]], _xlpm.loc, "Assigned to Employee")
)</f>
        <v>0</v>
      </c>
      <c r="F53" s="168">
        <f>_xlfn.LET(_xlpm.loc, ITEquipmentTable[Storage Location],
COUNTIFS(ITSecondTable[Tag], ITSecondTable[[#This Row],[Tag]], _xlpm.loc, "")
)</f>
        <v>2</v>
      </c>
      <c r="G53" s="168">
        <f>MAX(ITSecondTable[[#This Row],[SQty]] - ITSecondTable[[#This Row],[IQty]], 0)</f>
        <v>0</v>
      </c>
      <c r="H53" s="168">
        <f>MAX(ITSecondTable[[#This Row],[IQty]]-ITSecondTable[[#This Row],[SQty]], 0)</f>
        <v>0</v>
      </c>
      <c r="I53" s="151" t="str">
        <f>IFERROR(_xlfn.TEXTJOIN("~", TRUE, ITEquipmentTable[[#This Row],[Type]],ITEquipmentTable[[#This Row],[Brand]],ITEquipmentTable[[#This Row],[Model]]), "")</f>
        <v>Monitor (Touch)~Dell~P2424HT</v>
      </c>
      <c r="J53" s="151" t="b">
        <f xml:space="preserve"> _xlfn.IFNA(MATCH( ITSecondTable[[#This Row],[Tag]], StorageTable[Tag], 0)  &gt; -1, FALSE)</f>
        <v>0</v>
      </c>
      <c r="K53" s="168" t="b">
        <f>COUNTIFS(ITEquipmentTable[Serial], ITEquipmentTable[[#This Row],[Serial]], ITEquipmentTable[Serial], "&lt;&gt;N/A") &gt; 1</f>
        <v>0</v>
      </c>
      <c r="L53" s="168" t="b">
        <f>COUNTIFS(ITEquipmentTable[Name], ITEquipmentTable[[#This Row],[Name]], ITEquipmentTable[Name], "&lt;&gt;&lt;Unassigned&gt;",  ITEquipmentTable[Name], "&lt;&gt;N/A") &gt; 1</f>
        <v>0</v>
      </c>
      <c r="M53" s="168" t="b">
        <f>AND(COUNTIFS(ITEquipmentTable[IPv4 Address], ITEquipmentTable[[#This Row],[IPv4 Address]]) &gt; 1, ITEquipmentTable[[#This Row],[IPv4 Address]] &lt;&gt; "DHCP",  ITEquipmentTable[[#This Row],[IPv4 Address]] &lt;&gt; "N/A")</f>
        <v>0</v>
      </c>
    </row>
    <row r="54" spans="1:13" x14ac:dyDescent="0.2">
      <c r="A54" s="168">
        <f>IF(LEN(ITSecondTable[[#This Row],[Tag]]) &gt; 0, _xlfn.XLOOKUP(ITSecondTable[[#This Row],[Tag]],StorageTable[Tag], StorageTable[In Storage - Count Total], "Err", 0, 1), 0)</f>
        <v>1</v>
      </c>
      <c r="B54" s="1">
        <f>_xlfn.LET(_xlpm.loc, ITEquipmentTable[Storage Location],
COUNTIFS(ITSecondTable[Tag], ITSecondTable[[#This Row],[Tag]], _xlpm.loc, "&lt;&gt;In Use", _xlpm.loc, "&lt;&gt;",  _xlpm.loc, "&lt;&gt;E-Waste", _xlpm.loc, "&lt;&gt;Virtual",  _xlpm.loc, "&lt;&gt;Assigned to Employee", _xlpm.loc, "&lt;&gt;Decommisioned", _xlpm.loc, "&lt;&gt;Missing")
)</f>
        <v>3</v>
      </c>
      <c r="C54" s="1">
        <f>_xlfn.LET(_xlpm.loc, ITEquipmentTable[Storage Location],
COUNTIFS(ITSecondTable[Tag], ITSecondTable[[#This Row],[Tag]], _xlpm.loc, "&lt;&gt;E-Waste", _xlpm.loc, "&lt;&gt;Virtual", _xlpm.loc, "&lt;&gt;Decommisioned")
)</f>
        <v>10</v>
      </c>
      <c r="D54" s="168">
        <f>_xlfn.LET(_xlpm.loc, ITEquipmentTable[Storage Location],
COUNTIFS(ITSecondTable[Tag], ITSecondTable[[#This Row],[Tag]], _xlpm.loc, "Missing")
)</f>
        <v>0</v>
      </c>
      <c r="E54" s="168">
        <f>_xlfn.LET(_xlpm.loc, ITEquipmentTable[Storage Location],
COUNTIFS(ITSecondTable[Tag], ITSecondTable[[#This Row],[Tag]], _xlpm.loc, "In Use") + COUNTIFS(ITSecondTable[Tag], ITSecondTable[[#This Row],[Tag]], _xlpm.loc, "Assigned to Employee")
)</f>
        <v>6</v>
      </c>
      <c r="F54" s="168">
        <f>_xlfn.LET(_xlpm.loc, ITEquipmentTable[Storage Location],
COUNTIFS(ITSecondTable[Tag], ITSecondTable[[#This Row],[Tag]], _xlpm.loc, "")
)</f>
        <v>1</v>
      </c>
      <c r="G54" s="168">
        <f>MAX(ITSecondTable[[#This Row],[SQty]] - ITSecondTable[[#This Row],[IQty]], 0)</f>
        <v>2</v>
      </c>
      <c r="H54" s="168">
        <f>MAX(ITSecondTable[[#This Row],[IQty]]-ITSecondTable[[#This Row],[SQty]], 0)</f>
        <v>0</v>
      </c>
      <c r="I54" s="151" t="str">
        <f>IFERROR(_xlfn.TEXTJOIN("~", TRUE, ITEquipmentTable[[#This Row],[Type]],ITEquipmentTable[[#This Row],[Brand]],ITEquipmentTable[[#This Row],[Model]]), "")</f>
        <v>Desktop~Dell~OptiPlex 3060</v>
      </c>
      <c r="J54" s="151" t="b">
        <f xml:space="preserve"> _xlfn.IFNA(MATCH( ITSecondTable[[#This Row],[Tag]], StorageTable[Tag], 0)  &gt; -1, FALSE)</f>
        <v>0</v>
      </c>
      <c r="K54" s="168" t="b">
        <f>COUNTIFS(ITEquipmentTable[Serial], ITEquipmentTable[[#This Row],[Serial]], ITEquipmentTable[Serial], "&lt;&gt;N/A") &gt; 1</f>
        <v>0</v>
      </c>
      <c r="L54" s="168" t="b">
        <f>COUNTIFS(ITEquipmentTable[Name], ITEquipmentTable[[#This Row],[Name]], ITEquipmentTable[Name], "&lt;&gt;&lt;Unassigned&gt;",  ITEquipmentTable[Name], "&lt;&gt;N/A") &gt; 1</f>
        <v>0</v>
      </c>
      <c r="M54" s="168" t="b">
        <f>AND(COUNTIFS(ITEquipmentTable[IPv4 Address], ITEquipmentTable[[#This Row],[IPv4 Address]]) &gt; 1, ITEquipmentTable[[#This Row],[IPv4 Address]] &lt;&gt; "DHCP",  ITEquipmentTable[[#This Row],[IPv4 Address]] &lt;&gt; "N/A")</f>
        <v>0</v>
      </c>
    </row>
    <row r="55" spans="1:13" x14ac:dyDescent="0.2">
      <c r="A55" s="168">
        <f>IF(LEN(ITSecondTable[[#This Row],[Tag]]) &gt; 0, _xlfn.XLOOKUP(ITSecondTable[[#This Row],[Tag]],StorageTable[Tag], StorageTable[In Storage - Count Total], "Err", 0, 1), 0)</f>
        <v>1</v>
      </c>
      <c r="B55" s="1">
        <f>_xlfn.LET(_xlpm.loc, ITEquipmentTable[Storage Location],
COUNTIFS(ITSecondTable[Tag], ITSecondTable[[#This Row],[Tag]], _xlpm.loc, "&lt;&gt;In Use", _xlpm.loc, "&lt;&gt;",  _xlpm.loc, "&lt;&gt;E-Waste", _xlpm.loc, "&lt;&gt;Virtual",  _xlpm.loc, "&lt;&gt;Assigned to Employee", _xlpm.loc, "&lt;&gt;Decommisioned", _xlpm.loc, "&lt;&gt;Missing")
)</f>
        <v>3</v>
      </c>
      <c r="C55" s="1">
        <f>_xlfn.LET(_xlpm.loc, ITEquipmentTable[Storage Location],
COUNTIFS(ITSecondTable[Tag], ITSecondTable[[#This Row],[Tag]], _xlpm.loc, "&lt;&gt;E-Waste", _xlpm.loc, "&lt;&gt;Virtual", _xlpm.loc, "&lt;&gt;Decommisioned")
)</f>
        <v>10</v>
      </c>
      <c r="D55" s="168">
        <f>_xlfn.LET(_xlpm.loc, ITEquipmentTable[Storage Location],
COUNTIFS(ITSecondTable[Tag], ITSecondTable[[#This Row],[Tag]], _xlpm.loc, "Missing")
)</f>
        <v>0</v>
      </c>
      <c r="E55" s="168">
        <f>_xlfn.LET(_xlpm.loc, ITEquipmentTable[Storage Location],
COUNTIFS(ITSecondTable[Tag], ITSecondTable[[#This Row],[Tag]], _xlpm.loc, "In Use") + COUNTIFS(ITSecondTable[Tag], ITSecondTable[[#This Row],[Tag]], _xlpm.loc, "Assigned to Employee")
)</f>
        <v>6</v>
      </c>
      <c r="F55" s="168">
        <f>_xlfn.LET(_xlpm.loc, ITEquipmentTable[Storage Location],
COUNTIFS(ITSecondTable[Tag], ITSecondTable[[#This Row],[Tag]], _xlpm.loc, "")
)</f>
        <v>1</v>
      </c>
      <c r="G55" s="168">
        <f>MAX(ITSecondTable[[#This Row],[SQty]] - ITSecondTable[[#This Row],[IQty]], 0)</f>
        <v>2</v>
      </c>
      <c r="H55" s="168">
        <f>MAX(ITSecondTable[[#This Row],[IQty]]-ITSecondTable[[#This Row],[SQty]], 0)</f>
        <v>0</v>
      </c>
      <c r="I55" s="151" t="str">
        <f>IFERROR(_xlfn.TEXTJOIN("~", TRUE, ITEquipmentTable[[#This Row],[Type]],ITEquipmentTable[[#This Row],[Brand]],ITEquipmentTable[[#This Row],[Model]]), "")</f>
        <v>Desktop~Dell~OptiPlex 3060</v>
      </c>
      <c r="J55" s="151" t="b">
        <f xml:space="preserve"> _xlfn.IFNA(MATCH( ITSecondTable[[#This Row],[Tag]], StorageTable[Tag], 0)  &gt; -1, FALSE)</f>
        <v>0</v>
      </c>
      <c r="K55" s="168" t="b">
        <f>COUNTIFS(ITEquipmentTable[Serial], ITEquipmentTable[[#This Row],[Serial]], ITEquipmentTable[Serial], "&lt;&gt;N/A") &gt; 1</f>
        <v>0</v>
      </c>
      <c r="L55" s="168" t="b">
        <f>COUNTIFS(ITEquipmentTable[Name], ITEquipmentTable[[#This Row],[Name]], ITEquipmentTable[Name], "&lt;&gt;&lt;Unassigned&gt;",  ITEquipmentTable[Name], "&lt;&gt;N/A") &gt; 1</f>
        <v>0</v>
      </c>
      <c r="M55" s="168" t="b">
        <f>AND(COUNTIFS(ITEquipmentTable[IPv4 Address], ITEquipmentTable[[#This Row],[IPv4 Address]]) &gt; 1, ITEquipmentTable[[#This Row],[IPv4 Address]] &lt;&gt; "DHCP",  ITEquipmentTable[[#This Row],[IPv4 Address]] &lt;&gt; "N/A")</f>
        <v>0</v>
      </c>
    </row>
    <row r="56" spans="1:13" x14ac:dyDescent="0.2">
      <c r="A56" s="168">
        <f>IF(LEN(ITSecondTable[[#This Row],[Tag]]) &gt; 0, _xlfn.XLOOKUP(ITSecondTable[[#This Row],[Tag]],StorageTable[Tag], StorageTable[In Storage - Count Total], "Err", 0, 1), 0)</f>
        <v>1</v>
      </c>
      <c r="B56" s="1">
        <f>_xlfn.LET(_xlpm.loc, ITEquipmentTable[Storage Location],
COUNTIFS(ITSecondTable[Tag], ITSecondTable[[#This Row],[Tag]], _xlpm.loc, "&lt;&gt;In Use", _xlpm.loc, "&lt;&gt;",  _xlpm.loc, "&lt;&gt;E-Waste", _xlpm.loc, "&lt;&gt;Virtual",  _xlpm.loc, "&lt;&gt;Assigned to Employee", _xlpm.loc, "&lt;&gt;Decommisioned", _xlpm.loc, "&lt;&gt;Missing")
)</f>
        <v>3</v>
      </c>
      <c r="C56" s="1">
        <f>_xlfn.LET(_xlpm.loc, ITEquipmentTable[Storage Location],
COUNTIFS(ITSecondTable[Tag], ITSecondTable[[#This Row],[Tag]], _xlpm.loc, "&lt;&gt;E-Waste", _xlpm.loc, "&lt;&gt;Virtual", _xlpm.loc, "&lt;&gt;Decommisioned")
)</f>
        <v>10</v>
      </c>
      <c r="D56" s="168">
        <f>_xlfn.LET(_xlpm.loc, ITEquipmentTable[Storage Location],
COUNTIFS(ITSecondTable[Tag], ITSecondTable[[#This Row],[Tag]], _xlpm.loc, "Missing")
)</f>
        <v>0</v>
      </c>
      <c r="E56" s="168">
        <f>_xlfn.LET(_xlpm.loc, ITEquipmentTable[Storage Location],
COUNTIFS(ITSecondTable[Tag], ITSecondTable[[#This Row],[Tag]], _xlpm.loc, "In Use") + COUNTIFS(ITSecondTable[Tag], ITSecondTable[[#This Row],[Tag]], _xlpm.loc, "Assigned to Employee")
)</f>
        <v>6</v>
      </c>
      <c r="F56" s="168">
        <f>_xlfn.LET(_xlpm.loc, ITEquipmentTable[Storage Location],
COUNTIFS(ITSecondTable[Tag], ITSecondTable[[#This Row],[Tag]], _xlpm.loc, "")
)</f>
        <v>1</v>
      </c>
      <c r="G56" s="168">
        <f>MAX(ITSecondTable[[#This Row],[SQty]] - ITSecondTable[[#This Row],[IQty]], 0)</f>
        <v>2</v>
      </c>
      <c r="H56" s="168">
        <f>MAX(ITSecondTable[[#This Row],[IQty]]-ITSecondTable[[#This Row],[SQty]], 0)</f>
        <v>0</v>
      </c>
      <c r="I56" s="151" t="str">
        <f>IFERROR(_xlfn.TEXTJOIN("~", TRUE, ITEquipmentTable[[#This Row],[Type]],ITEquipmentTable[[#This Row],[Brand]],ITEquipmentTable[[#This Row],[Model]]), "")</f>
        <v>Desktop~Dell~OptiPlex 3060</v>
      </c>
      <c r="J56" s="151" t="b">
        <f xml:space="preserve"> _xlfn.IFNA(MATCH( ITSecondTable[[#This Row],[Tag]], StorageTable[Tag], 0)  &gt; -1, FALSE)</f>
        <v>0</v>
      </c>
      <c r="K56" s="168" t="b">
        <f>COUNTIFS(ITEquipmentTable[Serial], ITEquipmentTable[[#This Row],[Serial]], ITEquipmentTable[Serial], "&lt;&gt;N/A") &gt; 1</f>
        <v>0</v>
      </c>
      <c r="L56" s="168" t="b">
        <f>COUNTIFS(ITEquipmentTable[Name], ITEquipmentTable[[#This Row],[Name]], ITEquipmentTable[Name], "&lt;&gt;&lt;Unassigned&gt;",  ITEquipmentTable[Name], "&lt;&gt;N/A") &gt; 1</f>
        <v>0</v>
      </c>
      <c r="M56" s="168" t="b">
        <f>AND(COUNTIFS(ITEquipmentTable[IPv4 Address], ITEquipmentTable[[#This Row],[IPv4 Address]]) &gt; 1, ITEquipmentTable[[#This Row],[IPv4 Address]] &lt;&gt; "DHCP",  ITEquipmentTable[[#This Row],[IPv4 Address]] &lt;&gt; "N/A")</f>
        <v>0</v>
      </c>
    </row>
    <row r="57" spans="1:13" x14ac:dyDescent="0.2">
      <c r="A57" s="168">
        <f>IF(LEN(ITSecondTable[[#This Row],[Tag]]) &gt; 0, _xlfn.XLOOKUP(ITSecondTable[[#This Row],[Tag]],StorageTable[Tag], StorageTable[In Storage - Count Total], "Err", 0, 1), 0)</f>
        <v>1</v>
      </c>
      <c r="B57" s="1">
        <f>_xlfn.LET(_xlpm.loc, ITEquipmentTable[Storage Location],
COUNTIFS(ITSecondTable[Tag], ITSecondTable[[#This Row],[Tag]], _xlpm.loc, "&lt;&gt;In Use", _xlpm.loc, "&lt;&gt;",  _xlpm.loc, "&lt;&gt;E-Waste", _xlpm.loc, "&lt;&gt;Virtual",  _xlpm.loc, "&lt;&gt;Assigned to Employee", _xlpm.loc, "&lt;&gt;Decommisioned", _xlpm.loc, "&lt;&gt;Missing")
)</f>
        <v>3</v>
      </c>
      <c r="C57" s="1">
        <f>_xlfn.LET(_xlpm.loc, ITEquipmentTable[Storage Location],
COUNTIFS(ITSecondTable[Tag], ITSecondTable[[#This Row],[Tag]], _xlpm.loc, "&lt;&gt;E-Waste", _xlpm.loc, "&lt;&gt;Virtual", _xlpm.loc, "&lt;&gt;Decommisioned")
)</f>
        <v>10</v>
      </c>
      <c r="D57" s="168">
        <f>_xlfn.LET(_xlpm.loc, ITEquipmentTable[Storage Location],
COUNTIFS(ITSecondTable[Tag], ITSecondTable[[#This Row],[Tag]], _xlpm.loc, "Missing")
)</f>
        <v>0</v>
      </c>
      <c r="E57" s="168">
        <f>_xlfn.LET(_xlpm.loc, ITEquipmentTable[Storage Location],
COUNTIFS(ITSecondTable[Tag], ITSecondTable[[#This Row],[Tag]], _xlpm.loc, "In Use") + COUNTIFS(ITSecondTable[Tag], ITSecondTable[[#This Row],[Tag]], _xlpm.loc, "Assigned to Employee")
)</f>
        <v>6</v>
      </c>
      <c r="F57" s="168">
        <f>_xlfn.LET(_xlpm.loc, ITEquipmentTable[Storage Location],
COUNTIFS(ITSecondTable[Tag], ITSecondTable[[#This Row],[Tag]], _xlpm.loc, "")
)</f>
        <v>1</v>
      </c>
      <c r="G57" s="168">
        <f>MAX(ITSecondTable[[#This Row],[SQty]] - ITSecondTable[[#This Row],[IQty]], 0)</f>
        <v>2</v>
      </c>
      <c r="H57" s="168">
        <f>MAX(ITSecondTable[[#This Row],[IQty]]-ITSecondTable[[#This Row],[SQty]], 0)</f>
        <v>0</v>
      </c>
      <c r="I57" s="151" t="str">
        <f>IFERROR(_xlfn.TEXTJOIN("~", TRUE, ITEquipmentTable[[#This Row],[Type]],ITEquipmentTable[[#This Row],[Brand]],ITEquipmentTable[[#This Row],[Model]]), "")</f>
        <v>Desktop~Dell~OptiPlex 3060</v>
      </c>
      <c r="J57" s="151" t="b">
        <f xml:space="preserve"> _xlfn.IFNA(MATCH( ITSecondTable[[#This Row],[Tag]], StorageTable[Tag], 0)  &gt; -1, FALSE)</f>
        <v>0</v>
      </c>
      <c r="K57" s="168" t="b">
        <f>COUNTIFS(ITEquipmentTable[Serial], ITEquipmentTable[[#This Row],[Serial]], ITEquipmentTable[Serial], "&lt;&gt;N/A") &gt; 1</f>
        <v>0</v>
      </c>
      <c r="L57" s="168" t="b">
        <f>COUNTIFS(ITEquipmentTable[Name], ITEquipmentTable[[#This Row],[Name]], ITEquipmentTable[Name], "&lt;&gt;&lt;Unassigned&gt;",  ITEquipmentTable[Name], "&lt;&gt;N/A") &gt; 1</f>
        <v>0</v>
      </c>
      <c r="M57" s="168" t="b">
        <f>AND(COUNTIFS(ITEquipmentTable[IPv4 Address], ITEquipmentTable[[#This Row],[IPv4 Address]]) &gt; 1, ITEquipmentTable[[#This Row],[IPv4 Address]] &lt;&gt; "DHCP",  ITEquipmentTable[[#This Row],[IPv4 Address]] &lt;&gt; "N/A")</f>
        <v>0</v>
      </c>
    </row>
    <row r="58" spans="1:13" x14ac:dyDescent="0.2">
      <c r="A58" s="168">
        <f>IF(LEN(ITSecondTable[[#This Row],[Tag]]) &gt; 0, _xlfn.XLOOKUP(ITSecondTable[[#This Row],[Tag]],StorageTable[Tag], StorageTable[In Storage - Count Total], "Err", 0, 1), 0)</f>
        <v>0</v>
      </c>
      <c r="B58" s="1">
        <f>_xlfn.LET(_xlpm.loc, ITEquipmentTable[Storage Location],
COUNTIFS(ITSecondTable[Tag], ITSecondTable[[#This Row],[Tag]], _xlpm.loc, "&lt;&gt;In Use", _xlpm.loc, "&lt;&gt;",  _xlpm.loc, "&lt;&gt;E-Waste", _xlpm.loc, "&lt;&gt;Virtual",  _xlpm.loc, "&lt;&gt;Assigned to Employee", _xlpm.loc, "&lt;&gt;Decommisioned", _xlpm.loc, "&lt;&gt;Missing")
)</f>
        <v>8</v>
      </c>
      <c r="C58" s="1">
        <f>_xlfn.LET(_xlpm.loc, ITEquipmentTable[Storage Location],
COUNTIFS(ITSecondTable[Tag], ITSecondTable[[#This Row],[Tag]], _xlpm.loc, "&lt;&gt;E-Waste", _xlpm.loc, "&lt;&gt;Virtual", _xlpm.loc, "&lt;&gt;Decommisioned")
)</f>
        <v>27</v>
      </c>
      <c r="D58" s="168">
        <f>_xlfn.LET(_xlpm.loc, ITEquipmentTable[Storage Location],
COUNTIFS(ITSecondTable[Tag], ITSecondTable[[#This Row],[Tag]], _xlpm.loc, "Missing")
)</f>
        <v>0</v>
      </c>
      <c r="E58" s="168">
        <f>_xlfn.LET(_xlpm.loc, ITEquipmentTable[Storage Location],
COUNTIFS(ITSecondTable[Tag], ITSecondTable[[#This Row],[Tag]], _xlpm.loc, "In Use") + COUNTIFS(ITSecondTable[Tag], ITSecondTable[[#This Row],[Tag]], _xlpm.loc, "Assigned to Employee")
)</f>
        <v>12</v>
      </c>
      <c r="F58" s="168">
        <f>_xlfn.LET(_xlpm.loc, ITEquipmentTable[Storage Location],
COUNTIFS(ITSecondTable[Tag], ITSecondTable[[#This Row],[Tag]], _xlpm.loc, "")
)</f>
        <v>7</v>
      </c>
      <c r="G58" s="168">
        <f>MAX(ITSecondTable[[#This Row],[SQty]] - ITSecondTable[[#This Row],[IQty]], 0)</f>
        <v>8</v>
      </c>
      <c r="H58" s="168">
        <f>MAX(ITSecondTable[[#This Row],[IQty]]-ITSecondTable[[#This Row],[SQty]], 0)</f>
        <v>0</v>
      </c>
      <c r="I58" s="151" t="str">
        <f>IFERROR(_xlfn.TEXTJOIN("~", TRUE, ITEquipmentTable[[#This Row],[Type]],ITEquipmentTable[[#This Row],[Brand]],ITEquipmentTable[[#This Row],[Model]]), "")</f>
        <v>Desktop~Dell~OptiPlex 3050</v>
      </c>
      <c r="J58" s="151" t="b">
        <f xml:space="preserve"> _xlfn.IFNA(MATCH( ITSecondTable[[#This Row],[Tag]], StorageTable[Tag], 0)  &gt; -1, FALSE)</f>
        <v>0</v>
      </c>
      <c r="K58" s="168" t="b">
        <f>COUNTIFS(ITEquipmentTable[Serial], ITEquipmentTable[[#This Row],[Serial]], ITEquipmentTable[Serial], "&lt;&gt;N/A") &gt; 1</f>
        <v>0</v>
      </c>
      <c r="L58" s="168" t="b">
        <f>COUNTIFS(ITEquipmentTable[Name], ITEquipmentTable[[#This Row],[Name]], ITEquipmentTable[Name], "&lt;&gt;&lt;Unassigned&gt;",  ITEquipmentTable[Name], "&lt;&gt;N/A") &gt; 1</f>
        <v>0</v>
      </c>
      <c r="M58" s="168" t="b">
        <f>AND(COUNTIFS(ITEquipmentTable[IPv4 Address], ITEquipmentTable[[#This Row],[IPv4 Address]]) &gt; 1, ITEquipmentTable[[#This Row],[IPv4 Address]] &lt;&gt; "DHCP",  ITEquipmentTable[[#This Row],[IPv4 Address]] &lt;&gt; "N/A")</f>
        <v>0</v>
      </c>
    </row>
    <row r="59" spans="1:13" x14ac:dyDescent="0.2">
      <c r="A59" s="168">
        <f>IF(LEN(ITSecondTable[[#This Row],[Tag]]) &gt; 0, _xlfn.XLOOKUP(ITSecondTable[[#This Row],[Tag]],StorageTable[Tag], StorageTable[In Storage - Count Total], "Err", 0, 1), 0)</f>
        <v>0</v>
      </c>
      <c r="B59" s="1">
        <f>_xlfn.LET(_xlpm.loc, ITEquipmentTable[Storage Location],
COUNTIFS(ITSecondTable[Tag], ITSecondTable[[#This Row],[Tag]], _xlpm.loc, "&lt;&gt;In Use", _xlpm.loc, "&lt;&gt;",  _xlpm.loc, "&lt;&gt;E-Waste", _xlpm.loc, "&lt;&gt;Virtual",  _xlpm.loc, "&lt;&gt;Assigned to Employee", _xlpm.loc, "&lt;&gt;Decommisioned", _xlpm.loc, "&lt;&gt;Missing")
)</f>
        <v>8</v>
      </c>
      <c r="C59" s="1">
        <f>_xlfn.LET(_xlpm.loc, ITEquipmentTable[Storage Location],
COUNTIFS(ITSecondTable[Tag], ITSecondTable[[#This Row],[Tag]], _xlpm.loc, "&lt;&gt;E-Waste", _xlpm.loc, "&lt;&gt;Virtual", _xlpm.loc, "&lt;&gt;Decommisioned")
)</f>
        <v>27</v>
      </c>
      <c r="D59" s="168">
        <f>_xlfn.LET(_xlpm.loc, ITEquipmentTable[Storage Location],
COUNTIFS(ITSecondTable[Tag], ITSecondTable[[#This Row],[Tag]], _xlpm.loc, "Missing")
)</f>
        <v>0</v>
      </c>
      <c r="E59" s="168">
        <f>_xlfn.LET(_xlpm.loc, ITEquipmentTable[Storage Location],
COUNTIFS(ITSecondTable[Tag], ITSecondTable[[#This Row],[Tag]], _xlpm.loc, "In Use") + COUNTIFS(ITSecondTable[Tag], ITSecondTable[[#This Row],[Tag]], _xlpm.loc, "Assigned to Employee")
)</f>
        <v>12</v>
      </c>
      <c r="F59" s="168">
        <f>_xlfn.LET(_xlpm.loc, ITEquipmentTable[Storage Location],
COUNTIFS(ITSecondTable[Tag], ITSecondTable[[#This Row],[Tag]], _xlpm.loc, "")
)</f>
        <v>7</v>
      </c>
      <c r="G59" s="168">
        <f>MAX(ITSecondTable[[#This Row],[SQty]] - ITSecondTable[[#This Row],[IQty]], 0)</f>
        <v>8</v>
      </c>
      <c r="H59" s="168">
        <f>MAX(ITSecondTable[[#This Row],[IQty]]-ITSecondTable[[#This Row],[SQty]], 0)</f>
        <v>0</v>
      </c>
      <c r="I59" s="151" t="str">
        <f>IFERROR(_xlfn.TEXTJOIN("~", TRUE, ITEquipmentTable[[#This Row],[Type]],ITEquipmentTable[[#This Row],[Brand]],ITEquipmentTable[[#This Row],[Model]]), "")</f>
        <v>Desktop~Dell~OptiPlex 3050</v>
      </c>
      <c r="J59" s="151" t="b">
        <f xml:space="preserve"> _xlfn.IFNA(MATCH( ITSecondTable[[#This Row],[Tag]], StorageTable[Tag], 0)  &gt; -1, FALSE)</f>
        <v>0</v>
      </c>
      <c r="K59" s="168" t="b">
        <f>COUNTIFS(ITEquipmentTable[Serial], ITEquipmentTable[[#This Row],[Serial]], ITEquipmentTable[Serial], "&lt;&gt;N/A") &gt; 1</f>
        <v>0</v>
      </c>
      <c r="L59" s="168" t="b">
        <f>COUNTIFS(ITEquipmentTable[Name], ITEquipmentTable[[#This Row],[Name]], ITEquipmentTable[Name], "&lt;&gt;&lt;Unassigned&gt;",  ITEquipmentTable[Name], "&lt;&gt;N/A") &gt; 1</f>
        <v>0</v>
      </c>
      <c r="M59" s="168" t="b">
        <f>AND(COUNTIFS(ITEquipmentTable[IPv4 Address], ITEquipmentTable[[#This Row],[IPv4 Address]]) &gt; 1, ITEquipmentTable[[#This Row],[IPv4 Address]] &lt;&gt; "DHCP",  ITEquipmentTable[[#This Row],[IPv4 Address]] &lt;&gt; "N/A")</f>
        <v>0</v>
      </c>
    </row>
    <row r="60" spans="1:13" x14ac:dyDescent="0.2">
      <c r="A60" s="168">
        <f>IF(LEN(ITSecondTable[[#This Row],[Tag]]) &gt; 0, _xlfn.XLOOKUP(ITSecondTable[[#This Row],[Tag]],StorageTable[Tag], StorageTable[In Storage - Count Total], "Err", 0, 1), 0)</f>
        <v>0</v>
      </c>
      <c r="B60" s="1">
        <f>_xlfn.LET(_xlpm.loc, ITEquipmentTable[Storage Location],
COUNTIFS(ITSecondTable[Tag], ITSecondTable[[#This Row],[Tag]], _xlpm.loc, "&lt;&gt;In Use", _xlpm.loc, "&lt;&gt;",  _xlpm.loc, "&lt;&gt;E-Waste", _xlpm.loc, "&lt;&gt;Virtual",  _xlpm.loc, "&lt;&gt;Assigned to Employee", _xlpm.loc, "&lt;&gt;Decommisioned", _xlpm.loc, "&lt;&gt;Missing")
)</f>
        <v>1</v>
      </c>
      <c r="C60" s="1">
        <f>_xlfn.LET(_xlpm.loc, ITEquipmentTable[Storage Location],
COUNTIFS(ITSecondTable[Tag], ITSecondTable[[#This Row],[Tag]], _xlpm.loc, "&lt;&gt;E-Waste", _xlpm.loc, "&lt;&gt;Virtual", _xlpm.loc, "&lt;&gt;Decommisioned")
)</f>
        <v>1</v>
      </c>
      <c r="D60" s="168">
        <f>_xlfn.LET(_xlpm.loc, ITEquipmentTable[Storage Location],
COUNTIFS(ITSecondTable[Tag], ITSecondTable[[#This Row],[Tag]], _xlpm.loc, "Missing")
)</f>
        <v>0</v>
      </c>
      <c r="E60" s="168">
        <f>_xlfn.LET(_xlpm.loc, ITEquipmentTable[Storage Location],
COUNTIFS(ITSecondTable[Tag], ITSecondTable[[#This Row],[Tag]], _xlpm.loc, "In Use") + COUNTIFS(ITSecondTable[Tag], ITSecondTable[[#This Row],[Tag]], _xlpm.loc, "Assigned to Employee")
)</f>
        <v>0</v>
      </c>
      <c r="F60" s="168">
        <f>_xlfn.LET(_xlpm.loc, ITEquipmentTable[Storage Location],
COUNTIFS(ITSecondTable[Tag], ITSecondTable[[#This Row],[Tag]], _xlpm.loc, "")
)</f>
        <v>0</v>
      </c>
      <c r="G60" s="168">
        <f>MAX(ITSecondTable[[#This Row],[SQty]] - ITSecondTable[[#This Row],[IQty]], 0)</f>
        <v>1</v>
      </c>
      <c r="H60" s="168">
        <f>MAX(ITSecondTable[[#This Row],[IQty]]-ITSecondTable[[#This Row],[SQty]], 0)</f>
        <v>0</v>
      </c>
      <c r="I60" s="151" t="str">
        <f>IFERROR(_xlfn.TEXTJOIN("~", TRUE, ITEquipmentTable[[#This Row],[Type]],ITEquipmentTable[[#This Row],[Brand]],ITEquipmentTable[[#This Row],[Model]]), "")</f>
        <v>Laptop~Dell~Dell Precision 7530</v>
      </c>
      <c r="J60" s="151" t="b">
        <f xml:space="preserve"> _xlfn.IFNA(MATCH( ITSecondTable[[#This Row],[Tag]], StorageTable[Tag], 0)  &gt; -1, FALSE)</f>
        <v>0</v>
      </c>
      <c r="K60" s="168" t="b">
        <f>COUNTIFS(ITEquipmentTable[Serial], ITEquipmentTable[[#This Row],[Serial]], ITEquipmentTable[Serial], "&lt;&gt;N/A") &gt; 1</f>
        <v>0</v>
      </c>
      <c r="L60" s="168" t="b">
        <f>COUNTIFS(ITEquipmentTable[Name], ITEquipmentTable[[#This Row],[Name]], ITEquipmentTable[Name], "&lt;&gt;&lt;Unassigned&gt;",  ITEquipmentTable[Name], "&lt;&gt;N/A") &gt; 1</f>
        <v>0</v>
      </c>
      <c r="M60" s="168" t="b">
        <f>AND(COUNTIFS(ITEquipmentTable[IPv4 Address], ITEquipmentTable[[#This Row],[IPv4 Address]]) &gt; 1, ITEquipmentTable[[#This Row],[IPv4 Address]] &lt;&gt; "DHCP",  ITEquipmentTable[[#This Row],[IPv4 Address]] &lt;&gt; "N/A")</f>
        <v>0</v>
      </c>
    </row>
    <row r="61" spans="1:13" x14ac:dyDescent="0.2">
      <c r="A61" s="168">
        <f>IF(LEN(ITSecondTable[[#This Row],[Tag]]) &gt; 0, _xlfn.XLOOKUP(ITSecondTable[[#This Row],[Tag]],StorageTable[Tag], StorageTable[In Storage - Count Total], "Err", 0, 1), 0)</f>
        <v>0</v>
      </c>
      <c r="B61" s="1">
        <f>_xlfn.LET(_xlpm.loc, ITEquipmentTable[Storage Location],
COUNTIFS(ITSecondTable[Tag], ITSecondTable[[#This Row],[Tag]], _xlpm.loc, "&lt;&gt;In Use", _xlpm.loc, "&lt;&gt;",  _xlpm.loc, "&lt;&gt;E-Waste", _xlpm.loc, "&lt;&gt;Virtual",  _xlpm.loc, "&lt;&gt;Assigned to Employee", _xlpm.loc, "&lt;&gt;Decommisioned", _xlpm.loc, "&lt;&gt;Missing")
)</f>
        <v>8</v>
      </c>
      <c r="C61" s="1">
        <f>_xlfn.LET(_xlpm.loc, ITEquipmentTable[Storage Location],
COUNTIFS(ITSecondTable[Tag], ITSecondTable[[#This Row],[Tag]], _xlpm.loc, "&lt;&gt;E-Waste", _xlpm.loc, "&lt;&gt;Virtual", _xlpm.loc, "&lt;&gt;Decommisioned")
)</f>
        <v>27</v>
      </c>
      <c r="D61" s="168">
        <f>_xlfn.LET(_xlpm.loc, ITEquipmentTable[Storage Location],
COUNTIFS(ITSecondTable[Tag], ITSecondTable[[#This Row],[Tag]], _xlpm.loc, "Missing")
)</f>
        <v>0</v>
      </c>
      <c r="E61" s="168">
        <f>_xlfn.LET(_xlpm.loc, ITEquipmentTable[Storage Location],
COUNTIFS(ITSecondTable[Tag], ITSecondTable[[#This Row],[Tag]], _xlpm.loc, "In Use") + COUNTIFS(ITSecondTable[Tag], ITSecondTable[[#This Row],[Tag]], _xlpm.loc, "Assigned to Employee")
)</f>
        <v>12</v>
      </c>
      <c r="F61" s="168">
        <f>_xlfn.LET(_xlpm.loc, ITEquipmentTable[Storage Location],
COUNTIFS(ITSecondTable[Tag], ITSecondTable[[#This Row],[Tag]], _xlpm.loc, "")
)</f>
        <v>7</v>
      </c>
      <c r="G61" s="168">
        <f>MAX(ITSecondTable[[#This Row],[SQty]] - ITSecondTable[[#This Row],[IQty]], 0)</f>
        <v>8</v>
      </c>
      <c r="H61" s="168">
        <f>MAX(ITSecondTable[[#This Row],[IQty]]-ITSecondTable[[#This Row],[SQty]], 0)</f>
        <v>0</v>
      </c>
      <c r="I61" s="151" t="str">
        <f>IFERROR(_xlfn.TEXTJOIN("~", TRUE, ITEquipmentTable[[#This Row],[Type]],ITEquipmentTable[[#This Row],[Brand]],ITEquipmentTable[[#This Row],[Model]]), "")</f>
        <v>Desktop~Dell~OptiPlex 3050</v>
      </c>
      <c r="J61" s="151" t="b">
        <f xml:space="preserve"> _xlfn.IFNA(MATCH( ITSecondTable[[#This Row],[Tag]], StorageTable[Tag], 0)  &gt; -1, FALSE)</f>
        <v>0</v>
      </c>
      <c r="K61" s="168" t="b">
        <f>COUNTIFS(ITEquipmentTable[Serial], ITEquipmentTable[[#This Row],[Serial]], ITEquipmentTable[Serial], "&lt;&gt;N/A") &gt; 1</f>
        <v>0</v>
      </c>
      <c r="L61" s="168" t="b">
        <f>COUNTIFS(ITEquipmentTable[Name], ITEquipmentTable[[#This Row],[Name]], ITEquipmentTable[Name], "&lt;&gt;&lt;Unassigned&gt;",  ITEquipmentTable[Name], "&lt;&gt;N/A") &gt; 1</f>
        <v>0</v>
      </c>
      <c r="M61" s="168" t="b">
        <f>AND(COUNTIFS(ITEquipmentTable[IPv4 Address], ITEquipmentTable[[#This Row],[IPv4 Address]]) &gt; 1, ITEquipmentTable[[#This Row],[IPv4 Address]] &lt;&gt; "DHCP",  ITEquipmentTable[[#This Row],[IPv4 Address]] &lt;&gt; "N/A")</f>
        <v>0</v>
      </c>
    </row>
    <row r="62" spans="1:13" x14ac:dyDescent="0.2">
      <c r="A62" s="168">
        <f>IF(LEN(ITSecondTable[[#This Row],[Tag]]) &gt; 0, _xlfn.XLOOKUP(ITSecondTable[[#This Row],[Tag]],StorageTable[Tag], StorageTable[In Storage - Count Total], "Err", 0, 1), 0)</f>
        <v>0</v>
      </c>
      <c r="B62" s="1">
        <f>_xlfn.LET(_xlpm.loc, ITEquipmentTable[Storage Location],
COUNTIFS(ITSecondTable[Tag], ITSecondTable[[#This Row],[Tag]], _xlpm.loc, "&lt;&gt;In Use", _xlpm.loc, "&lt;&gt;",  _xlpm.loc, "&lt;&gt;E-Waste", _xlpm.loc, "&lt;&gt;Virtual",  _xlpm.loc, "&lt;&gt;Assigned to Employee", _xlpm.loc, "&lt;&gt;Decommisioned", _xlpm.loc, "&lt;&gt;Missing")
)</f>
        <v>8</v>
      </c>
      <c r="C62" s="1">
        <f>_xlfn.LET(_xlpm.loc, ITEquipmentTable[Storage Location],
COUNTIFS(ITSecondTable[Tag], ITSecondTable[[#This Row],[Tag]], _xlpm.loc, "&lt;&gt;E-Waste", _xlpm.loc, "&lt;&gt;Virtual", _xlpm.loc, "&lt;&gt;Decommisioned")
)</f>
        <v>27</v>
      </c>
      <c r="D62" s="168">
        <f>_xlfn.LET(_xlpm.loc, ITEquipmentTable[Storage Location],
COUNTIFS(ITSecondTable[Tag], ITSecondTable[[#This Row],[Tag]], _xlpm.loc, "Missing")
)</f>
        <v>0</v>
      </c>
      <c r="E62" s="168">
        <f>_xlfn.LET(_xlpm.loc, ITEquipmentTable[Storage Location],
COUNTIFS(ITSecondTable[Tag], ITSecondTable[[#This Row],[Tag]], _xlpm.loc, "In Use") + COUNTIFS(ITSecondTable[Tag], ITSecondTable[[#This Row],[Tag]], _xlpm.loc, "Assigned to Employee")
)</f>
        <v>12</v>
      </c>
      <c r="F62" s="168">
        <f>_xlfn.LET(_xlpm.loc, ITEquipmentTable[Storage Location],
COUNTIFS(ITSecondTable[Tag], ITSecondTable[[#This Row],[Tag]], _xlpm.loc, "")
)</f>
        <v>7</v>
      </c>
      <c r="G62" s="168">
        <f>MAX(ITSecondTable[[#This Row],[SQty]] - ITSecondTable[[#This Row],[IQty]], 0)</f>
        <v>8</v>
      </c>
      <c r="H62" s="168">
        <f>MAX(ITSecondTable[[#This Row],[IQty]]-ITSecondTable[[#This Row],[SQty]], 0)</f>
        <v>0</v>
      </c>
      <c r="I62" s="151" t="str">
        <f>IFERROR(_xlfn.TEXTJOIN("~", TRUE, ITEquipmentTable[[#This Row],[Type]],ITEquipmentTable[[#This Row],[Brand]],ITEquipmentTable[[#This Row],[Model]]), "")</f>
        <v>Desktop~Dell~OptiPlex 3050</v>
      </c>
      <c r="J62" s="151" t="b">
        <f xml:space="preserve"> _xlfn.IFNA(MATCH( ITSecondTable[[#This Row],[Tag]], StorageTable[Tag], 0)  &gt; -1, FALSE)</f>
        <v>0</v>
      </c>
      <c r="K62" s="168" t="b">
        <f>COUNTIFS(ITEquipmentTable[Serial], ITEquipmentTable[[#This Row],[Serial]], ITEquipmentTable[Serial], "&lt;&gt;N/A") &gt; 1</f>
        <v>0</v>
      </c>
      <c r="L62" s="168" t="b">
        <f>COUNTIFS(ITEquipmentTable[Name], ITEquipmentTable[[#This Row],[Name]], ITEquipmentTable[Name], "&lt;&gt;&lt;Unassigned&gt;",  ITEquipmentTable[Name], "&lt;&gt;N/A") &gt; 1</f>
        <v>0</v>
      </c>
      <c r="M62" s="168" t="b">
        <f>AND(COUNTIFS(ITEquipmentTable[IPv4 Address], ITEquipmentTable[[#This Row],[IPv4 Address]]) &gt; 1, ITEquipmentTable[[#This Row],[IPv4 Address]] &lt;&gt; "DHCP",  ITEquipmentTable[[#This Row],[IPv4 Address]] &lt;&gt; "N/A")</f>
        <v>0</v>
      </c>
    </row>
    <row r="63" spans="1:13" x14ac:dyDescent="0.2">
      <c r="A63" s="168">
        <f>IF(LEN(ITSecondTable[[#This Row],[Tag]]) &gt; 0, _xlfn.XLOOKUP(ITSecondTable[[#This Row],[Tag]],StorageTable[Tag], StorageTable[In Storage - Count Total], "Err", 0, 1), 0)</f>
        <v>1</v>
      </c>
      <c r="B63" s="1">
        <f>_xlfn.LET(_xlpm.loc, ITEquipmentTable[Storage Location],
COUNTIFS(ITSecondTable[Tag], ITSecondTable[[#This Row],[Tag]], _xlpm.loc, "&lt;&gt;In Use", _xlpm.loc, "&lt;&gt;",  _xlpm.loc, "&lt;&gt;E-Waste", _xlpm.loc, "&lt;&gt;Virtual",  _xlpm.loc, "&lt;&gt;Assigned to Employee", _xlpm.loc, "&lt;&gt;Decommisioned", _xlpm.loc, "&lt;&gt;Missing")
)</f>
        <v>2</v>
      </c>
      <c r="C63" s="1">
        <f>_xlfn.LET(_xlpm.loc, ITEquipmentTable[Storage Location],
COUNTIFS(ITSecondTable[Tag], ITSecondTable[[#This Row],[Tag]], _xlpm.loc, "&lt;&gt;E-Waste", _xlpm.loc, "&lt;&gt;Virtual", _xlpm.loc, "&lt;&gt;Decommisioned")
)</f>
        <v>7</v>
      </c>
      <c r="D63" s="168">
        <f>_xlfn.LET(_xlpm.loc, ITEquipmentTable[Storage Location],
COUNTIFS(ITSecondTable[Tag], ITSecondTable[[#This Row],[Tag]], _xlpm.loc, "Missing")
)</f>
        <v>0</v>
      </c>
      <c r="E63" s="168">
        <f>_xlfn.LET(_xlpm.loc, ITEquipmentTable[Storage Location],
COUNTIFS(ITSecondTable[Tag], ITSecondTable[[#This Row],[Tag]], _xlpm.loc, "In Use") + COUNTIFS(ITSecondTable[Tag], ITSecondTable[[#This Row],[Tag]], _xlpm.loc, "Assigned to Employee")
)</f>
        <v>0</v>
      </c>
      <c r="F63" s="168">
        <f>_xlfn.LET(_xlpm.loc, ITEquipmentTable[Storage Location],
COUNTIFS(ITSecondTable[Tag], ITSecondTable[[#This Row],[Tag]], _xlpm.loc, "")
)</f>
        <v>5</v>
      </c>
      <c r="G63" s="168">
        <f>MAX(ITSecondTable[[#This Row],[SQty]] - ITSecondTable[[#This Row],[IQty]], 0)</f>
        <v>1</v>
      </c>
      <c r="H63" s="168">
        <f>MAX(ITSecondTable[[#This Row],[IQty]]-ITSecondTable[[#This Row],[SQty]], 0)</f>
        <v>0</v>
      </c>
      <c r="I63" s="151" t="str">
        <f>IFERROR(_xlfn.TEXTJOIN("~", TRUE, ITEquipmentTable[[#This Row],[Type]],ITEquipmentTable[[#This Row],[Brand]],ITEquipmentTable[[#This Row],[Model]]), "")</f>
        <v>Laptop~HP~HP ProBook 640 G2</v>
      </c>
      <c r="J63" s="151" t="b">
        <f xml:space="preserve"> _xlfn.IFNA(MATCH( ITSecondTable[[#This Row],[Tag]], StorageTable[Tag], 0)  &gt; -1, FALSE)</f>
        <v>0</v>
      </c>
      <c r="K63" s="168" t="b">
        <f>COUNTIFS(ITEquipmentTable[Serial], ITEquipmentTable[[#This Row],[Serial]], ITEquipmentTable[Serial], "&lt;&gt;N/A") &gt; 1</f>
        <v>0</v>
      </c>
      <c r="L63" s="168" t="b">
        <f>COUNTIFS(ITEquipmentTable[Name], ITEquipmentTable[[#This Row],[Name]], ITEquipmentTable[Name], "&lt;&gt;&lt;Unassigned&gt;",  ITEquipmentTable[Name], "&lt;&gt;N/A") &gt; 1</f>
        <v>0</v>
      </c>
      <c r="M63" s="168" t="b">
        <f>AND(COUNTIFS(ITEquipmentTable[IPv4 Address], ITEquipmentTable[[#This Row],[IPv4 Address]]) &gt; 1, ITEquipmentTable[[#This Row],[IPv4 Address]] &lt;&gt; "DHCP",  ITEquipmentTable[[#This Row],[IPv4 Address]] &lt;&gt; "N/A")</f>
        <v>0</v>
      </c>
    </row>
    <row r="64" spans="1:13" x14ac:dyDescent="0.2">
      <c r="A64" s="168">
        <f>IF(LEN(ITSecondTable[[#This Row],[Tag]]) &gt; 0, _xlfn.XLOOKUP(ITSecondTable[[#This Row],[Tag]],StorageTable[Tag], StorageTable[In Storage - Count Total], "Err", 0, 1), 0)</f>
        <v>0</v>
      </c>
      <c r="B64" s="1">
        <f>_xlfn.LET(_xlpm.loc, ITEquipmentTable[Storage Location],
COUNTIFS(ITSecondTable[Tag], ITSecondTable[[#This Row],[Tag]], _xlpm.loc, "&lt;&gt;In Use", _xlpm.loc, "&lt;&gt;",  _xlpm.loc, "&lt;&gt;E-Waste", _xlpm.loc, "&lt;&gt;Virtual",  _xlpm.loc, "&lt;&gt;Assigned to Employee", _xlpm.loc, "&lt;&gt;Decommisioned", _xlpm.loc, "&lt;&gt;Missing")
)</f>
        <v>0</v>
      </c>
      <c r="C64" s="1">
        <f>_xlfn.LET(_xlpm.loc, ITEquipmentTable[Storage Location],
COUNTIFS(ITSecondTable[Tag], ITSecondTable[[#This Row],[Tag]], _xlpm.loc, "&lt;&gt;E-Waste", _xlpm.loc, "&lt;&gt;Virtual", _xlpm.loc, "&lt;&gt;Decommisioned")
)</f>
        <v>78</v>
      </c>
      <c r="D64" s="168">
        <f>_xlfn.LET(_xlpm.loc, ITEquipmentTable[Storage Location],
COUNTIFS(ITSecondTable[Tag], ITSecondTable[[#This Row],[Tag]], _xlpm.loc, "Missing")
)</f>
        <v>0</v>
      </c>
      <c r="E64" s="168">
        <f>_xlfn.LET(_xlpm.loc, ITEquipmentTable[Storage Location],
COUNTIFS(ITSecondTable[Tag], ITSecondTable[[#This Row],[Tag]], _xlpm.loc, "In Use") + COUNTIFS(ITSecondTable[Tag], ITSecondTable[[#This Row],[Tag]], _xlpm.loc, "Assigned to Employee")
)</f>
        <v>44</v>
      </c>
      <c r="F64" s="168">
        <f>_xlfn.LET(_xlpm.loc, ITEquipmentTable[Storage Location],
COUNTIFS(ITSecondTable[Tag], ITSecondTable[[#This Row],[Tag]], _xlpm.loc, "")
)</f>
        <v>34</v>
      </c>
      <c r="G64" s="168">
        <f>MAX(ITSecondTable[[#This Row],[SQty]] - ITSecondTable[[#This Row],[IQty]], 0)</f>
        <v>0</v>
      </c>
      <c r="H64" s="168">
        <f>MAX(ITSecondTable[[#This Row],[IQty]]-ITSecondTable[[#This Row],[SQty]], 0)</f>
        <v>0</v>
      </c>
      <c r="I64" s="151" t="str">
        <f>IFERROR(_xlfn.TEXTJOIN("~", TRUE, ITEquipmentTable[[#This Row],[Type]],ITEquipmentTable[[#This Row],[Brand]],ITEquipmentTable[[#This Row],[Model]]), "")</f>
        <v>Laptop~HP</v>
      </c>
      <c r="J64" s="151" t="b">
        <f xml:space="preserve"> _xlfn.IFNA(MATCH( ITSecondTable[[#This Row],[Tag]], StorageTable[Tag], 0)  &gt; -1, FALSE)</f>
        <v>0</v>
      </c>
      <c r="K64" s="168" t="b">
        <f>COUNTIFS(ITEquipmentTable[Serial], ITEquipmentTable[[#This Row],[Serial]], ITEquipmentTable[Serial], "&lt;&gt;N/A") &gt; 1</f>
        <v>0</v>
      </c>
      <c r="L64" s="168" t="b">
        <f>COUNTIFS(ITEquipmentTable[Name], ITEquipmentTable[[#This Row],[Name]], ITEquipmentTable[Name], "&lt;&gt;&lt;Unassigned&gt;",  ITEquipmentTable[Name], "&lt;&gt;N/A") &gt; 1</f>
        <v>0</v>
      </c>
      <c r="M64" s="168" t="b">
        <f>AND(COUNTIFS(ITEquipmentTable[IPv4 Address], ITEquipmentTable[[#This Row],[IPv4 Address]]) &gt; 1, ITEquipmentTable[[#This Row],[IPv4 Address]] &lt;&gt; "DHCP",  ITEquipmentTable[[#This Row],[IPv4 Address]] &lt;&gt; "N/A")</f>
        <v>0</v>
      </c>
    </row>
    <row r="65" spans="1:13" x14ac:dyDescent="0.2">
      <c r="A65" s="168">
        <f>IF(LEN(ITSecondTable[[#This Row],[Tag]]) &gt; 0, _xlfn.XLOOKUP(ITSecondTable[[#This Row],[Tag]],StorageTable[Tag], StorageTable[In Storage - Count Total], "Err", 0, 1), 0)</f>
        <v>0</v>
      </c>
      <c r="B65" s="1">
        <f>_xlfn.LET(_xlpm.loc, ITEquipmentTable[Storage Location],
COUNTIFS(ITSecondTable[Tag], ITSecondTable[[#This Row],[Tag]], _xlpm.loc, "&lt;&gt;In Use", _xlpm.loc, "&lt;&gt;",  _xlpm.loc, "&lt;&gt;E-Waste", _xlpm.loc, "&lt;&gt;Virtual",  _xlpm.loc, "&lt;&gt;Assigned to Employee", _xlpm.loc, "&lt;&gt;Decommisioned", _xlpm.loc, "&lt;&gt;Missing")
)</f>
        <v>8</v>
      </c>
      <c r="C65" s="1">
        <f>_xlfn.LET(_xlpm.loc, ITEquipmentTable[Storage Location],
COUNTIFS(ITSecondTable[Tag], ITSecondTable[[#This Row],[Tag]], _xlpm.loc, "&lt;&gt;E-Waste", _xlpm.loc, "&lt;&gt;Virtual", _xlpm.loc, "&lt;&gt;Decommisioned")
)</f>
        <v>27</v>
      </c>
      <c r="D65" s="168">
        <f>_xlfn.LET(_xlpm.loc, ITEquipmentTable[Storage Location],
COUNTIFS(ITSecondTable[Tag], ITSecondTable[[#This Row],[Tag]], _xlpm.loc, "Missing")
)</f>
        <v>0</v>
      </c>
      <c r="E65" s="168">
        <f>_xlfn.LET(_xlpm.loc, ITEquipmentTable[Storage Location],
COUNTIFS(ITSecondTable[Tag], ITSecondTable[[#This Row],[Tag]], _xlpm.loc, "In Use") + COUNTIFS(ITSecondTable[Tag], ITSecondTable[[#This Row],[Tag]], _xlpm.loc, "Assigned to Employee")
)</f>
        <v>12</v>
      </c>
      <c r="F65" s="168">
        <f>_xlfn.LET(_xlpm.loc, ITEquipmentTable[Storage Location],
COUNTIFS(ITSecondTable[Tag], ITSecondTable[[#This Row],[Tag]], _xlpm.loc, "")
)</f>
        <v>7</v>
      </c>
      <c r="G65" s="168">
        <f>MAX(ITSecondTable[[#This Row],[SQty]] - ITSecondTable[[#This Row],[IQty]], 0)</f>
        <v>8</v>
      </c>
      <c r="H65" s="168">
        <f>MAX(ITSecondTable[[#This Row],[IQty]]-ITSecondTable[[#This Row],[SQty]], 0)</f>
        <v>0</v>
      </c>
      <c r="I65" s="151" t="str">
        <f>IFERROR(_xlfn.TEXTJOIN("~", TRUE, ITEquipmentTable[[#This Row],[Type]],ITEquipmentTable[[#This Row],[Brand]],ITEquipmentTable[[#This Row],[Model]]), "")</f>
        <v>Desktop~Dell~OptiPlex 3050</v>
      </c>
      <c r="J65" s="151" t="b">
        <f xml:space="preserve"> _xlfn.IFNA(MATCH( ITSecondTable[[#This Row],[Tag]], StorageTable[Tag], 0)  &gt; -1, FALSE)</f>
        <v>0</v>
      </c>
      <c r="K65" s="168" t="b">
        <f>COUNTIFS(ITEquipmentTable[Serial], ITEquipmentTable[[#This Row],[Serial]], ITEquipmentTable[Serial], "&lt;&gt;N/A") &gt; 1</f>
        <v>0</v>
      </c>
      <c r="L65" s="168" t="b">
        <f>COUNTIFS(ITEquipmentTable[Name], ITEquipmentTable[[#This Row],[Name]], ITEquipmentTable[Name], "&lt;&gt;&lt;Unassigned&gt;",  ITEquipmentTable[Name], "&lt;&gt;N/A") &gt; 1</f>
        <v>0</v>
      </c>
      <c r="M65" s="168" t="b">
        <f>AND(COUNTIFS(ITEquipmentTable[IPv4 Address], ITEquipmentTable[[#This Row],[IPv4 Address]]) &gt; 1, ITEquipmentTable[[#This Row],[IPv4 Address]] &lt;&gt; "DHCP",  ITEquipmentTable[[#This Row],[IPv4 Address]] &lt;&gt; "N/A")</f>
        <v>0</v>
      </c>
    </row>
    <row r="66" spans="1:13" x14ac:dyDescent="0.2">
      <c r="A66" s="168">
        <f>IF(LEN(ITSecondTable[[#This Row],[Tag]]) &gt; 0, _xlfn.XLOOKUP(ITSecondTable[[#This Row],[Tag]],StorageTable[Tag], StorageTable[In Storage - Count Total], "Err", 0, 1), 0)</f>
        <v>0</v>
      </c>
      <c r="B66" s="1">
        <f>_xlfn.LET(_xlpm.loc, ITEquipmentTable[Storage Location],
COUNTIFS(ITSecondTable[Tag], ITSecondTable[[#This Row],[Tag]], _xlpm.loc, "&lt;&gt;In Use", _xlpm.loc, "&lt;&gt;",  _xlpm.loc, "&lt;&gt;E-Waste", _xlpm.loc, "&lt;&gt;Virtual",  _xlpm.loc, "&lt;&gt;Assigned to Employee", _xlpm.loc, "&lt;&gt;Decommisioned", _xlpm.loc, "&lt;&gt;Missing")
)</f>
        <v>0</v>
      </c>
      <c r="C66" s="1">
        <f>_xlfn.LET(_xlpm.loc, ITEquipmentTable[Storage Location],
COUNTIFS(ITSecondTable[Tag], ITSecondTable[[#This Row],[Tag]], _xlpm.loc, "&lt;&gt;E-Waste", _xlpm.loc, "&lt;&gt;Virtual", _xlpm.loc, "&lt;&gt;Decommisioned")
)</f>
        <v>32</v>
      </c>
      <c r="D66" s="168">
        <f>_xlfn.LET(_xlpm.loc, ITEquipmentTable[Storage Location],
COUNTIFS(ITSecondTable[Tag], ITSecondTable[[#This Row],[Tag]], _xlpm.loc, "Missing")
)</f>
        <v>0</v>
      </c>
      <c r="E66" s="168">
        <f>_xlfn.LET(_xlpm.loc, ITEquipmentTable[Storage Location],
COUNTIFS(ITSecondTable[Tag], ITSecondTable[[#This Row],[Tag]], _xlpm.loc, "In Use") + COUNTIFS(ITSecondTable[Tag], ITSecondTable[[#This Row],[Tag]], _xlpm.loc, "Assigned to Employee")
)</f>
        <v>26</v>
      </c>
      <c r="F66" s="168">
        <f>_xlfn.LET(_xlpm.loc, ITEquipmentTable[Storage Location],
COUNTIFS(ITSecondTable[Tag], ITSecondTable[[#This Row],[Tag]], _xlpm.loc, "")
)</f>
        <v>6</v>
      </c>
      <c r="G66" s="168">
        <f>MAX(ITSecondTable[[#This Row],[SQty]] - ITSecondTable[[#This Row],[IQty]], 0)</f>
        <v>0</v>
      </c>
      <c r="H66" s="168">
        <f>MAX(ITSecondTable[[#This Row],[IQty]]-ITSecondTable[[#This Row],[SQty]], 0)</f>
        <v>0</v>
      </c>
      <c r="I66" s="151" t="str">
        <f>IFERROR(_xlfn.TEXTJOIN("~", TRUE, ITEquipmentTable[[#This Row],[Type]],ITEquipmentTable[[#This Row],[Brand]],ITEquipmentTable[[#This Row],[Model]]), "")</f>
        <v>Desktop</v>
      </c>
      <c r="J66" s="151" t="b">
        <f xml:space="preserve"> _xlfn.IFNA(MATCH( ITSecondTable[[#This Row],[Tag]], StorageTable[Tag], 0)  &gt; -1, FALSE)</f>
        <v>1</v>
      </c>
      <c r="K66" s="168" t="b">
        <f>COUNTIFS(ITEquipmentTable[Serial], ITEquipmentTable[[#This Row],[Serial]], ITEquipmentTable[Serial], "&lt;&gt;N/A") &gt; 1</f>
        <v>0</v>
      </c>
      <c r="L66" s="168" t="b">
        <f>COUNTIFS(ITEquipmentTable[Name], ITEquipmentTable[[#This Row],[Name]], ITEquipmentTable[Name], "&lt;&gt;&lt;Unassigned&gt;",  ITEquipmentTable[Name], "&lt;&gt;N/A") &gt; 1</f>
        <v>0</v>
      </c>
      <c r="M66" s="168" t="b">
        <f>AND(COUNTIFS(ITEquipmentTable[IPv4 Address], ITEquipmentTable[[#This Row],[IPv4 Address]]) &gt; 1, ITEquipmentTable[[#This Row],[IPv4 Address]] &lt;&gt; "DHCP",  ITEquipmentTable[[#This Row],[IPv4 Address]] &lt;&gt; "N/A")</f>
        <v>0</v>
      </c>
    </row>
    <row r="67" spans="1:13" x14ac:dyDescent="0.2">
      <c r="A67" s="168">
        <f>IF(LEN(ITSecondTable[[#This Row],[Tag]]) &gt; 0, _xlfn.XLOOKUP(ITSecondTable[[#This Row],[Tag]],StorageTable[Tag], StorageTable[In Storage - Count Total], "Err", 0, 1), 0)</f>
        <v>0</v>
      </c>
      <c r="B67" s="1">
        <f>_xlfn.LET(_xlpm.loc, ITEquipmentTable[Storage Location],
COUNTIFS(ITSecondTable[Tag], ITSecondTable[[#This Row],[Tag]], _xlpm.loc, "&lt;&gt;In Use", _xlpm.loc, "&lt;&gt;",  _xlpm.loc, "&lt;&gt;E-Waste", _xlpm.loc, "&lt;&gt;Virtual",  _xlpm.loc, "&lt;&gt;Assigned to Employee", _xlpm.loc, "&lt;&gt;Decommisioned", _xlpm.loc, "&lt;&gt;Missing")
)</f>
        <v>8</v>
      </c>
      <c r="C67" s="1">
        <f>_xlfn.LET(_xlpm.loc, ITEquipmentTable[Storage Location],
COUNTIFS(ITSecondTable[Tag], ITSecondTable[[#This Row],[Tag]], _xlpm.loc, "&lt;&gt;E-Waste", _xlpm.loc, "&lt;&gt;Virtual", _xlpm.loc, "&lt;&gt;Decommisioned")
)</f>
        <v>27</v>
      </c>
      <c r="D67" s="168">
        <f>_xlfn.LET(_xlpm.loc, ITEquipmentTable[Storage Location],
COUNTIFS(ITSecondTable[Tag], ITSecondTable[[#This Row],[Tag]], _xlpm.loc, "Missing")
)</f>
        <v>0</v>
      </c>
      <c r="E67" s="168">
        <f>_xlfn.LET(_xlpm.loc, ITEquipmentTable[Storage Location],
COUNTIFS(ITSecondTable[Tag], ITSecondTable[[#This Row],[Tag]], _xlpm.loc, "In Use") + COUNTIFS(ITSecondTable[Tag], ITSecondTable[[#This Row],[Tag]], _xlpm.loc, "Assigned to Employee")
)</f>
        <v>12</v>
      </c>
      <c r="F67" s="168">
        <f>_xlfn.LET(_xlpm.loc, ITEquipmentTable[Storage Location],
COUNTIFS(ITSecondTable[Tag], ITSecondTable[[#This Row],[Tag]], _xlpm.loc, "")
)</f>
        <v>7</v>
      </c>
      <c r="G67" s="168">
        <f>MAX(ITSecondTable[[#This Row],[SQty]] - ITSecondTable[[#This Row],[IQty]], 0)</f>
        <v>8</v>
      </c>
      <c r="H67" s="168">
        <f>MAX(ITSecondTable[[#This Row],[IQty]]-ITSecondTable[[#This Row],[SQty]], 0)</f>
        <v>0</v>
      </c>
      <c r="I67" s="151" t="str">
        <f>IFERROR(_xlfn.TEXTJOIN("~", TRUE, ITEquipmentTable[[#This Row],[Type]],ITEquipmentTable[[#This Row],[Brand]],ITEquipmentTable[[#This Row],[Model]]), "")</f>
        <v>Desktop~Dell~OptiPlex 3050</v>
      </c>
      <c r="J67" s="151" t="b">
        <f xml:space="preserve"> _xlfn.IFNA(MATCH( ITSecondTable[[#This Row],[Tag]], StorageTable[Tag], 0)  &gt; -1, FALSE)</f>
        <v>0</v>
      </c>
      <c r="K67" s="168" t="b">
        <f>COUNTIFS(ITEquipmentTable[Serial], ITEquipmentTable[[#This Row],[Serial]], ITEquipmentTable[Serial], "&lt;&gt;N/A") &gt; 1</f>
        <v>0</v>
      </c>
      <c r="L67" s="168" t="b">
        <f>COUNTIFS(ITEquipmentTable[Name], ITEquipmentTable[[#This Row],[Name]], ITEquipmentTable[Name], "&lt;&gt;&lt;Unassigned&gt;",  ITEquipmentTable[Name], "&lt;&gt;N/A") &gt; 1</f>
        <v>0</v>
      </c>
      <c r="M67" s="168" t="b">
        <f>AND(COUNTIFS(ITEquipmentTable[IPv4 Address], ITEquipmentTable[[#This Row],[IPv4 Address]]) &gt; 1, ITEquipmentTable[[#This Row],[IPv4 Address]] &lt;&gt; "DHCP",  ITEquipmentTable[[#This Row],[IPv4 Address]] &lt;&gt; "N/A")</f>
        <v>0</v>
      </c>
    </row>
    <row r="68" spans="1:13" x14ac:dyDescent="0.2">
      <c r="A68" s="168">
        <f>IF(LEN(ITSecondTable[[#This Row],[Tag]]) &gt; 0, _xlfn.XLOOKUP(ITSecondTable[[#This Row],[Tag]],StorageTable[Tag], StorageTable[In Storage - Count Total], "Err", 0, 1), 0)</f>
        <v>0</v>
      </c>
      <c r="B68" s="1">
        <f>_xlfn.LET(_xlpm.loc, ITEquipmentTable[Storage Location],
COUNTIFS(ITSecondTable[Tag], ITSecondTable[[#This Row],[Tag]], _xlpm.loc, "&lt;&gt;In Use", _xlpm.loc, "&lt;&gt;",  _xlpm.loc, "&lt;&gt;E-Waste", _xlpm.loc, "&lt;&gt;Virtual",  _xlpm.loc, "&lt;&gt;Assigned to Employee", _xlpm.loc, "&lt;&gt;Decommisioned", _xlpm.loc, "&lt;&gt;Missing")
)</f>
        <v>8</v>
      </c>
      <c r="C68" s="1">
        <f>_xlfn.LET(_xlpm.loc, ITEquipmentTable[Storage Location],
COUNTIFS(ITSecondTable[Tag], ITSecondTable[[#This Row],[Tag]], _xlpm.loc, "&lt;&gt;E-Waste", _xlpm.loc, "&lt;&gt;Virtual", _xlpm.loc, "&lt;&gt;Decommisioned")
)</f>
        <v>27</v>
      </c>
      <c r="D68" s="168">
        <f>_xlfn.LET(_xlpm.loc, ITEquipmentTable[Storage Location],
COUNTIFS(ITSecondTable[Tag], ITSecondTable[[#This Row],[Tag]], _xlpm.loc, "Missing")
)</f>
        <v>0</v>
      </c>
      <c r="E68" s="168">
        <f>_xlfn.LET(_xlpm.loc, ITEquipmentTable[Storage Location],
COUNTIFS(ITSecondTable[Tag], ITSecondTable[[#This Row],[Tag]], _xlpm.loc, "In Use") + COUNTIFS(ITSecondTable[Tag], ITSecondTable[[#This Row],[Tag]], _xlpm.loc, "Assigned to Employee")
)</f>
        <v>12</v>
      </c>
      <c r="F68" s="168">
        <f>_xlfn.LET(_xlpm.loc, ITEquipmentTable[Storage Location],
COUNTIFS(ITSecondTable[Tag], ITSecondTable[[#This Row],[Tag]], _xlpm.loc, "")
)</f>
        <v>7</v>
      </c>
      <c r="G68" s="168">
        <f>MAX(ITSecondTable[[#This Row],[SQty]] - ITSecondTable[[#This Row],[IQty]], 0)</f>
        <v>8</v>
      </c>
      <c r="H68" s="168">
        <f>MAX(ITSecondTable[[#This Row],[IQty]]-ITSecondTable[[#This Row],[SQty]], 0)</f>
        <v>0</v>
      </c>
      <c r="I68" s="151" t="str">
        <f>IFERROR(_xlfn.TEXTJOIN("~", TRUE, ITEquipmentTable[[#This Row],[Type]],ITEquipmentTable[[#This Row],[Brand]],ITEquipmentTable[[#This Row],[Model]]), "")</f>
        <v>Desktop~Dell~OptiPlex 3050</v>
      </c>
      <c r="J68" s="151" t="b">
        <f xml:space="preserve"> _xlfn.IFNA(MATCH( ITSecondTable[[#This Row],[Tag]], StorageTable[Tag], 0)  &gt; -1, FALSE)</f>
        <v>0</v>
      </c>
      <c r="K68" s="168" t="b">
        <f>COUNTIFS(ITEquipmentTable[Serial], ITEquipmentTable[[#This Row],[Serial]], ITEquipmentTable[Serial], "&lt;&gt;N/A") &gt; 1</f>
        <v>0</v>
      </c>
      <c r="L68" s="168" t="b">
        <f>COUNTIFS(ITEquipmentTable[Name], ITEquipmentTable[[#This Row],[Name]], ITEquipmentTable[Name], "&lt;&gt;&lt;Unassigned&gt;",  ITEquipmentTable[Name], "&lt;&gt;N/A") &gt; 1</f>
        <v>0</v>
      </c>
      <c r="M68" s="168" t="b">
        <f>AND(COUNTIFS(ITEquipmentTable[IPv4 Address], ITEquipmentTable[[#This Row],[IPv4 Address]]) &gt; 1, ITEquipmentTable[[#This Row],[IPv4 Address]] &lt;&gt; "DHCP",  ITEquipmentTable[[#This Row],[IPv4 Address]] &lt;&gt; "N/A")</f>
        <v>0</v>
      </c>
    </row>
    <row r="69" spans="1:13" x14ac:dyDescent="0.2">
      <c r="A69" s="168">
        <f>IF(LEN(ITSecondTable[[#This Row],[Tag]]) &gt; 0, _xlfn.XLOOKUP(ITSecondTable[[#This Row],[Tag]],StorageTable[Tag], StorageTable[In Storage - Count Total], "Err", 0, 1), 0)</f>
        <v>0</v>
      </c>
      <c r="B69" s="1">
        <f>_xlfn.LET(_xlpm.loc, ITEquipmentTable[Storage Location],
COUNTIFS(ITSecondTable[Tag], ITSecondTable[[#This Row],[Tag]], _xlpm.loc, "&lt;&gt;In Use", _xlpm.loc, "&lt;&gt;",  _xlpm.loc, "&lt;&gt;E-Waste", _xlpm.loc, "&lt;&gt;Virtual",  _xlpm.loc, "&lt;&gt;Assigned to Employee", _xlpm.loc, "&lt;&gt;Decommisioned", _xlpm.loc, "&lt;&gt;Missing")
)</f>
        <v>8</v>
      </c>
      <c r="C69" s="1">
        <f>_xlfn.LET(_xlpm.loc, ITEquipmentTable[Storage Location],
COUNTIFS(ITSecondTable[Tag], ITSecondTable[[#This Row],[Tag]], _xlpm.loc, "&lt;&gt;E-Waste", _xlpm.loc, "&lt;&gt;Virtual", _xlpm.loc, "&lt;&gt;Decommisioned")
)</f>
        <v>27</v>
      </c>
      <c r="D69" s="168">
        <f>_xlfn.LET(_xlpm.loc, ITEquipmentTable[Storage Location],
COUNTIFS(ITSecondTable[Tag], ITSecondTable[[#This Row],[Tag]], _xlpm.loc, "Missing")
)</f>
        <v>0</v>
      </c>
      <c r="E69" s="168">
        <f>_xlfn.LET(_xlpm.loc, ITEquipmentTable[Storage Location],
COUNTIFS(ITSecondTable[Tag], ITSecondTable[[#This Row],[Tag]], _xlpm.loc, "In Use") + COUNTIFS(ITSecondTable[Tag], ITSecondTable[[#This Row],[Tag]], _xlpm.loc, "Assigned to Employee")
)</f>
        <v>12</v>
      </c>
      <c r="F69" s="168">
        <f>_xlfn.LET(_xlpm.loc, ITEquipmentTable[Storage Location],
COUNTIFS(ITSecondTable[Tag], ITSecondTable[[#This Row],[Tag]], _xlpm.loc, "")
)</f>
        <v>7</v>
      </c>
      <c r="G69" s="168">
        <f>MAX(ITSecondTable[[#This Row],[SQty]] - ITSecondTable[[#This Row],[IQty]], 0)</f>
        <v>8</v>
      </c>
      <c r="H69" s="168">
        <f>MAX(ITSecondTable[[#This Row],[IQty]]-ITSecondTable[[#This Row],[SQty]], 0)</f>
        <v>0</v>
      </c>
      <c r="I69" s="151" t="str">
        <f>IFERROR(_xlfn.TEXTJOIN("~", TRUE, ITEquipmentTable[[#This Row],[Type]],ITEquipmentTable[[#This Row],[Brand]],ITEquipmentTable[[#This Row],[Model]]), "")</f>
        <v>Desktop~Dell~OptiPlex 3050</v>
      </c>
      <c r="J69" s="151" t="b">
        <f xml:space="preserve"> _xlfn.IFNA(MATCH( ITSecondTable[[#This Row],[Tag]], StorageTable[Tag], 0)  &gt; -1, FALSE)</f>
        <v>0</v>
      </c>
      <c r="K69" s="168" t="b">
        <f>COUNTIFS(ITEquipmentTable[Serial], ITEquipmentTable[[#This Row],[Serial]], ITEquipmentTable[Serial], "&lt;&gt;N/A") &gt; 1</f>
        <v>0</v>
      </c>
      <c r="L69" s="168" t="b">
        <f>COUNTIFS(ITEquipmentTable[Name], ITEquipmentTable[[#This Row],[Name]], ITEquipmentTable[Name], "&lt;&gt;&lt;Unassigned&gt;",  ITEquipmentTable[Name], "&lt;&gt;N/A") &gt; 1</f>
        <v>0</v>
      </c>
      <c r="M69" s="168" t="b">
        <f>AND(COUNTIFS(ITEquipmentTable[IPv4 Address], ITEquipmentTable[[#This Row],[IPv4 Address]]) &gt; 1, ITEquipmentTable[[#This Row],[IPv4 Address]] &lt;&gt; "DHCP",  ITEquipmentTable[[#This Row],[IPv4 Address]] &lt;&gt; "N/A")</f>
        <v>0</v>
      </c>
    </row>
    <row r="70" spans="1:13" x14ac:dyDescent="0.2">
      <c r="A70" s="168">
        <f>IF(LEN(ITSecondTable[[#This Row],[Tag]]) &gt; 0, _xlfn.XLOOKUP(ITSecondTable[[#This Row],[Tag]],StorageTable[Tag], StorageTable[In Storage - Count Total], "Err", 0, 1), 0)</f>
        <v>0</v>
      </c>
      <c r="B70" s="1">
        <f>_xlfn.LET(_xlpm.loc, ITEquipmentTable[Storage Location],
COUNTIFS(ITSecondTable[Tag], ITSecondTable[[#This Row],[Tag]], _xlpm.loc, "&lt;&gt;In Use", _xlpm.loc, "&lt;&gt;",  _xlpm.loc, "&lt;&gt;E-Waste", _xlpm.loc, "&lt;&gt;Virtual",  _xlpm.loc, "&lt;&gt;Assigned to Employee", _xlpm.loc, "&lt;&gt;Decommisioned", _xlpm.loc, "&lt;&gt;Missing")
)</f>
        <v>2</v>
      </c>
      <c r="C70" s="1">
        <f>_xlfn.LET(_xlpm.loc, ITEquipmentTable[Storage Location],
COUNTIFS(ITSecondTable[Tag], ITSecondTable[[#This Row],[Tag]], _xlpm.loc, "&lt;&gt;E-Waste", _xlpm.loc, "&lt;&gt;Virtual", _xlpm.loc, "&lt;&gt;Decommisioned")
)</f>
        <v>27</v>
      </c>
      <c r="D70" s="168">
        <f>_xlfn.LET(_xlpm.loc, ITEquipmentTable[Storage Location],
COUNTIFS(ITSecondTable[Tag], ITSecondTable[[#This Row],[Tag]], _xlpm.loc, "Missing")
)</f>
        <v>0</v>
      </c>
      <c r="E70" s="168">
        <f>_xlfn.LET(_xlpm.loc, ITEquipmentTable[Storage Location],
COUNTIFS(ITSecondTable[Tag], ITSecondTable[[#This Row],[Tag]], _xlpm.loc, "In Use") + COUNTIFS(ITSecondTable[Tag], ITSecondTable[[#This Row],[Tag]], _xlpm.loc, "Assigned to Employee")
)</f>
        <v>20</v>
      </c>
      <c r="F70" s="168">
        <f>_xlfn.LET(_xlpm.loc, ITEquipmentTable[Storage Location],
COUNTIFS(ITSecondTable[Tag], ITSecondTable[[#This Row],[Tag]], _xlpm.loc, "")
)</f>
        <v>5</v>
      </c>
      <c r="G70" s="168">
        <f>MAX(ITSecondTable[[#This Row],[SQty]] - ITSecondTable[[#This Row],[IQty]], 0)</f>
        <v>2</v>
      </c>
      <c r="H70" s="168">
        <f>MAX(ITSecondTable[[#This Row],[IQty]]-ITSecondTable[[#This Row],[SQty]], 0)</f>
        <v>0</v>
      </c>
      <c r="I70" s="151" t="str">
        <f>IFERROR(_xlfn.TEXTJOIN("~", TRUE, ITEquipmentTable[[#This Row],[Type]],ITEquipmentTable[[#This Row],[Brand]],ITEquipmentTable[[#This Row],[Model]]), "")</f>
        <v>Desktop~HP</v>
      </c>
      <c r="J70" s="151" t="b">
        <f xml:space="preserve"> _xlfn.IFNA(MATCH( ITSecondTable[[#This Row],[Tag]], StorageTable[Tag], 0)  &gt; -1, FALSE)</f>
        <v>0</v>
      </c>
      <c r="K70" s="168" t="b">
        <f>COUNTIFS(ITEquipmentTable[Serial], ITEquipmentTable[[#This Row],[Serial]], ITEquipmentTable[Serial], "&lt;&gt;N/A") &gt; 1</f>
        <v>0</v>
      </c>
      <c r="L70" s="168" t="b">
        <f>COUNTIFS(ITEquipmentTable[Name], ITEquipmentTable[[#This Row],[Name]], ITEquipmentTable[Name], "&lt;&gt;&lt;Unassigned&gt;",  ITEquipmentTable[Name], "&lt;&gt;N/A") &gt; 1</f>
        <v>0</v>
      </c>
      <c r="M70" s="168" t="b">
        <f>AND(COUNTIFS(ITEquipmentTable[IPv4 Address], ITEquipmentTable[[#This Row],[IPv4 Address]]) &gt; 1, ITEquipmentTable[[#This Row],[IPv4 Address]] &lt;&gt; "DHCP",  ITEquipmentTable[[#This Row],[IPv4 Address]] &lt;&gt; "N/A")</f>
        <v>1</v>
      </c>
    </row>
    <row r="71" spans="1:13" x14ac:dyDescent="0.2">
      <c r="A71" s="168">
        <f>IF(LEN(ITSecondTable[[#This Row],[Tag]]) &gt; 0, _xlfn.XLOOKUP(ITSecondTable[[#This Row],[Tag]],StorageTable[Tag], StorageTable[In Storage - Count Total], "Err", 0, 1), 0)</f>
        <v>0</v>
      </c>
      <c r="B71" s="1">
        <f>_xlfn.LET(_xlpm.loc, ITEquipmentTable[Storage Location],
COUNTIFS(ITSecondTable[Tag], ITSecondTable[[#This Row],[Tag]], _xlpm.loc, "&lt;&gt;In Use", _xlpm.loc, "&lt;&gt;",  _xlpm.loc, "&lt;&gt;E-Waste", _xlpm.loc, "&lt;&gt;Virtual",  _xlpm.loc, "&lt;&gt;Assigned to Employee", _xlpm.loc, "&lt;&gt;Decommisioned", _xlpm.loc, "&lt;&gt;Missing")
)</f>
        <v>2</v>
      </c>
      <c r="C71" s="1">
        <f>_xlfn.LET(_xlpm.loc, ITEquipmentTable[Storage Location],
COUNTIFS(ITSecondTable[Tag], ITSecondTable[[#This Row],[Tag]], _xlpm.loc, "&lt;&gt;E-Waste", _xlpm.loc, "&lt;&gt;Virtual", _xlpm.loc, "&lt;&gt;Decommisioned")
)</f>
        <v>27</v>
      </c>
      <c r="D71" s="168">
        <f>_xlfn.LET(_xlpm.loc, ITEquipmentTable[Storage Location],
COUNTIFS(ITSecondTable[Tag], ITSecondTable[[#This Row],[Tag]], _xlpm.loc, "Missing")
)</f>
        <v>0</v>
      </c>
      <c r="E71" s="168">
        <f>_xlfn.LET(_xlpm.loc, ITEquipmentTable[Storage Location],
COUNTIFS(ITSecondTable[Tag], ITSecondTable[[#This Row],[Tag]], _xlpm.loc, "In Use") + COUNTIFS(ITSecondTable[Tag], ITSecondTable[[#This Row],[Tag]], _xlpm.loc, "Assigned to Employee")
)</f>
        <v>20</v>
      </c>
      <c r="F71" s="168">
        <f>_xlfn.LET(_xlpm.loc, ITEquipmentTable[Storage Location],
COUNTIFS(ITSecondTable[Tag], ITSecondTable[[#This Row],[Tag]], _xlpm.loc, "")
)</f>
        <v>5</v>
      </c>
      <c r="G71" s="168">
        <f>MAX(ITSecondTable[[#This Row],[SQty]] - ITSecondTable[[#This Row],[IQty]], 0)</f>
        <v>2</v>
      </c>
      <c r="H71" s="168">
        <f>MAX(ITSecondTable[[#This Row],[IQty]]-ITSecondTable[[#This Row],[SQty]], 0)</f>
        <v>0</v>
      </c>
      <c r="I71" s="151" t="str">
        <f>IFERROR(_xlfn.TEXTJOIN("~", TRUE, ITEquipmentTable[[#This Row],[Type]],ITEquipmentTable[[#This Row],[Brand]],ITEquipmentTable[[#This Row],[Model]]), "")</f>
        <v>Desktop~HP</v>
      </c>
      <c r="J71" s="151" t="b">
        <f xml:space="preserve"> _xlfn.IFNA(MATCH( ITSecondTable[[#This Row],[Tag]], StorageTable[Tag], 0)  &gt; -1, FALSE)</f>
        <v>0</v>
      </c>
      <c r="K71" s="168" t="b">
        <f>COUNTIFS(ITEquipmentTable[Serial], ITEquipmentTable[[#This Row],[Serial]], ITEquipmentTable[Serial], "&lt;&gt;N/A") &gt; 1</f>
        <v>0</v>
      </c>
      <c r="L71" s="168" t="b">
        <f>COUNTIFS(ITEquipmentTable[Name], ITEquipmentTable[[#This Row],[Name]], ITEquipmentTable[Name], "&lt;&gt;&lt;Unassigned&gt;",  ITEquipmentTable[Name], "&lt;&gt;N/A") &gt; 1</f>
        <v>0</v>
      </c>
      <c r="M71" s="168" t="b">
        <f>AND(COUNTIFS(ITEquipmentTable[IPv4 Address], ITEquipmentTable[[#This Row],[IPv4 Address]]) &gt; 1, ITEquipmentTable[[#This Row],[IPv4 Address]] &lt;&gt; "DHCP",  ITEquipmentTable[[#This Row],[IPv4 Address]] &lt;&gt; "N/A")</f>
        <v>0</v>
      </c>
    </row>
    <row r="72" spans="1:13" x14ac:dyDescent="0.2">
      <c r="A72" s="168">
        <f>IF(LEN(ITSecondTable[[#This Row],[Tag]]) &gt; 0, _xlfn.XLOOKUP(ITSecondTable[[#This Row],[Tag]],StorageTable[Tag], StorageTable[In Storage - Count Total], "Err", 0, 1), 0)</f>
        <v>0</v>
      </c>
      <c r="B72" s="1">
        <f>_xlfn.LET(_xlpm.loc, ITEquipmentTable[Storage Location],
COUNTIFS(ITSecondTable[Tag], ITSecondTable[[#This Row],[Tag]], _xlpm.loc, "&lt;&gt;In Use", _xlpm.loc, "&lt;&gt;",  _xlpm.loc, "&lt;&gt;E-Waste", _xlpm.loc, "&lt;&gt;Virtual",  _xlpm.loc, "&lt;&gt;Assigned to Employee", _xlpm.loc, "&lt;&gt;Decommisioned", _xlpm.loc, "&lt;&gt;Missing")
)</f>
        <v>8</v>
      </c>
      <c r="C72" s="1">
        <f>_xlfn.LET(_xlpm.loc, ITEquipmentTable[Storage Location],
COUNTIFS(ITSecondTable[Tag], ITSecondTable[[#This Row],[Tag]], _xlpm.loc, "&lt;&gt;E-Waste", _xlpm.loc, "&lt;&gt;Virtual", _xlpm.loc, "&lt;&gt;Decommisioned")
)</f>
        <v>27</v>
      </c>
      <c r="D72" s="168">
        <f>_xlfn.LET(_xlpm.loc, ITEquipmentTable[Storage Location],
COUNTIFS(ITSecondTable[Tag], ITSecondTable[[#This Row],[Tag]], _xlpm.loc, "Missing")
)</f>
        <v>0</v>
      </c>
      <c r="E72" s="168">
        <f>_xlfn.LET(_xlpm.loc, ITEquipmentTable[Storage Location],
COUNTIFS(ITSecondTable[Tag], ITSecondTable[[#This Row],[Tag]], _xlpm.loc, "In Use") + COUNTIFS(ITSecondTable[Tag], ITSecondTable[[#This Row],[Tag]], _xlpm.loc, "Assigned to Employee")
)</f>
        <v>12</v>
      </c>
      <c r="F72" s="168">
        <f>_xlfn.LET(_xlpm.loc, ITEquipmentTable[Storage Location],
COUNTIFS(ITSecondTable[Tag], ITSecondTable[[#This Row],[Tag]], _xlpm.loc, "")
)</f>
        <v>7</v>
      </c>
      <c r="G72" s="168">
        <f>MAX(ITSecondTable[[#This Row],[SQty]] - ITSecondTable[[#This Row],[IQty]], 0)</f>
        <v>8</v>
      </c>
      <c r="H72" s="168">
        <f>MAX(ITSecondTable[[#This Row],[IQty]]-ITSecondTable[[#This Row],[SQty]], 0)</f>
        <v>0</v>
      </c>
      <c r="I72" s="151" t="str">
        <f>IFERROR(_xlfn.TEXTJOIN("~", TRUE, ITEquipmentTable[[#This Row],[Type]],ITEquipmentTable[[#This Row],[Brand]],ITEquipmentTable[[#This Row],[Model]]), "")</f>
        <v>Desktop~Dell~OptiPlex 3050</v>
      </c>
      <c r="J72" s="151" t="b">
        <f xml:space="preserve"> _xlfn.IFNA(MATCH( ITSecondTable[[#This Row],[Tag]], StorageTable[Tag], 0)  &gt; -1, FALSE)</f>
        <v>0</v>
      </c>
      <c r="K72" s="168" t="b">
        <f>COUNTIFS(ITEquipmentTable[Serial], ITEquipmentTable[[#This Row],[Serial]], ITEquipmentTable[Serial], "&lt;&gt;N/A") &gt; 1</f>
        <v>0</v>
      </c>
      <c r="L72" s="168" t="b">
        <f>COUNTIFS(ITEquipmentTable[Name], ITEquipmentTable[[#This Row],[Name]], ITEquipmentTable[Name], "&lt;&gt;&lt;Unassigned&gt;",  ITEquipmentTable[Name], "&lt;&gt;N/A") &gt; 1</f>
        <v>0</v>
      </c>
      <c r="M72" s="168" t="b">
        <f>AND(COUNTIFS(ITEquipmentTable[IPv4 Address], ITEquipmentTable[[#This Row],[IPv4 Address]]) &gt; 1, ITEquipmentTable[[#This Row],[IPv4 Address]] &lt;&gt; "DHCP",  ITEquipmentTable[[#This Row],[IPv4 Address]] &lt;&gt; "N/A")</f>
        <v>0</v>
      </c>
    </row>
    <row r="73" spans="1:13" x14ac:dyDescent="0.2">
      <c r="A73" s="168">
        <f>IF(LEN(ITSecondTable[[#This Row],[Tag]]) &gt; 0, _xlfn.XLOOKUP(ITSecondTable[[#This Row],[Tag]],StorageTable[Tag], StorageTable[In Storage - Count Total], "Err", 0, 1), 0)</f>
        <v>0</v>
      </c>
      <c r="B73" s="1">
        <f>_xlfn.LET(_xlpm.loc, ITEquipmentTable[Storage Location],
COUNTIFS(ITSecondTable[Tag], ITSecondTable[[#This Row],[Tag]], _xlpm.loc, "&lt;&gt;In Use", _xlpm.loc, "&lt;&gt;",  _xlpm.loc, "&lt;&gt;E-Waste", _xlpm.loc, "&lt;&gt;Virtual",  _xlpm.loc, "&lt;&gt;Assigned to Employee", _xlpm.loc, "&lt;&gt;Decommisioned", _xlpm.loc, "&lt;&gt;Missing")
)</f>
        <v>0</v>
      </c>
      <c r="C73" s="1">
        <f>_xlfn.LET(_xlpm.loc, ITEquipmentTable[Storage Location],
COUNTIFS(ITSecondTable[Tag], ITSecondTable[[#This Row],[Tag]], _xlpm.loc, "&lt;&gt;E-Waste", _xlpm.loc, "&lt;&gt;Virtual", _xlpm.loc, "&lt;&gt;Decommisioned")
)</f>
        <v>32</v>
      </c>
      <c r="D73" s="168">
        <f>_xlfn.LET(_xlpm.loc, ITEquipmentTable[Storage Location],
COUNTIFS(ITSecondTable[Tag], ITSecondTable[[#This Row],[Tag]], _xlpm.loc, "Missing")
)</f>
        <v>0</v>
      </c>
      <c r="E73" s="168">
        <f>_xlfn.LET(_xlpm.loc, ITEquipmentTable[Storage Location],
COUNTIFS(ITSecondTable[Tag], ITSecondTable[[#This Row],[Tag]], _xlpm.loc, "In Use") + COUNTIFS(ITSecondTable[Tag], ITSecondTable[[#This Row],[Tag]], _xlpm.loc, "Assigned to Employee")
)</f>
        <v>26</v>
      </c>
      <c r="F73" s="168">
        <f>_xlfn.LET(_xlpm.loc, ITEquipmentTable[Storage Location],
COUNTIFS(ITSecondTable[Tag], ITSecondTable[[#This Row],[Tag]], _xlpm.loc, "")
)</f>
        <v>6</v>
      </c>
      <c r="G73" s="168">
        <f>MAX(ITSecondTable[[#This Row],[SQty]] - ITSecondTable[[#This Row],[IQty]], 0)</f>
        <v>0</v>
      </c>
      <c r="H73" s="168">
        <f>MAX(ITSecondTable[[#This Row],[IQty]]-ITSecondTable[[#This Row],[SQty]], 0)</f>
        <v>0</v>
      </c>
      <c r="I73" s="151" t="str">
        <f>IFERROR(_xlfn.TEXTJOIN("~", TRUE, ITEquipmentTable[[#This Row],[Type]],ITEquipmentTable[[#This Row],[Brand]],ITEquipmentTable[[#This Row],[Model]]), "")</f>
        <v>Desktop</v>
      </c>
      <c r="J73" s="151" t="b">
        <f xml:space="preserve"> _xlfn.IFNA(MATCH( ITSecondTable[[#This Row],[Tag]], StorageTable[Tag], 0)  &gt; -1, FALSE)</f>
        <v>1</v>
      </c>
      <c r="K73" s="168" t="b">
        <f>COUNTIFS(ITEquipmentTable[Serial], ITEquipmentTable[[#This Row],[Serial]], ITEquipmentTable[Serial], "&lt;&gt;N/A") &gt; 1</f>
        <v>0</v>
      </c>
      <c r="L73" s="168" t="b">
        <f>COUNTIFS(ITEquipmentTable[Name], ITEquipmentTable[[#This Row],[Name]], ITEquipmentTable[Name], "&lt;&gt;&lt;Unassigned&gt;",  ITEquipmentTable[Name], "&lt;&gt;N/A") &gt; 1</f>
        <v>0</v>
      </c>
      <c r="M73" s="168" t="b">
        <f>AND(COUNTIFS(ITEquipmentTable[IPv4 Address], ITEquipmentTable[[#This Row],[IPv4 Address]]) &gt; 1, ITEquipmentTable[[#This Row],[IPv4 Address]] &lt;&gt; "DHCP",  ITEquipmentTable[[#This Row],[IPv4 Address]] &lt;&gt; "N/A")</f>
        <v>0</v>
      </c>
    </row>
    <row r="74" spans="1:13" x14ac:dyDescent="0.2">
      <c r="A74" s="168">
        <f>IF(LEN(ITSecondTable[[#This Row],[Tag]]) &gt; 0, _xlfn.XLOOKUP(ITSecondTable[[#This Row],[Tag]],StorageTable[Tag], StorageTable[In Storage - Count Total], "Err", 0, 1), 0)</f>
        <v>0</v>
      </c>
      <c r="B74" s="1">
        <f>_xlfn.LET(_xlpm.loc, ITEquipmentTable[Storage Location],
COUNTIFS(ITSecondTable[Tag], ITSecondTable[[#This Row],[Tag]], _xlpm.loc, "&lt;&gt;In Use", _xlpm.loc, "&lt;&gt;",  _xlpm.loc, "&lt;&gt;E-Waste", _xlpm.loc, "&lt;&gt;Virtual",  _xlpm.loc, "&lt;&gt;Assigned to Employee", _xlpm.loc, "&lt;&gt;Decommisioned", _xlpm.loc, "&lt;&gt;Missing")
)</f>
        <v>0</v>
      </c>
      <c r="C74" s="1">
        <f>_xlfn.LET(_xlpm.loc, ITEquipmentTable[Storage Location],
COUNTIFS(ITSecondTable[Tag], ITSecondTable[[#This Row],[Tag]], _xlpm.loc, "&lt;&gt;E-Waste", _xlpm.loc, "&lt;&gt;Virtual", _xlpm.loc, "&lt;&gt;Decommisioned")
)</f>
        <v>32</v>
      </c>
      <c r="D74" s="168">
        <f>_xlfn.LET(_xlpm.loc, ITEquipmentTable[Storage Location],
COUNTIFS(ITSecondTable[Tag], ITSecondTable[[#This Row],[Tag]], _xlpm.loc, "Missing")
)</f>
        <v>0</v>
      </c>
      <c r="E74" s="168">
        <f>_xlfn.LET(_xlpm.loc, ITEquipmentTable[Storage Location],
COUNTIFS(ITSecondTable[Tag], ITSecondTable[[#This Row],[Tag]], _xlpm.loc, "In Use") + COUNTIFS(ITSecondTable[Tag], ITSecondTable[[#This Row],[Tag]], _xlpm.loc, "Assigned to Employee")
)</f>
        <v>26</v>
      </c>
      <c r="F74" s="168">
        <f>_xlfn.LET(_xlpm.loc, ITEquipmentTable[Storage Location],
COUNTIFS(ITSecondTable[Tag], ITSecondTable[[#This Row],[Tag]], _xlpm.loc, "")
)</f>
        <v>6</v>
      </c>
      <c r="G74" s="168">
        <f>MAX(ITSecondTable[[#This Row],[SQty]] - ITSecondTable[[#This Row],[IQty]], 0)</f>
        <v>0</v>
      </c>
      <c r="H74" s="168">
        <f>MAX(ITSecondTable[[#This Row],[IQty]]-ITSecondTable[[#This Row],[SQty]], 0)</f>
        <v>0</v>
      </c>
      <c r="I74" s="151" t="str">
        <f>IFERROR(_xlfn.TEXTJOIN("~", TRUE, ITEquipmentTable[[#This Row],[Type]],ITEquipmentTable[[#This Row],[Brand]],ITEquipmentTable[[#This Row],[Model]]), "")</f>
        <v>Desktop</v>
      </c>
      <c r="J74" s="151" t="b">
        <f xml:space="preserve"> _xlfn.IFNA(MATCH( ITSecondTable[[#This Row],[Tag]], StorageTable[Tag], 0)  &gt; -1, FALSE)</f>
        <v>1</v>
      </c>
      <c r="K74" s="168" t="b">
        <f>COUNTIFS(ITEquipmentTable[Serial], ITEquipmentTable[[#This Row],[Serial]], ITEquipmentTable[Serial], "&lt;&gt;N/A") &gt; 1</f>
        <v>0</v>
      </c>
      <c r="L74" s="168" t="b">
        <f>COUNTIFS(ITEquipmentTable[Name], ITEquipmentTable[[#This Row],[Name]], ITEquipmentTable[Name], "&lt;&gt;&lt;Unassigned&gt;",  ITEquipmentTable[Name], "&lt;&gt;N/A") &gt; 1</f>
        <v>0</v>
      </c>
      <c r="M74" s="168" t="b">
        <f>AND(COUNTIFS(ITEquipmentTable[IPv4 Address], ITEquipmentTable[[#This Row],[IPv4 Address]]) &gt; 1, ITEquipmentTable[[#This Row],[IPv4 Address]] &lt;&gt; "DHCP",  ITEquipmentTable[[#This Row],[IPv4 Address]] &lt;&gt; "N/A")</f>
        <v>0</v>
      </c>
    </row>
    <row r="75" spans="1:13" x14ac:dyDescent="0.2">
      <c r="A75" s="168">
        <f>IF(LEN(ITSecondTable[[#This Row],[Tag]]) &gt; 0, _xlfn.XLOOKUP(ITSecondTable[[#This Row],[Tag]],StorageTable[Tag], StorageTable[In Storage - Count Total], "Err", 0, 1), 0)</f>
        <v>10</v>
      </c>
      <c r="B75" s="1">
        <f>_xlfn.LET(_xlpm.loc, ITEquipmentTable[Storage Location],
COUNTIFS(ITSecondTable[Tag], ITSecondTable[[#This Row],[Tag]], _xlpm.loc, "&lt;&gt;In Use", _xlpm.loc, "&lt;&gt;",  _xlpm.loc, "&lt;&gt;E-Waste", _xlpm.loc, "&lt;&gt;Virtual",  _xlpm.loc, "&lt;&gt;Assigned to Employee", _xlpm.loc, "&lt;&gt;Decommisioned", _xlpm.loc, "&lt;&gt;Missing")
)</f>
        <v>16</v>
      </c>
      <c r="C75" s="1">
        <f>_xlfn.LET(_xlpm.loc, ITEquipmentTable[Storage Location],
COUNTIFS(ITSecondTable[Tag], ITSecondTable[[#This Row],[Tag]], _xlpm.loc, "&lt;&gt;E-Waste", _xlpm.loc, "&lt;&gt;Virtual", _xlpm.loc, "&lt;&gt;Decommisioned")
)</f>
        <v>48</v>
      </c>
      <c r="D75" s="168">
        <f>_xlfn.LET(_xlpm.loc, ITEquipmentTable[Storage Location],
COUNTIFS(ITSecondTable[Tag], ITSecondTable[[#This Row],[Tag]], _xlpm.loc, "Missing")
)</f>
        <v>0</v>
      </c>
      <c r="E75" s="168">
        <f>_xlfn.LET(_xlpm.loc, ITEquipmentTable[Storage Location],
COUNTIFS(ITSecondTable[Tag], ITSecondTable[[#This Row],[Tag]], _xlpm.loc, "In Use") + COUNTIFS(ITSecondTable[Tag], ITSecondTable[[#This Row],[Tag]], _xlpm.loc, "Assigned to Employee")
)</f>
        <v>29</v>
      </c>
      <c r="F75" s="168">
        <f>_xlfn.LET(_xlpm.loc, ITEquipmentTable[Storage Location],
COUNTIFS(ITSecondTable[Tag], ITSecondTable[[#This Row],[Tag]], _xlpm.loc, "")
)</f>
        <v>3</v>
      </c>
      <c r="G75" s="168">
        <f>MAX(ITSecondTable[[#This Row],[SQty]] - ITSecondTable[[#This Row],[IQty]], 0)</f>
        <v>6</v>
      </c>
      <c r="H75" s="168">
        <f>MAX(ITSecondTable[[#This Row],[IQty]]-ITSecondTable[[#This Row],[SQty]], 0)</f>
        <v>0</v>
      </c>
      <c r="I75" s="151" t="str">
        <f>IFERROR(_xlfn.TEXTJOIN("~", TRUE, ITEquipmentTable[[#This Row],[Type]],ITEquipmentTable[[#This Row],[Brand]],ITEquipmentTable[[#This Row],[Model]]), "")</f>
        <v>Desktop~HP~HP ProDesk 600 G5 DM</v>
      </c>
      <c r="J75" s="151" t="b">
        <f xml:space="preserve"> _xlfn.IFNA(MATCH( ITSecondTable[[#This Row],[Tag]], StorageTable[Tag], 0)  &gt; -1, FALSE)</f>
        <v>0</v>
      </c>
      <c r="K75" s="168" t="b">
        <f>COUNTIFS(ITEquipmentTable[Serial], ITEquipmentTable[[#This Row],[Serial]], ITEquipmentTable[Serial], "&lt;&gt;N/A") &gt; 1</f>
        <v>0</v>
      </c>
      <c r="L75" s="168" t="b">
        <f>COUNTIFS(ITEquipmentTable[Name], ITEquipmentTable[[#This Row],[Name]], ITEquipmentTable[Name], "&lt;&gt;&lt;Unassigned&gt;",  ITEquipmentTable[Name], "&lt;&gt;N/A") &gt; 1</f>
        <v>0</v>
      </c>
      <c r="M75" s="168" t="b">
        <f>AND(COUNTIFS(ITEquipmentTable[IPv4 Address], ITEquipmentTable[[#This Row],[IPv4 Address]]) &gt; 1, ITEquipmentTable[[#This Row],[IPv4 Address]] &lt;&gt; "DHCP",  ITEquipmentTable[[#This Row],[IPv4 Address]] &lt;&gt; "N/A")</f>
        <v>0</v>
      </c>
    </row>
    <row r="76" spans="1:13" x14ac:dyDescent="0.2">
      <c r="A76" s="168">
        <f>IF(LEN(ITSecondTable[[#This Row],[Tag]]) &gt; 0, _xlfn.XLOOKUP(ITSecondTable[[#This Row],[Tag]],StorageTable[Tag], StorageTable[In Storage - Count Total], "Err", 0, 1), 0)</f>
        <v>0</v>
      </c>
      <c r="B76" s="1">
        <f>_xlfn.LET(_xlpm.loc, ITEquipmentTable[Storage Location],
COUNTIFS(ITSecondTable[Tag], ITSecondTable[[#This Row],[Tag]], _xlpm.loc, "&lt;&gt;In Use", _xlpm.loc, "&lt;&gt;",  _xlpm.loc, "&lt;&gt;E-Waste", _xlpm.loc, "&lt;&gt;Virtual",  _xlpm.loc, "&lt;&gt;Assigned to Employee", _xlpm.loc, "&lt;&gt;Decommisioned", _xlpm.loc, "&lt;&gt;Missing")
)</f>
        <v>0</v>
      </c>
      <c r="C76" s="1">
        <f>_xlfn.LET(_xlpm.loc, ITEquipmentTable[Storage Location],
COUNTIFS(ITSecondTable[Tag], ITSecondTable[[#This Row],[Tag]], _xlpm.loc, "&lt;&gt;E-Waste", _xlpm.loc, "&lt;&gt;Virtual", _xlpm.loc, "&lt;&gt;Decommisioned")
)</f>
        <v>32</v>
      </c>
      <c r="D76" s="168">
        <f>_xlfn.LET(_xlpm.loc, ITEquipmentTable[Storage Location],
COUNTIFS(ITSecondTable[Tag], ITSecondTable[[#This Row],[Tag]], _xlpm.loc, "Missing")
)</f>
        <v>0</v>
      </c>
      <c r="E76" s="168">
        <f>_xlfn.LET(_xlpm.loc, ITEquipmentTable[Storage Location],
COUNTIFS(ITSecondTable[Tag], ITSecondTable[[#This Row],[Tag]], _xlpm.loc, "In Use") + COUNTIFS(ITSecondTable[Tag], ITSecondTable[[#This Row],[Tag]], _xlpm.loc, "Assigned to Employee")
)</f>
        <v>26</v>
      </c>
      <c r="F76" s="168">
        <f>_xlfn.LET(_xlpm.loc, ITEquipmentTable[Storage Location],
COUNTIFS(ITSecondTable[Tag], ITSecondTable[[#This Row],[Tag]], _xlpm.loc, "")
)</f>
        <v>6</v>
      </c>
      <c r="G76" s="168">
        <f>MAX(ITSecondTable[[#This Row],[SQty]] - ITSecondTable[[#This Row],[IQty]], 0)</f>
        <v>0</v>
      </c>
      <c r="H76" s="168">
        <f>MAX(ITSecondTable[[#This Row],[IQty]]-ITSecondTable[[#This Row],[SQty]], 0)</f>
        <v>0</v>
      </c>
      <c r="I76" s="151" t="str">
        <f>IFERROR(_xlfn.TEXTJOIN("~", TRUE, ITEquipmentTable[[#This Row],[Type]],ITEquipmentTable[[#This Row],[Brand]],ITEquipmentTable[[#This Row],[Model]]), "")</f>
        <v>Desktop</v>
      </c>
      <c r="J76" s="151" t="b">
        <f xml:space="preserve"> _xlfn.IFNA(MATCH( ITSecondTable[[#This Row],[Tag]], StorageTable[Tag], 0)  &gt; -1, FALSE)</f>
        <v>1</v>
      </c>
      <c r="K76" s="168" t="b">
        <f>COUNTIFS(ITEquipmentTable[Serial], ITEquipmentTable[[#This Row],[Serial]], ITEquipmentTable[Serial], "&lt;&gt;N/A") &gt; 1</f>
        <v>0</v>
      </c>
      <c r="L76" s="168" t="b">
        <f>COUNTIFS(ITEquipmentTable[Name], ITEquipmentTable[[#This Row],[Name]], ITEquipmentTable[Name], "&lt;&gt;&lt;Unassigned&gt;",  ITEquipmentTable[Name], "&lt;&gt;N/A") &gt; 1</f>
        <v>0</v>
      </c>
      <c r="M76" s="168" t="b">
        <f>AND(COUNTIFS(ITEquipmentTable[IPv4 Address], ITEquipmentTable[[#This Row],[IPv4 Address]]) &gt; 1, ITEquipmentTable[[#This Row],[IPv4 Address]] &lt;&gt; "DHCP",  ITEquipmentTable[[#This Row],[IPv4 Address]] &lt;&gt; "N/A")</f>
        <v>0</v>
      </c>
    </row>
    <row r="77" spans="1:13" x14ac:dyDescent="0.2">
      <c r="A77" s="168">
        <f>IF(LEN(ITSecondTable[[#This Row],[Tag]]) &gt; 0, _xlfn.XLOOKUP(ITSecondTable[[#This Row],[Tag]],StorageTable[Tag], StorageTable[In Storage - Count Total], "Err", 0, 1), 0)</f>
        <v>0</v>
      </c>
      <c r="B77" s="1">
        <f>_xlfn.LET(_xlpm.loc, ITEquipmentTable[Storage Location],
COUNTIFS(ITSecondTable[Tag], ITSecondTable[[#This Row],[Tag]], _xlpm.loc, "&lt;&gt;In Use", _xlpm.loc, "&lt;&gt;",  _xlpm.loc, "&lt;&gt;E-Waste", _xlpm.loc, "&lt;&gt;Virtual",  _xlpm.loc, "&lt;&gt;Assigned to Employee", _xlpm.loc, "&lt;&gt;Decommisioned", _xlpm.loc, "&lt;&gt;Missing")
)</f>
        <v>8</v>
      </c>
      <c r="C77" s="1">
        <f>_xlfn.LET(_xlpm.loc, ITEquipmentTable[Storage Location],
COUNTIFS(ITSecondTable[Tag], ITSecondTable[[#This Row],[Tag]], _xlpm.loc, "&lt;&gt;E-Waste", _xlpm.loc, "&lt;&gt;Virtual", _xlpm.loc, "&lt;&gt;Decommisioned")
)</f>
        <v>27</v>
      </c>
      <c r="D77" s="168">
        <f>_xlfn.LET(_xlpm.loc, ITEquipmentTable[Storage Location],
COUNTIFS(ITSecondTable[Tag], ITSecondTable[[#This Row],[Tag]], _xlpm.loc, "Missing")
)</f>
        <v>0</v>
      </c>
      <c r="E77" s="168">
        <f>_xlfn.LET(_xlpm.loc, ITEquipmentTable[Storage Location],
COUNTIFS(ITSecondTable[Tag], ITSecondTable[[#This Row],[Tag]], _xlpm.loc, "In Use") + COUNTIFS(ITSecondTable[Tag], ITSecondTable[[#This Row],[Tag]], _xlpm.loc, "Assigned to Employee")
)</f>
        <v>12</v>
      </c>
      <c r="F77" s="168">
        <f>_xlfn.LET(_xlpm.loc, ITEquipmentTable[Storage Location],
COUNTIFS(ITSecondTable[Tag], ITSecondTable[[#This Row],[Tag]], _xlpm.loc, "")
)</f>
        <v>7</v>
      </c>
      <c r="G77" s="168">
        <f>MAX(ITSecondTable[[#This Row],[SQty]] - ITSecondTable[[#This Row],[IQty]], 0)</f>
        <v>8</v>
      </c>
      <c r="H77" s="168">
        <f>MAX(ITSecondTable[[#This Row],[IQty]]-ITSecondTable[[#This Row],[SQty]], 0)</f>
        <v>0</v>
      </c>
      <c r="I77" s="151" t="str">
        <f>IFERROR(_xlfn.TEXTJOIN("~", TRUE, ITEquipmentTable[[#This Row],[Type]],ITEquipmentTable[[#This Row],[Brand]],ITEquipmentTable[[#This Row],[Model]]), "")</f>
        <v>Desktop~Dell~OptiPlex 3050</v>
      </c>
      <c r="J77" s="151" t="b">
        <f xml:space="preserve"> _xlfn.IFNA(MATCH( ITSecondTable[[#This Row],[Tag]], StorageTable[Tag], 0)  &gt; -1, FALSE)</f>
        <v>0</v>
      </c>
      <c r="K77" s="168" t="b">
        <f>COUNTIFS(ITEquipmentTable[Serial], ITEquipmentTable[[#This Row],[Serial]], ITEquipmentTable[Serial], "&lt;&gt;N/A") &gt; 1</f>
        <v>0</v>
      </c>
      <c r="L77" s="168" t="b">
        <f>COUNTIFS(ITEquipmentTable[Name], ITEquipmentTable[[#This Row],[Name]], ITEquipmentTable[Name], "&lt;&gt;&lt;Unassigned&gt;",  ITEquipmentTable[Name], "&lt;&gt;N/A") &gt; 1</f>
        <v>0</v>
      </c>
      <c r="M77" s="168" t="b">
        <f>AND(COUNTIFS(ITEquipmentTable[IPv4 Address], ITEquipmentTable[[#This Row],[IPv4 Address]]) &gt; 1, ITEquipmentTable[[#This Row],[IPv4 Address]] &lt;&gt; "DHCP",  ITEquipmentTable[[#This Row],[IPv4 Address]] &lt;&gt; "N/A")</f>
        <v>0</v>
      </c>
    </row>
    <row r="78" spans="1:13" x14ac:dyDescent="0.2">
      <c r="A78" s="168">
        <f>IF(LEN(ITSecondTable[[#This Row],[Tag]]) &gt; 0, _xlfn.XLOOKUP(ITSecondTable[[#This Row],[Tag]],StorageTable[Tag], StorageTable[In Storage - Count Total], "Err", 0, 1), 0)</f>
        <v>1</v>
      </c>
      <c r="B78" s="1">
        <f>_xlfn.LET(_xlpm.loc, ITEquipmentTable[Storage Location],
COUNTIFS(ITSecondTable[Tag], ITSecondTable[[#This Row],[Tag]], _xlpm.loc, "&lt;&gt;In Use", _xlpm.loc, "&lt;&gt;",  _xlpm.loc, "&lt;&gt;E-Waste", _xlpm.loc, "&lt;&gt;Virtual",  _xlpm.loc, "&lt;&gt;Assigned to Employee", _xlpm.loc, "&lt;&gt;Decommisioned", _xlpm.loc, "&lt;&gt;Missing")
)</f>
        <v>0</v>
      </c>
      <c r="C78" s="1">
        <f>_xlfn.LET(_xlpm.loc, ITEquipmentTable[Storage Location],
COUNTIFS(ITSecondTable[Tag], ITSecondTable[[#This Row],[Tag]], _xlpm.loc, "&lt;&gt;E-Waste", _xlpm.loc, "&lt;&gt;Virtual", _xlpm.loc, "&lt;&gt;Decommisioned")
)</f>
        <v>1</v>
      </c>
      <c r="D78" s="168">
        <f>_xlfn.LET(_xlpm.loc, ITEquipmentTable[Storage Location],
COUNTIFS(ITSecondTable[Tag], ITSecondTable[[#This Row],[Tag]], _xlpm.loc, "Missing")
)</f>
        <v>0</v>
      </c>
      <c r="E78" s="168">
        <f>_xlfn.LET(_xlpm.loc, ITEquipmentTable[Storage Location],
COUNTIFS(ITSecondTable[Tag], ITSecondTable[[#This Row],[Tag]], _xlpm.loc, "In Use") + COUNTIFS(ITSecondTable[Tag], ITSecondTable[[#This Row],[Tag]], _xlpm.loc, "Assigned to Employee")
)</f>
        <v>0</v>
      </c>
      <c r="F78" s="168">
        <f>_xlfn.LET(_xlpm.loc, ITEquipmentTable[Storage Location],
COUNTIFS(ITSecondTable[Tag], ITSecondTable[[#This Row],[Tag]], _xlpm.loc, "")
)</f>
        <v>1</v>
      </c>
      <c r="G78" s="168">
        <f>MAX(ITSecondTable[[#This Row],[SQty]] - ITSecondTable[[#This Row],[IQty]], 0)</f>
        <v>0</v>
      </c>
      <c r="H78" s="168">
        <f>MAX(ITSecondTable[[#This Row],[IQty]]-ITSecondTable[[#This Row],[SQty]], 0)</f>
        <v>1</v>
      </c>
      <c r="I78" s="151" t="str">
        <f>IFERROR(_xlfn.TEXTJOIN("~", TRUE, ITEquipmentTable[[#This Row],[Type]],ITEquipmentTable[[#This Row],[Brand]],ITEquipmentTable[[#This Row],[Model]]), "")</f>
        <v>Laptop~Dell~Precision 7730</v>
      </c>
      <c r="J78" s="151" t="b">
        <f xml:space="preserve"> _xlfn.IFNA(MATCH( ITSecondTable[[#This Row],[Tag]], StorageTable[Tag], 0)  &gt; -1, FALSE)</f>
        <v>0</v>
      </c>
      <c r="K78" s="168" t="b">
        <f>COUNTIFS(ITEquipmentTable[Serial], ITEquipmentTable[[#This Row],[Serial]], ITEquipmentTable[Serial], "&lt;&gt;N/A") &gt; 1</f>
        <v>0</v>
      </c>
      <c r="L78" s="168" t="b">
        <f>COUNTIFS(ITEquipmentTable[Name], ITEquipmentTable[[#This Row],[Name]], ITEquipmentTable[Name], "&lt;&gt;&lt;Unassigned&gt;",  ITEquipmentTable[Name], "&lt;&gt;N/A") &gt; 1</f>
        <v>0</v>
      </c>
      <c r="M78" s="168" t="b">
        <f>AND(COUNTIFS(ITEquipmentTable[IPv4 Address], ITEquipmentTable[[#This Row],[IPv4 Address]]) &gt; 1, ITEquipmentTable[[#This Row],[IPv4 Address]] &lt;&gt; "DHCP",  ITEquipmentTable[[#This Row],[IPv4 Address]] &lt;&gt; "N/A")</f>
        <v>0</v>
      </c>
    </row>
    <row r="79" spans="1:13" x14ac:dyDescent="0.2">
      <c r="A79" s="168">
        <f>IF(LEN(ITSecondTable[[#This Row],[Tag]]) &gt; 0, _xlfn.XLOOKUP(ITSecondTable[[#This Row],[Tag]],StorageTable[Tag], StorageTable[In Storage - Count Total], "Err", 0, 1), 0)</f>
        <v>6</v>
      </c>
      <c r="B79" s="1">
        <f>_xlfn.LET(_xlpm.loc, ITEquipmentTable[Storage Location],
COUNTIFS(ITSecondTable[Tag], ITSecondTable[[#This Row],[Tag]], _xlpm.loc, "&lt;&gt;In Use", _xlpm.loc, "&lt;&gt;",  _xlpm.loc, "&lt;&gt;E-Waste", _xlpm.loc, "&lt;&gt;Virtual",  _xlpm.loc, "&lt;&gt;Assigned to Employee", _xlpm.loc, "&lt;&gt;Decommisioned", _xlpm.loc, "&lt;&gt;Missing")
)</f>
        <v>17</v>
      </c>
      <c r="C79" s="1">
        <f>_xlfn.LET(_xlpm.loc, ITEquipmentTable[Storage Location],
COUNTIFS(ITSecondTable[Tag], ITSecondTable[[#This Row],[Tag]], _xlpm.loc, "&lt;&gt;E-Waste", _xlpm.loc, "&lt;&gt;Virtual", _xlpm.loc, "&lt;&gt;Decommisioned")
)</f>
        <v>64</v>
      </c>
      <c r="D79" s="168">
        <f>_xlfn.LET(_xlpm.loc, ITEquipmentTable[Storage Location],
COUNTIFS(ITSecondTable[Tag], ITSecondTable[[#This Row],[Tag]], _xlpm.loc, "Missing")
)</f>
        <v>0</v>
      </c>
      <c r="E79" s="168">
        <f>_xlfn.LET(_xlpm.loc, ITEquipmentTable[Storage Location],
COUNTIFS(ITSecondTable[Tag], ITSecondTable[[#This Row],[Tag]], _xlpm.loc, "In Use") + COUNTIFS(ITSecondTable[Tag], ITSecondTable[[#This Row],[Tag]], _xlpm.loc, "Assigned to Employee")
)</f>
        <v>30</v>
      </c>
      <c r="F79" s="168">
        <f>_xlfn.LET(_xlpm.loc, ITEquipmentTable[Storage Location],
COUNTIFS(ITSecondTable[Tag], ITSecondTable[[#This Row],[Tag]], _xlpm.loc, "")
)</f>
        <v>17</v>
      </c>
      <c r="G79" s="168">
        <f>MAX(ITSecondTable[[#This Row],[SQty]] - ITSecondTable[[#This Row],[IQty]], 0)</f>
        <v>11</v>
      </c>
      <c r="H79" s="168">
        <f>MAX(ITSecondTable[[#This Row],[IQty]]-ITSecondTable[[#This Row],[SQty]], 0)</f>
        <v>0</v>
      </c>
      <c r="I79" s="151" t="str">
        <f>IFERROR(_xlfn.TEXTJOIN("~", TRUE, ITEquipmentTable[[#This Row],[Type]],ITEquipmentTable[[#This Row],[Brand]],ITEquipmentTable[[#This Row],[Model]]), "")</f>
        <v>Desktop~Dell~OptiPlex 3040</v>
      </c>
      <c r="J79" s="151" t="b">
        <f xml:space="preserve"> _xlfn.IFNA(MATCH( ITSecondTable[[#This Row],[Tag]], StorageTable[Tag], 0)  &gt; -1, FALSE)</f>
        <v>0</v>
      </c>
      <c r="K79" s="168" t="b">
        <f>COUNTIFS(ITEquipmentTable[Serial], ITEquipmentTable[[#This Row],[Serial]], ITEquipmentTable[Serial], "&lt;&gt;N/A") &gt; 1</f>
        <v>0</v>
      </c>
      <c r="L79" s="168" t="b">
        <f>COUNTIFS(ITEquipmentTable[Name], ITEquipmentTable[[#This Row],[Name]], ITEquipmentTable[Name], "&lt;&gt;&lt;Unassigned&gt;",  ITEquipmentTable[Name], "&lt;&gt;N/A") &gt; 1</f>
        <v>0</v>
      </c>
      <c r="M79" s="168" t="b">
        <f>AND(COUNTIFS(ITEquipmentTable[IPv4 Address], ITEquipmentTable[[#This Row],[IPv4 Address]]) &gt; 1, ITEquipmentTable[[#This Row],[IPv4 Address]] &lt;&gt; "DHCP",  ITEquipmentTable[[#This Row],[IPv4 Address]] &lt;&gt; "N/A")</f>
        <v>0</v>
      </c>
    </row>
    <row r="80" spans="1:13" x14ac:dyDescent="0.2">
      <c r="A80" s="168">
        <f>IF(LEN(ITSecondTable[[#This Row],[Tag]]) &gt; 0, _xlfn.XLOOKUP(ITSecondTable[[#This Row],[Tag]],StorageTable[Tag], StorageTable[In Storage - Count Total], "Err", 0, 1), 0)</f>
        <v>0</v>
      </c>
      <c r="B80" s="1">
        <f>_xlfn.LET(_xlpm.loc, ITEquipmentTable[Storage Location],
COUNTIFS(ITSecondTable[Tag], ITSecondTable[[#This Row],[Tag]], _xlpm.loc, "&lt;&gt;In Use", _xlpm.loc, "&lt;&gt;",  _xlpm.loc, "&lt;&gt;E-Waste", _xlpm.loc, "&lt;&gt;Virtual",  _xlpm.loc, "&lt;&gt;Assigned to Employee", _xlpm.loc, "&lt;&gt;Decommisioned", _xlpm.loc, "&lt;&gt;Missing")
)</f>
        <v>0</v>
      </c>
      <c r="C80" s="1">
        <f>_xlfn.LET(_xlpm.loc, ITEquipmentTable[Storage Location],
COUNTIFS(ITSecondTable[Tag], ITSecondTable[[#This Row],[Tag]], _xlpm.loc, "&lt;&gt;E-Waste", _xlpm.loc, "&lt;&gt;Virtual", _xlpm.loc, "&lt;&gt;Decommisioned")
)</f>
        <v>32</v>
      </c>
      <c r="D80" s="168">
        <f>_xlfn.LET(_xlpm.loc, ITEquipmentTable[Storage Location],
COUNTIFS(ITSecondTable[Tag], ITSecondTable[[#This Row],[Tag]], _xlpm.loc, "Missing")
)</f>
        <v>0</v>
      </c>
      <c r="E80" s="168">
        <f>_xlfn.LET(_xlpm.loc, ITEquipmentTable[Storage Location],
COUNTIFS(ITSecondTable[Tag], ITSecondTable[[#This Row],[Tag]], _xlpm.loc, "In Use") + COUNTIFS(ITSecondTable[Tag], ITSecondTable[[#This Row],[Tag]], _xlpm.loc, "Assigned to Employee")
)</f>
        <v>26</v>
      </c>
      <c r="F80" s="168">
        <f>_xlfn.LET(_xlpm.loc, ITEquipmentTable[Storage Location],
COUNTIFS(ITSecondTable[Tag], ITSecondTable[[#This Row],[Tag]], _xlpm.loc, "")
)</f>
        <v>6</v>
      </c>
      <c r="G80" s="168">
        <f>MAX(ITSecondTable[[#This Row],[SQty]] - ITSecondTable[[#This Row],[IQty]], 0)</f>
        <v>0</v>
      </c>
      <c r="H80" s="168">
        <f>MAX(ITSecondTable[[#This Row],[IQty]]-ITSecondTable[[#This Row],[SQty]], 0)</f>
        <v>0</v>
      </c>
      <c r="I80" s="151" t="str">
        <f>IFERROR(_xlfn.TEXTJOIN("~", TRUE, ITEquipmentTable[[#This Row],[Type]],ITEquipmentTable[[#This Row],[Brand]],ITEquipmentTable[[#This Row],[Model]]), "")</f>
        <v>Desktop</v>
      </c>
      <c r="J80" s="151" t="b">
        <f xml:space="preserve"> _xlfn.IFNA(MATCH( ITSecondTable[[#This Row],[Tag]], StorageTable[Tag], 0)  &gt; -1, FALSE)</f>
        <v>1</v>
      </c>
      <c r="K80" s="168" t="b">
        <f>COUNTIFS(ITEquipmentTable[Serial], ITEquipmentTable[[#This Row],[Serial]], ITEquipmentTable[Serial], "&lt;&gt;N/A") &gt; 1</f>
        <v>0</v>
      </c>
      <c r="L80" s="168" t="b">
        <f>COUNTIFS(ITEquipmentTable[Name], ITEquipmentTable[[#This Row],[Name]], ITEquipmentTable[Name], "&lt;&gt;&lt;Unassigned&gt;",  ITEquipmentTable[Name], "&lt;&gt;N/A") &gt; 1</f>
        <v>0</v>
      </c>
      <c r="M80" s="168" t="b">
        <f>AND(COUNTIFS(ITEquipmentTable[IPv4 Address], ITEquipmentTable[[#This Row],[IPv4 Address]]) &gt; 1, ITEquipmentTable[[#This Row],[IPv4 Address]] &lt;&gt; "DHCP",  ITEquipmentTable[[#This Row],[IPv4 Address]] &lt;&gt; "N/A")</f>
        <v>0</v>
      </c>
    </row>
    <row r="81" spans="1:13" x14ac:dyDescent="0.2">
      <c r="A81" s="168">
        <f>IF(LEN(ITSecondTable[[#This Row],[Tag]]) &gt; 0, _xlfn.XLOOKUP(ITSecondTable[[#This Row],[Tag]],StorageTable[Tag], StorageTable[In Storage - Count Total], "Err", 0, 1), 0)</f>
        <v>6</v>
      </c>
      <c r="B81" s="1">
        <f>_xlfn.LET(_xlpm.loc, ITEquipmentTable[Storage Location],
COUNTIFS(ITSecondTable[Tag], ITSecondTable[[#This Row],[Tag]], _xlpm.loc, "&lt;&gt;In Use", _xlpm.loc, "&lt;&gt;",  _xlpm.loc, "&lt;&gt;E-Waste", _xlpm.loc, "&lt;&gt;Virtual",  _xlpm.loc, "&lt;&gt;Assigned to Employee", _xlpm.loc, "&lt;&gt;Decommisioned", _xlpm.loc, "&lt;&gt;Missing")
)</f>
        <v>17</v>
      </c>
      <c r="C81" s="1">
        <f>_xlfn.LET(_xlpm.loc, ITEquipmentTable[Storage Location],
COUNTIFS(ITSecondTable[Tag], ITSecondTable[[#This Row],[Tag]], _xlpm.loc, "&lt;&gt;E-Waste", _xlpm.loc, "&lt;&gt;Virtual", _xlpm.loc, "&lt;&gt;Decommisioned")
)</f>
        <v>64</v>
      </c>
      <c r="D81" s="168">
        <f>_xlfn.LET(_xlpm.loc, ITEquipmentTable[Storage Location],
COUNTIFS(ITSecondTable[Tag], ITSecondTable[[#This Row],[Tag]], _xlpm.loc, "Missing")
)</f>
        <v>0</v>
      </c>
      <c r="E81" s="168">
        <f>_xlfn.LET(_xlpm.loc, ITEquipmentTable[Storage Location],
COUNTIFS(ITSecondTable[Tag], ITSecondTable[[#This Row],[Tag]], _xlpm.loc, "In Use") + COUNTIFS(ITSecondTable[Tag], ITSecondTable[[#This Row],[Tag]], _xlpm.loc, "Assigned to Employee")
)</f>
        <v>30</v>
      </c>
      <c r="F81" s="168">
        <f>_xlfn.LET(_xlpm.loc, ITEquipmentTable[Storage Location],
COUNTIFS(ITSecondTable[Tag], ITSecondTable[[#This Row],[Tag]], _xlpm.loc, "")
)</f>
        <v>17</v>
      </c>
      <c r="G81" s="168">
        <f>MAX(ITSecondTable[[#This Row],[SQty]] - ITSecondTable[[#This Row],[IQty]], 0)</f>
        <v>11</v>
      </c>
      <c r="H81" s="168">
        <f>MAX(ITSecondTable[[#This Row],[IQty]]-ITSecondTable[[#This Row],[SQty]], 0)</f>
        <v>0</v>
      </c>
      <c r="I81" s="151" t="str">
        <f>IFERROR(_xlfn.TEXTJOIN("~", TRUE, ITEquipmentTable[[#This Row],[Type]],ITEquipmentTable[[#This Row],[Brand]],ITEquipmentTable[[#This Row],[Model]]), "")</f>
        <v>Desktop~Dell~OptiPlex 3040</v>
      </c>
      <c r="J81" s="151" t="b">
        <f xml:space="preserve"> _xlfn.IFNA(MATCH( ITSecondTable[[#This Row],[Tag]], StorageTable[Tag], 0)  &gt; -1, FALSE)</f>
        <v>0</v>
      </c>
      <c r="K81" s="168" t="b">
        <f>COUNTIFS(ITEquipmentTable[Serial], ITEquipmentTable[[#This Row],[Serial]], ITEquipmentTable[Serial], "&lt;&gt;N/A") &gt; 1</f>
        <v>0</v>
      </c>
      <c r="L81" s="168" t="b">
        <f>COUNTIFS(ITEquipmentTable[Name], ITEquipmentTable[[#This Row],[Name]], ITEquipmentTable[Name], "&lt;&gt;&lt;Unassigned&gt;",  ITEquipmentTable[Name], "&lt;&gt;N/A") &gt; 1</f>
        <v>0</v>
      </c>
      <c r="M81" s="168" t="b">
        <f>AND(COUNTIFS(ITEquipmentTable[IPv4 Address], ITEquipmentTable[[#This Row],[IPv4 Address]]) &gt; 1, ITEquipmentTable[[#This Row],[IPv4 Address]] &lt;&gt; "DHCP",  ITEquipmentTable[[#This Row],[IPv4 Address]] &lt;&gt; "N/A")</f>
        <v>0</v>
      </c>
    </row>
    <row r="82" spans="1:13" x14ac:dyDescent="0.2">
      <c r="A82" s="168">
        <f>IF(LEN(ITSecondTable[[#This Row],[Tag]]) &gt; 0, _xlfn.XLOOKUP(ITSecondTable[[#This Row],[Tag]],StorageTable[Tag], StorageTable[In Storage - Count Total], "Err", 0, 1), 0)</f>
        <v>6</v>
      </c>
      <c r="B82" s="1">
        <f>_xlfn.LET(_xlpm.loc, ITEquipmentTable[Storage Location],
COUNTIFS(ITSecondTable[Tag], ITSecondTable[[#This Row],[Tag]], _xlpm.loc, "&lt;&gt;In Use", _xlpm.loc, "&lt;&gt;",  _xlpm.loc, "&lt;&gt;E-Waste", _xlpm.loc, "&lt;&gt;Virtual",  _xlpm.loc, "&lt;&gt;Assigned to Employee", _xlpm.loc, "&lt;&gt;Decommisioned", _xlpm.loc, "&lt;&gt;Missing")
)</f>
        <v>17</v>
      </c>
      <c r="C82" s="1">
        <f>_xlfn.LET(_xlpm.loc, ITEquipmentTable[Storage Location],
COUNTIFS(ITSecondTable[Tag], ITSecondTable[[#This Row],[Tag]], _xlpm.loc, "&lt;&gt;E-Waste", _xlpm.loc, "&lt;&gt;Virtual", _xlpm.loc, "&lt;&gt;Decommisioned")
)</f>
        <v>64</v>
      </c>
      <c r="D82" s="168">
        <f>_xlfn.LET(_xlpm.loc, ITEquipmentTable[Storage Location],
COUNTIFS(ITSecondTable[Tag], ITSecondTable[[#This Row],[Tag]], _xlpm.loc, "Missing")
)</f>
        <v>0</v>
      </c>
      <c r="E82" s="168">
        <f>_xlfn.LET(_xlpm.loc, ITEquipmentTable[Storage Location],
COUNTIFS(ITSecondTable[Tag], ITSecondTable[[#This Row],[Tag]], _xlpm.loc, "In Use") + COUNTIFS(ITSecondTable[Tag], ITSecondTable[[#This Row],[Tag]], _xlpm.loc, "Assigned to Employee")
)</f>
        <v>30</v>
      </c>
      <c r="F82" s="168">
        <f>_xlfn.LET(_xlpm.loc, ITEquipmentTable[Storage Location],
COUNTIFS(ITSecondTable[Tag], ITSecondTable[[#This Row],[Tag]], _xlpm.loc, "")
)</f>
        <v>17</v>
      </c>
      <c r="G82" s="168">
        <f>MAX(ITSecondTable[[#This Row],[SQty]] - ITSecondTable[[#This Row],[IQty]], 0)</f>
        <v>11</v>
      </c>
      <c r="H82" s="168">
        <f>MAX(ITSecondTable[[#This Row],[IQty]]-ITSecondTable[[#This Row],[SQty]], 0)</f>
        <v>0</v>
      </c>
      <c r="I82" s="151" t="str">
        <f>IFERROR(_xlfn.TEXTJOIN("~", TRUE, ITEquipmentTable[[#This Row],[Type]],ITEquipmentTable[[#This Row],[Brand]],ITEquipmentTable[[#This Row],[Model]]), "")</f>
        <v>Desktop~Dell~OptiPlex 3040</v>
      </c>
      <c r="J82" s="151" t="b">
        <f xml:space="preserve"> _xlfn.IFNA(MATCH( ITSecondTable[[#This Row],[Tag]], StorageTable[Tag], 0)  &gt; -1, FALSE)</f>
        <v>0</v>
      </c>
      <c r="K82" s="168" t="b">
        <f>COUNTIFS(ITEquipmentTable[Serial], ITEquipmentTable[[#This Row],[Serial]], ITEquipmentTable[Serial], "&lt;&gt;N/A") &gt; 1</f>
        <v>0</v>
      </c>
      <c r="L82" s="168" t="b">
        <f>COUNTIFS(ITEquipmentTable[Name], ITEquipmentTable[[#This Row],[Name]], ITEquipmentTable[Name], "&lt;&gt;&lt;Unassigned&gt;",  ITEquipmentTable[Name], "&lt;&gt;N/A") &gt; 1</f>
        <v>0</v>
      </c>
      <c r="M82" s="168" t="b">
        <f>AND(COUNTIFS(ITEquipmentTable[IPv4 Address], ITEquipmentTable[[#This Row],[IPv4 Address]]) &gt; 1, ITEquipmentTable[[#This Row],[IPv4 Address]] &lt;&gt; "DHCP",  ITEquipmentTable[[#This Row],[IPv4 Address]] &lt;&gt; "N/A")</f>
        <v>0</v>
      </c>
    </row>
    <row r="83" spans="1:13" x14ac:dyDescent="0.2">
      <c r="A83" s="168">
        <f>IF(LEN(ITSecondTable[[#This Row],[Tag]]) &gt; 0, _xlfn.XLOOKUP(ITSecondTable[[#This Row],[Tag]],StorageTable[Tag], StorageTable[In Storage - Count Total], "Err", 0, 1), 0)</f>
        <v>6</v>
      </c>
      <c r="B83" s="1">
        <f>_xlfn.LET(_xlpm.loc, ITEquipmentTable[Storage Location],
COUNTIFS(ITSecondTable[Tag], ITSecondTable[[#This Row],[Tag]], _xlpm.loc, "&lt;&gt;In Use", _xlpm.loc, "&lt;&gt;",  _xlpm.loc, "&lt;&gt;E-Waste", _xlpm.loc, "&lt;&gt;Virtual",  _xlpm.loc, "&lt;&gt;Assigned to Employee", _xlpm.loc, "&lt;&gt;Decommisioned", _xlpm.loc, "&lt;&gt;Missing")
)</f>
        <v>17</v>
      </c>
      <c r="C83" s="1">
        <f>_xlfn.LET(_xlpm.loc, ITEquipmentTable[Storage Location],
COUNTIFS(ITSecondTable[Tag], ITSecondTable[[#This Row],[Tag]], _xlpm.loc, "&lt;&gt;E-Waste", _xlpm.loc, "&lt;&gt;Virtual", _xlpm.loc, "&lt;&gt;Decommisioned")
)</f>
        <v>64</v>
      </c>
      <c r="D83" s="168">
        <f>_xlfn.LET(_xlpm.loc, ITEquipmentTable[Storage Location],
COUNTIFS(ITSecondTable[Tag], ITSecondTable[[#This Row],[Tag]], _xlpm.loc, "Missing")
)</f>
        <v>0</v>
      </c>
      <c r="E83" s="168">
        <f>_xlfn.LET(_xlpm.loc, ITEquipmentTable[Storage Location],
COUNTIFS(ITSecondTable[Tag], ITSecondTable[[#This Row],[Tag]], _xlpm.loc, "In Use") + COUNTIFS(ITSecondTable[Tag], ITSecondTable[[#This Row],[Tag]], _xlpm.loc, "Assigned to Employee")
)</f>
        <v>30</v>
      </c>
      <c r="F83" s="168">
        <f>_xlfn.LET(_xlpm.loc, ITEquipmentTable[Storage Location],
COUNTIFS(ITSecondTable[Tag], ITSecondTable[[#This Row],[Tag]], _xlpm.loc, "")
)</f>
        <v>17</v>
      </c>
      <c r="G83" s="168">
        <f>MAX(ITSecondTable[[#This Row],[SQty]] - ITSecondTable[[#This Row],[IQty]], 0)</f>
        <v>11</v>
      </c>
      <c r="H83" s="168">
        <f>MAX(ITSecondTable[[#This Row],[IQty]]-ITSecondTable[[#This Row],[SQty]], 0)</f>
        <v>0</v>
      </c>
      <c r="I83" s="151" t="str">
        <f>IFERROR(_xlfn.TEXTJOIN("~", TRUE, ITEquipmentTable[[#This Row],[Type]],ITEquipmentTable[[#This Row],[Brand]],ITEquipmentTable[[#This Row],[Model]]), "")</f>
        <v>Desktop~Dell~OptiPlex 3040</v>
      </c>
      <c r="J83" s="151" t="b">
        <f xml:space="preserve"> _xlfn.IFNA(MATCH( ITSecondTable[[#This Row],[Tag]], StorageTable[Tag], 0)  &gt; -1, FALSE)</f>
        <v>0</v>
      </c>
      <c r="K83" s="168" t="b">
        <f>COUNTIFS(ITEquipmentTable[Serial], ITEquipmentTable[[#This Row],[Serial]], ITEquipmentTable[Serial], "&lt;&gt;N/A") &gt; 1</f>
        <v>0</v>
      </c>
      <c r="L83" s="168" t="b">
        <f>COUNTIFS(ITEquipmentTable[Name], ITEquipmentTable[[#This Row],[Name]], ITEquipmentTable[Name], "&lt;&gt;&lt;Unassigned&gt;",  ITEquipmentTable[Name], "&lt;&gt;N/A") &gt; 1</f>
        <v>0</v>
      </c>
      <c r="M83" s="168" t="b">
        <f>AND(COUNTIFS(ITEquipmentTable[IPv4 Address], ITEquipmentTable[[#This Row],[IPv4 Address]]) &gt; 1, ITEquipmentTable[[#This Row],[IPv4 Address]] &lt;&gt; "DHCP",  ITEquipmentTable[[#This Row],[IPv4 Address]] &lt;&gt; "N/A")</f>
        <v>0</v>
      </c>
    </row>
    <row r="84" spans="1:13" x14ac:dyDescent="0.2">
      <c r="A84" s="168">
        <f>IF(LEN(ITSecondTable[[#This Row],[Tag]]) &gt; 0, _xlfn.XLOOKUP(ITSecondTable[[#This Row],[Tag]],StorageTable[Tag], StorageTable[In Storage - Count Total], "Err", 0, 1), 0)</f>
        <v>0</v>
      </c>
      <c r="B84" s="1">
        <f>_xlfn.LET(_xlpm.loc, ITEquipmentTable[Storage Location],
COUNTIFS(ITSecondTable[Tag], ITSecondTable[[#This Row],[Tag]], _xlpm.loc, "&lt;&gt;In Use", _xlpm.loc, "&lt;&gt;",  _xlpm.loc, "&lt;&gt;E-Waste", _xlpm.loc, "&lt;&gt;Virtual",  _xlpm.loc, "&lt;&gt;Assigned to Employee", _xlpm.loc, "&lt;&gt;Decommisioned", _xlpm.loc, "&lt;&gt;Missing")
)</f>
        <v>0</v>
      </c>
      <c r="C84" s="1">
        <f>_xlfn.LET(_xlpm.loc, ITEquipmentTable[Storage Location],
COUNTIFS(ITSecondTable[Tag], ITSecondTable[[#This Row],[Tag]], _xlpm.loc, "&lt;&gt;E-Waste", _xlpm.loc, "&lt;&gt;Virtual", _xlpm.loc, "&lt;&gt;Decommisioned")
)</f>
        <v>21</v>
      </c>
      <c r="D84" s="168">
        <f>_xlfn.LET(_xlpm.loc, ITEquipmentTable[Storage Location],
COUNTIFS(ITSecondTable[Tag], ITSecondTable[[#This Row],[Tag]], _xlpm.loc, "Missing")
)</f>
        <v>0</v>
      </c>
      <c r="E84" s="168">
        <f>_xlfn.LET(_xlpm.loc, ITEquipmentTable[Storage Location],
COUNTIFS(ITSecondTable[Tag], ITSecondTable[[#This Row],[Tag]], _xlpm.loc, "In Use") + COUNTIFS(ITSecondTable[Tag], ITSecondTable[[#This Row],[Tag]], _xlpm.loc, "Assigned to Employee")
)</f>
        <v>3</v>
      </c>
      <c r="F84" s="168">
        <f>_xlfn.LET(_xlpm.loc, ITEquipmentTable[Storage Location],
COUNTIFS(ITSecondTable[Tag], ITSecondTable[[#This Row],[Tag]], _xlpm.loc, "")
)</f>
        <v>18</v>
      </c>
      <c r="G84" s="168">
        <f>MAX(ITSecondTable[[#This Row],[SQty]] - ITSecondTable[[#This Row],[IQty]], 0)</f>
        <v>0</v>
      </c>
      <c r="H84" s="168">
        <f>MAX(ITSecondTable[[#This Row],[IQty]]-ITSecondTable[[#This Row],[SQty]], 0)</f>
        <v>0</v>
      </c>
      <c r="I84" s="151" t="str">
        <f>IFERROR(_xlfn.TEXTJOIN("~", TRUE, ITEquipmentTable[[#This Row],[Type]],ITEquipmentTable[[#This Row],[Brand]],ITEquipmentTable[[#This Row],[Model]]), "")</f>
        <v/>
      </c>
      <c r="J84" s="151" t="b">
        <f xml:space="preserve"> _xlfn.IFNA(MATCH( ITSecondTable[[#This Row],[Tag]], StorageTable[Tag], 0)  &gt; -1, FALSE)</f>
        <v>0</v>
      </c>
      <c r="K84" s="168" t="b">
        <f>COUNTIFS(ITEquipmentTable[Serial], ITEquipmentTable[[#This Row],[Serial]], ITEquipmentTable[Serial], "&lt;&gt;N/A") &gt; 1</f>
        <v>0</v>
      </c>
      <c r="L84" s="168" t="b">
        <f>COUNTIFS(ITEquipmentTable[Name], ITEquipmentTable[[#This Row],[Name]], ITEquipmentTable[Name], "&lt;&gt;&lt;Unassigned&gt;",  ITEquipmentTable[Name], "&lt;&gt;N/A") &gt; 1</f>
        <v>0</v>
      </c>
      <c r="M84" s="168" t="b">
        <f>AND(COUNTIFS(ITEquipmentTable[IPv4 Address], ITEquipmentTable[[#This Row],[IPv4 Address]]) &gt; 1, ITEquipmentTable[[#This Row],[IPv4 Address]] &lt;&gt; "DHCP",  ITEquipmentTable[[#This Row],[IPv4 Address]] &lt;&gt; "N/A")</f>
        <v>0</v>
      </c>
    </row>
    <row r="85" spans="1:13" x14ac:dyDescent="0.2">
      <c r="A85" s="168">
        <f>IF(LEN(ITSecondTable[[#This Row],[Tag]]) &gt; 0, _xlfn.XLOOKUP(ITSecondTable[[#This Row],[Tag]],StorageTable[Tag], StorageTable[In Storage - Count Total], "Err", 0, 1), 0)</f>
        <v>6</v>
      </c>
      <c r="B85" s="1">
        <f>_xlfn.LET(_xlpm.loc, ITEquipmentTable[Storage Location],
COUNTIFS(ITSecondTable[Tag], ITSecondTable[[#This Row],[Tag]], _xlpm.loc, "&lt;&gt;In Use", _xlpm.loc, "&lt;&gt;",  _xlpm.loc, "&lt;&gt;E-Waste", _xlpm.loc, "&lt;&gt;Virtual",  _xlpm.loc, "&lt;&gt;Assigned to Employee", _xlpm.loc, "&lt;&gt;Decommisioned", _xlpm.loc, "&lt;&gt;Missing")
)</f>
        <v>17</v>
      </c>
      <c r="C85" s="1">
        <f>_xlfn.LET(_xlpm.loc, ITEquipmentTable[Storage Location],
COUNTIFS(ITSecondTable[Tag], ITSecondTable[[#This Row],[Tag]], _xlpm.loc, "&lt;&gt;E-Waste", _xlpm.loc, "&lt;&gt;Virtual", _xlpm.loc, "&lt;&gt;Decommisioned")
)</f>
        <v>64</v>
      </c>
      <c r="D85" s="168">
        <f>_xlfn.LET(_xlpm.loc, ITEquipmentTable[Storage Location],
COUNTIFS(ITSecondTable[Tag], ITSecondTable[[#This Row],[Tag]], _xlpm.loc, "Missing")
)</f>
        <v>0</v>
      </c>
      <c r="E85" s="168">
        <f>_xlfn.LET(_xlpm.loc, ITEquipmentTable[Storage Location],
COUNTIFS(ITSecondTable[Tag], ITSecondTable[[#This Row],[Tag]], _xlpm.loc, "In Use") + COUNTIFS(ITSecondTable[Tag], ITSecondTable[[#This Row],[Tag]], _xlpm.loc, "Assigned to Employee")
)</f>
        <v>30</v>
      </c>
      <c r="F85" s="168">
        <f>_xlfn.LET(_xlpm.loc, ITEquipmentTable[Storage Location],
COUNTIFS(ITSecondTable[Tag], ITSecondTable[[#This Row],[Tag]], _xlpm.loc, "")
)</f>
        <v>17</v>
      </c>
      <c r="G85" s="168">
        <f>MAX(ITSecondTable[[#This Row],[SQty]] - ITSecondTable[[#This Row],[IQty]], 0)</f>
        <v>11</v>
      </c>
      <c r="H85" s="168">
        <f>MAX(ITSecondTable[[#This Row],[IQty]]-ITSecondTable[[#This Row],[SQty]], 0)</f>
        <v>0</v>
      </c>
      <c r="I85" s="151" t="str">
        <f>IFERROR(_xlfn.TEXTJOIN("~", TRUE, ITEquipmentTable[[#This Row],[Type]],ITEquipmentTable[[#This Row],[Brand]],ITEquipmentTable[[#This Row],[Model]]), "")</f>
        <v>Desktop~Dell~OptiPlex 3040</v>
      </c>
      <c r="J85" s="151" t="b">
        <f xml:space="preserve"> _xlfn.IFNA(MATCH( ITSecondTable[[#This Row],[Tag]], StorageTable[Tag], 0)  &gt; -1, FALSE)</f>
        <v>0</v>
      </c>
      <c r="K85" s="168" t="b">
        <f>COUNTIFS(ITEquipmentTable[Serial], ITEquipmentTable[[#This Row],[Serial]], ITEquipmentTable[Serial], "&lt;&gt;N/A") &gt; 1</f>
        <v>0</v>
      </c>
      <c r="L85" s="168" t="b">
        <f>COUNTIFS(ITEquipmentTable[Name], ITEquipmentTable[[#This Row],[Name]], ITEquipmentTable[Name], "&lt;&gt;&lt;Unassigned&gt;",  ITEquipmentTable[Name], "&lt;&gt;N/A") &gt; 1</f>
        <v>0</v>
      </c>
      <c r="M85" s="168" t="b">
        <f>AND(COUNTIFS(ITEquipmentTable[IPv4 Address], ITEquipmentTable[[#This Row],[IPv4 Address]]) &gt; 1, ITEquipmentTable[[#This Row],[IPv4 Address]] &lt;&gt; "DHCP",  ITEquipmentTable[[#This Row],[IPv4 Address]] &lt;&gt; "N/A")</f>
        <v>0</v>
      </c>
    </row>
    <row r="86" spans="1:13" x14ac:dyDescent="0.2">
      <c r="A86" s="168">
        <f>IF(LEN(ITSecondTable[[#This Row],[Tag]]) &gt; 0, _xlfn.XLOOKUP(ITSecondTable[[#This Row],[Tag]],StorageTable[Tag], StorageTable[In Storage - Count Total], "Err", 0, 1), 0)</f>
        <v>6</v>
      </c>
      <c r="B86" s="1">
        <f>_xlfn.LET(_xlpm.loc, ITEquipmentTable[Storage Location],
COUNTIFS(ITSecondTable[Tag], ITSecondTable[[#This Row],[Tag]], _xlpm.loc, "&lt;&gt;In Use", _xlpm.loc, "&lt;&gt;",  _xlpm.loc, "&lt;&gt;E-Waste", _xlpm.loc, "&lt;&gt;Virtual",  _xlpm.loc, "&lt;&gt;Assigned to Employee", _xlpm.loc, "&lt;&gt;Decommisioned", _xlpm.loc, "&lt;&gt;Missing")
)</f>
        <v>17</v>
      </c>
      <c r="C86" s="1">
        <f>_xlfn.LET(_xlpm.loc, ITEquipmentTable[Storage Location],
COUNTIFS(ITSecondTable[Tag], ITSecondTable[[#This Row],[Tag]], _xlpm.loc, "&lt;&gt;E-Waste", _xlpm.loc, "&lt;&gt;Virtual", _xlpm.loc, "&lt;&gt;Decommisioned")
)</f>
        <v>64</v>
      </c>
      <c r="D86" s="168">
        <f>_xlfn.LET(_xlpm.loc, ITEquipmentTable[Storage Location],
COUNTIFS(ITSecondTable[Tag], ITSecondTable[[#This Row],[Tag]], _xlpm.loc, "Missing")
)</f>
        <v>0</v>
      </c>
      <c r="E86" s="168">
        <f>_xlfn.LET(_xlpm.loc, ITEquipmentTable[Storage Location],
COUNTIFS(ITSecondTable[Tag], ITSecondTable[[#This Row],[Tag]], _xlpm.loc, "In Use") + COUNTIFS(ITSecondTable[Tag], ITSecondTable[[#This Row],[Tag]], _xlpm.loc, "Assigned to Employee")
)</f>
        <v>30</v>
      </c>
      <c r="F86" s="168">
        <f>_xlfn.LET(_xlpm.loc, ITEquipmentTable[Storage Location],
COUNTIFS(ITSecondTable[Tag], ITSecondTable[[#This Row],[Tag]], _xlpm.loc, "")
)</f>
        <v>17</v>
      </c>
      <c r="G86" s="168">
        <f>MAX(ITSecondTable[[#This Row],[SQty]] - ITSecondTable[[#This Row],[IQty]], 0)</f>
        <v>11</v>
      </c>
      <c r="H86" s="168">
        <f>MAX(ITSecondTable[[#This Row],[IQty]]-ITSecondTable[[#This Row],[SQty]], 0)</f>
        <v>0</v>
      </c>
      <c r="I86" s="151" t="str">
        <f>IFERROR(_xlfn.TEXTJOIN("~", TRUE, ITEquipmentTable[[#This Row],[Type]],ITEquipmentTable[[#This Row],[Brand]],ITEquipmentTable[[#This Row],[Model]]), "")</f>
        <v>Desktop~Dell~OptiPlex 3040</v>
      </c>
      <c r="J86" s="151" t="b">
        <f xml:space="preserve"> _xlfn.IFNA(MATCH( ITSecondTable[[#This Row],[Tag]], StorageTable[Tag], 0)  &gt; -1, FALSE)</f>
        <v>0</v>
      </c>
      <c r="K86" s="168" t="b">
        <f>COUNTIFS(ITEquipmentTable[Serial], ITEquipmentTable[[#This Row],[Serial]], ITEquipmentTable[Serial], "&lt;&gt;N/A") &gt; 1</f>
        <v>0</v>
      </c>
      <c r="L86" s="168" t="b">
        <f>COUNTIFS(ITEquipmentTable[Name], ITEquipmentTable[[#This Row],[Name]], ITEquipmentTable[Name], "&lt;&gt;&lt;Unassigned&gt;",  ITEquipmentTable[Name], "&lt;&gt;N/A") &gt; 1</f>
        <v>0</v>
      </c>
      <c r="M86" s="168" t="b">
        <f>AND(COUNTIFS(ITEquipmentTable[IPv4 Address], ITEquipmentTable[[#This Row],[IPv4 Address]]) &gt; 1, ITEquipmentTable[[#This Row],[IPv4 Address]] &lt;&gt; "DHCP",  ITEquipmentTable[[#This Row],[IPv4 Address]] &lt;&gt; "N/A")</f>
        <v>0</v>
      </c>
    </row>
    <row r="87" spans="1:13" x14ac:dyDescent="0.2">
      <c r="A87" s="168">
        <f>IF(LEN(ITSecondTable[[#This Row],[Tag]]) &gt; 0, _xlfn.XLOOKUP(ITSecondTable[[#This Row],[Tag]],StorageTable[Tag], StorageTable[In Storage - Count Total], "Err", 0, 1), 0)</f>
        <v>6</v>
      </c>
      <c r="B87" s="1">
        <f>_xlfn.LET(_xlpm.loc, ITEquipmentTable[Storage Location],
COUNTIFS(ITSecondTable[Tag], ITSecondTable[[#This Row],[Tag]], _xlpm.loc, "&lt;&gt;In Use", _xlpm.loc, "&lt;&gt;",  _xlpm.loc, "&lt;&gt;E-Waste", _xlpm.loc, "&lt;&gt;Virtual",  _xlpm.loc, "&lt;&gt;Assigned to Employee", _xlpm.loc, "&lt;&gt;Decommisioned", _xlpm.loc, "&lt;&gt;Missing")
)</f>
        <v>17</v>
      </c>
      <c r="C87" s="1">
        <f>_xlfn.LET(_xlpm.loc, ITEquipmentTable[Storage Location],
COUNTIFS(ITSecondTable[Tag], ITSecondTable[[#This Row],[Tag]], _xlpm.loc, "&lt;&gt;E-Waste", _xlpm.loc, "&lt;&gt;Virtual", _xlpm.loc, "&lt;&gt;Decommisioned")
)</f>
        <v>64</v>
      </c>
      <c r="D87" s="168">
        <f>_xlfn.LET(_xlpm.loc, ITEquipmentTable[Storage Location],
COUNTIFS(ITSecondTable[Tag], ITSecondTable[[#This Row],[Tag]], _xlpm.loc, "Missing")
)</f>
        <v>0</v>
      </c>
      <c r="E87" s="168">
        <f>_xlfn.LET(_xlpm.loc, ITEquipmentTable[Storage Location],
COUNTIFS(ITSecondTable[Tag], ITSecondTable[[#This Row],[Tag]], _xlpm.loc, "In Use") + COUNTIFS(ITSecondTable[Tag], ITSecondTable[[#This Row],[Tag]], _xlpm.loc, "Assigned to Employee")
)</f>
        <v>30</v>
      </c>
      <c r="F87" s="168">
        <f>_xlfn.LET(_xlpm.loc, ITEquipmentTable[Storage Location],
COUNTIFS(ITSecondTable[Tag], ITSecondTable[[#This Row],[Tag]], _xlpm.loc, "")
)</f>
        <v>17</v>
      </c>
      <c r="G87" s="168">
        <f>MAX(ITSecondTable[[#This Row],[SQty]] - ITSecondTable[[#This Row],[IQty]], 0)</f>
        <v>11</v>
      </c>
      <c r="H87" s="168">
        <f>MAX(ITSecondTable[[#This Row],[IQty]]-ITSecondTable[[#This Row],[SQty]], 0)</f>
        <v>0</v>
      </c>
      <c r="I87" s="151" t="str">
        <f>IFERROR(_xlfn.TEXTJOIN("~", TRUE, ITEquipmentTable[[#This Row],[Type]],ITEquipmentTable[[#This Row],[Brand]],ITEquipmentTable[[#This Row],[Model]]), "")</f>
        <v>Desktop~Dell~OptiPlex 3040</v>
      </c>
      <c r="J87" s="151" t="b">
        <f xml:space="preserve"> _xlfn.IFNA(MATCH( ITSecondTable[[#This Row],[Tag]], StorageTable[Tag], 0)  &gt; -1, FALSE)</f>
        <v>0</v>
      </c>
      <c r="K87" s="168" t="b">
        <f>COUNTIFS(ITEquipmentTable[Serial], ITEquipmentTable[[#This Row],[Serial]], ITEquipmentTable[Serial], "&lt;&gt;N/A") &gt; 1</f>
        <v>0</v>
      </c>
      <c r="L87" s="168" t="b">
        <f>COUNTIFS(ITEquipmentTable[Name], ITEquipmentTable[[#This Row],[Name]], ITEquipmentTable[Name], "&lt;&gt;&lt;Unassigned&gt;",  ITEquipmentTable[Name], "&lt;&gt;N/A") &gt; 1</f>
        <v>0</v>
      </c>
      <c r="M87" s="168" t="b">
        <f>AND(COUNTIFS(ITEquipmentTable[IPv4 Address], ITEquipmentTable[[#This Row],[IPv4 Address]]) &gt; 1, ITEquipmentTable[[#This Row],[IPv4 Address]] &lt;&gt; "DHCP",  ITEquipmentTable[[#This Row],[IPv4 Address]] &lt;&gt; "N/A")</f>
        <v>0</v>
      </c>
    </row>
    <row r="88" spans="1:13" x14ac:dyDescent="0.2">
      <c r="A88" s="168">
        <f>IF(LEN(ITSecondTable[[#This Row],[Tag]]) &gt; 0, _xlfn.XLOOKUP(ITSecondTable[[#This Row],[Tag]],StorageTable[Tag], StorageTable[In Storage - Count Total], "Err", 0, 1), 0)</f>
        <v>0</v>
      </c>
      <c r="B88" s="1">
        <f>_xlfn.LET(_xlpm.loc, ITEquipmentTable[Storage Location],
COUNTIFS(ITSecondTable[Tag], ITSecondTable[[#This Row],[Tag]], _xlpm.loc, "&lt;&gt;In Use", _xlpm.loc, "&lt;&gt;",  _xlpm.loc, "&lt;&gt;E-Waste", _xlpm.loc, "&lt;&gt;Virtual",  _xlpm.loc, "&lt;&gt;Assigned to Employee", _xlpm.loc, "&lt;&gt;Decommisioned", _xlpm.loc, "&lt;&gt;Missing")
)</f>
        <v>0</v>
      </c>
      <c r="C88" s="1">
        <f>_xlfn.LET(_xlpm.loc, ITEquipmentTable[Storage Location],
COUNTIFS(ITSecondTable[Tag], ITSecondTable[[#This Row],[Tag]], _xlpm.loc, "&lt;&gt;E-Waste", _xlpm.loc, "&lt;&gt;Virtual", _xlpm.loc, "&lt;&gt;Decommisioned")
)</f>
        <v>32</v>
      </c>
      <c r="D88" s="168">
        <f>_xlfn.LET(_xlpm.loc, ITEquipmentTable[Storage Location],
COUNTIFS(ITSecondTable[Tag], ITSecondTable[[#This Row],[Tag]], _xlpm.loc, "Missing")
)</f>
        <v>0</v>
      </c>
      <c r="E88" s="168">
        <f>_xlfn.LET(_xlpm.loc, ITEquipmentTable[Storage Location],
COUNTIFS(ITSecondTable[Tag], ITSecondTable[[#This Row],[Tag]], _xlpm.loc, "In Use") + COUNTIFS(ITSecondTable[Tag], ITSecondTable[[#This Row],[Tag]], _xlpm.loc, "Assigned to Employee")
)</f>
        <v>26</v>
      </c>
      <c r="F88" s="168">
        <f>_xlfn.LET(_xlpm.loc, ITEquipmentTable[Storage Location],
COUNTIFS(ITSecondTable[Tag], ITSecondTable[[#This Row],[Tag]], _xlpm.loc, "")
)</f>
        <v>6</v>
      </c>
      <c r="G88" s="168">
        <f>MAX(ITSecondTable[[#This Row],[SQty]] - ITSecondTable[[#This Row],[IQty]], 0)</f>
        <v>0</v>
      </c>
      <c r="H88" s="168">
        <f>MAX(ITSecondTable[[#This Row],[IQty]]-ITSecondTable[[#This Row],[SQty]], 0)</f>
        <v>0</v>
      </c>
      <c r="I88" s="151" t="str">
        <f>IFERROR(_xlfn.TEXTJOIN("~", TRUE, ITEquipmentTable[[#This Row],[Type]],ITEquipmentTable[[#This Row],[Brand]],ITEquipmentTable[[#This Row],[Model]]), "")</f>
        <v>Desktop</v>
      </c>
      <c r="J88" s="151" t="b">
        <f xml:space="preserve"> _xlfn.IFNA(MATCH( ITSecondTable[[#This Row],[Tag]], StorageTable[Tag], 0)  &gt; -1, FALSE)</f>
        <v>1</v>
      </c>
      <c r="K88" s="168" t="b">
        <f>COUNTIFS(ITEquipmentTable[Serial], ITEquipmentTable[[#This Row],[Serial]], ITEquipmentTable[Serial], "&lt;&gt;N/A") &gt; 1</f>
        <v>0</v>
      </c>
      <c r="L88" s="168" t="b">
        <f>COUNTIFS(ITEquipmentTable[Name], ITEquipmentTable[[#This Row],[Name]], ITEquipmentTable[Name], "&lt;&gt;&lt;Unassigned&gt;",  ITEquipmentTable[Name], "&lt;&gt;N/A") &gt; 1</f>
        <v>0</v>
      </c>
      <c r="M88" s="168" t="b">
        <f>AND(COUNTIFS(ITEquipmentTable[IPv4 Address], ITEquipmentTable[[#This Row],[IPv4 Address]]) &gt; 1, ITEquipmentTable[[#This Row],[IPv4 Address]] &lt;&gt; "DHCP",  ITEquipmentTable[[#This Row],[IPv4 Address]] &lt;&gt; "N/A")</f>
        <v>0</v>
      </c>
    </row>
    <row r="89" spans="1:13" x14ac:dyDescent="0.2">
      <c r="A89" s="168">
        <f>IF(LEN(ITSecondTable[[#This Row],[Tag]]) &gt; 0, _xlfn.XLOOKUP(ITSecondTable[[#This Row],[Tag]],StorageTable[Tag], StorageTable[In Storage - Count Total], "Err", 0, 1), 0)</f>
        <v>6</v>
      </c>
      <c r="B89" s="1">
        <f>_xlfn.LET(_xlpm.loc, ITEquipmentTable[Storage Location],
COUNTIFS(ITSecondTable[Tag], ITSecondTable[[#This Row],[Tag]], _xlpm.loc, "&lt;&gt;In Use", _xlpm.loc, "&lt;&gt;",  _xlpm.loc, "&lt;&gt;E-Waste", _xlpm.loc, "&lt;&gt;Virtual",  _xlpm.loc, "&lt;&gt;Assigned to Employee", _xlpm.loc, "&lt;&gt;Decommisioned", _xlpm.loc, "&lt;&gt;Missing")
)</f>
        <v>17</v>
      </c>
      <c r="C89" s="1">
        <f>_xlfn.LET(_xlpm.loc, ITEquipmentTable[Storage Location],
COUNTIFS(ITSecondTable[Tag], ITSecondTable[[#This Row],[Tag]], _xlpm.loc, "&lt;&gt;E-Waste", _xlpm.loc, "&lt;&gt;Virtual", _xlpm.loc, "&lt;&gt;Decommisioned")
)</f>
        <v>64</v>
      </c>
      <c r="D89" s="168">
        <f>_xlfn.LET(_xlpm.loc, ITEquipmentTable[Storage Location],
COUNTIFS(ITSecondTable[Tag], ITSecondTable[[#This Row],[Tag]], _xlpm.loc, "Missing")
)</f>
        <v>0</v>
      </c>
      <c r="E89" s="168">
        <f>_xlfn.LET(_xlpm.loc, ITEquipmentTable[Storage Location],
COUNTIFS(ITSecondTable[Tag], ITSecondTable[[#This Row],[Tag]], _xlpm.loc, "In Use") + COUNTIFS(ITSecondTable[Tag], ITSecondTable[[#This Row],[Tag]], _xlpm.loc, "Assigned to Employee")
)</f>
        <v>30</v>
      </c>
      <c r="F89" s="168">
        <f>_xlfn.LET(_xlpm.loc, ITEquipmentTable[Storage Location],
COUNTIFS(ITSecondTable[Tag], ITSecondTable[[#This Row],[Tag]], _xlpm.loc, "")
)</f>
        <v>17</v>
      </c>
      <c r="G89" s="168">
        <f>MAX(ITSecondTable[[#This Row],[SQty]] - ITSecondTable[[#This Row],[IQty]], 0)</f>
        <v>11</v>
      </c>
      <c r="H89" s="168">
        <f>MAX(ITSecondTable[[#This Row],[IQty]]-ITSecondTable[[#This Row],[SQty]], 0)</f>
        <v>0</v>
      </c>
      <c r="I89" s="151" t="str">
        <f>IFERROR(_xlfn.TEXTJOIN("~", TRUE, ITEquipmentTable[[#This Row],[Type]],ITEquipmentTable[[#This Row],[Brand]],ITEquipmentTable[[#This Row],[Model]]), "")</f>
        <v>Desktop~Dell~OptiPlex 3040</v>
      </c>
      <c r="J89" s="151" t="b">
        <f xml:space="preserve"> _xlfn.IFNA(MATCH( ITSecondTable[[#This Row],[Tag]], StorageTable[Tag], 0)  &gt; -1, FALSE)</f>
        <v>0</v>
      </c>
      <c r="K89" s="168" t="b">
        <f>COUNTIFS(ITEquipmentTable[Serial], ITEquipmentTable[[#This Row],[Serial]], ITEquipmentTable[Serial], "&lt;&gt;N/A") &gt; 1</f>
        <v>0</v>
      </c>
      <c r="L89" s="168" t="b">
        <f>COUNTIFS(ITEquipmentTable[Name], ITEquipmentTable[[#This Row],[Name]], ITEquipmentTable[Name], "&lt;&gt;&lt;Unassigned&gt;",  ITEquipmentTable[Name], "&lt;&gt;N/A") &gt; 1</f>
        <v>0</v>
      </c>
      <c r="M89" s="168" t="b">
        <f>AND(COUNTIFS(ITEquipmentTable[IPv4 Address], ITEquipmentTable[[#This Row],[IPv4 Address]]) &gt; 1, ITEquipmentTable[[#This Row],[IPv4 Address]] &lt;&gt; "DHCP",  ITEquipmentTable[[#This Row],[IPv4 Address]] &lt;&gt; "N/A")</f>
        <v>0</v>
      </c>
    </row>
    <row r="90" spans="1:13" x14ac:dyDescent="0.2">
      <c r="A90" s="168">
        <f>IF(LEN(ITSecondTable[[#This Row],[Tag]]) &gt; 0, _xlfn.XLOOKUP(ITSecondTable[[#This Row],[Tag]],StorageTable[Tag], StorageTable[In Storage - Count Total], "Err", 0, 1), 0)</f>
        <v>6</v>
      </c>
      <c r="B90" s="1">
        <f>_xlfn.LET(_xlpm.loc, ITEquipmentTable[Storage Location],
COUNTIFS(ITSecondTable[Tag], ITSecondTable[[#This Row],[Tag]], _xlpm.loc, "&lt;&gt;In Use", _xlpm.loc, "&lt;&gt;",  _xlpm.loc, "&lt;&gt;E-Waste", _xlpm.loc, "&lt;&gt;Virtual",  _xlpm.loc, "&lt;&gt;Assigned to Employee", _xlpm.loc, "&lt;&gt;Decommisioned", _xlpm.loc, "&lt;&gt;Missing")
)</f>
        <v>17</v>
      </c>
      <c r="C90" s="1">
        <f>_xlfn.LET(_xlpm.loc, ITEquipmentTable[Storage Location],
COUNTIFS(ITSecondTable[Tag], ITSecondTable[[#This Row],[Tag]], _xlpm.loc, "&lt;&gt;E-Waste", _xlpm.loc, "&lt;&gt;Virtual", _xlpm.loc, "&lt;&gt;Decommisioned")
)</f>
        <v>64</v>
      </c>
      <c r="D90" s="168">
        <f>_xlfn.LET(_xlpm.loc, ITEquipmentTable[Storage Location],
COUNTIFS(ITSecondTable[Tag], ITSecondTable[[#This Row],[Tag]], _xlpm.loc, "Missing")
)</f>
        <v>0</v>
      </c>
      <c r="E90" s="168">
        <f>_xlfn.LET(_xlpm.loc, ITEquipmentTable[Storage Location],
COUNTIFS(ITSecondTable[Tag], ITSecondTable[[#This Row],[Tag]], _xlpm.loc, "In Use") + COUNTIFS(ITSecondTable[Tag], ITSecondTable[[#This Row],[Tag]], _xlpm.loc, "Assigned to Employee")
)</f>
        <v>30</v>
      </c>
      <c r="F90" s="168">
        <f>_xlfn.LET(_xlpm.loc, ITEquipmentTable[Storage Location],
COUNTIFS(ITSecondTable[Tag], ITSecondTable[[#This Row],[Tag]], _xlpm.loc, "")
)</f>
        <v>17</v>
      </c>
      <c r="G90" s="168">
        <f>MAX(ITSecondTable[[#This Row],[SQty]] - ITSecondTable[[#This Row],[IQty]], 0)</f>
        <v>11</v>
      </c>
      <c r="H90" s="168">
        <f>MAX(ITSecondTable[[#This Row],[IQty]]-ITSecondTable[[#This Row],[SQty]], 0)</f>
        <v>0</v>
      </c>
      <c r="I90" s="151" t="str">
        <f>IFERROR(_xlfn.TEXTJOIN("~", TRUE, ITEquipmentTable[[#This Row],[Type]],ITEquipmentTable[[#This Row],[Brand]],ITEquipmentTable[[#This Row],[Model]]), "")</f>
        <v>Desktop~Dell~OptiPlex 3040</v>
      </c>
      <c r="J90" s="151" t="b">
        <f xml:space="preserve"> _xlfn.IFNA(MATCH( ITSecondTable[[#This Row],[Tag]], StorageTable[Tag], 0)  &gt; -1, FALSE)</f>
        <v>0</v>
      </c>
      <c r="K90" s="168" t="b">
        <f>COUNTIFS(ITEquipmentTable[Serial], ITEquipmentTable[[#This Row],[Serial]], ITEquipmentTable[Serial], "&lt;&gt;N/A") &gt; 1</f>
        <v>0</v>
      </c>
      <c r="L90" s="168" t="b">
        <f>COUNTIFS(ITEquipmentTable[Name], ITEquipmentTable[[#This Row],[Name]], ITEquipmentTable[Name], "&lt;&gt;&lt;Unassigned&gt;",  ITEquipmentTable[Name], "&lt;&gt;N/A") &gt; 1</f>
        <v>0</v>
      </c>
      <c r="M90" s="168" t="b">
        <f>AND(COUNTIFS(ITEquipmentTable[IPv4 Address], ITEquipmentTable[[#This Row],[IPv4 Address]]) &gt; 1, ITEquipmentTable[[#This Row],[IPv4 Address]] &lt;&gt; "DHCP",  ITEquipmentTable[[#This Row],[IPv4 Address]] &lt;&gt; "N/A")</f>
        <v>0</v>
      </c>
    </row>
    <row r="91" spans="1:13" x14ac:dyDescent="0.2">
      <c r="A91" s="168">
        <f>IF(LEN(ITSecondTable[[#This Row],[Tag]]) &gt; 0, _xlfn.XLOOKUP(ITSecondTable[[#This Row],[Tag]],StorageTable[Tag], StorageTable[In Storage - Count Total], "Err", 0, 1), 0)</f>
        <v>6</v>
      </c>
      <c r="B91" s="1">
        <f>_xlfn.LET(_xlpm.loc, ITEquipmentTable[Storage Location],
COUNTIFS(ITSecondTable[Tag], ITSecondTable[[#This Row],[Tag]], _xlpm.loc, "&lt;&gt;In Use", _xlpm.loc, "&lt;&gt;",  _xlpm.loc, "&lt;&gt;E-Waste", _xlpm.loc, "&lt;&gt;Virtual",  _xlpm.loc, "&lt;&gt;Assigned to Employee", _xlpm.loc, "&lt;&gt;Decommisioned", _xlpm.loc, "&lt;&gt;Missing")
)</f>
        <v>17</v>
      </c>
      <c r="C91" s="1">
        <f>_xlfn.LET(_xlpm.loc, ITEquipmentTable[Storage Location],
COUNTIFS(ITSecondTable[Tag], ITSecondTable[[#This Row],[Tag]], _xlpm.loc, "&lt;&gt;E-Waste", _xlpm.loc, "&lt;&gt;Virtual", _xlpm.loc, "&lt;&gt;Decommisioned")
)</f>
        <v>64</v>
      </c>
      <c r="D91" s="168">
        <f>_xlfn.LET(_xlpm.loc, ITEquipmentTable[Storage Location],
COUNTIFS(ITSecondTable[Tag], ITSecondTable[[#This Row],[Tag]], _xlpm.loc, "Missing")
)</f>
        <v>0</v>
      </c>
      <c r="E91" s="168">
        <f>_xlfn.LET(_xlpm.loc, ITEquipmentTable[Storage Location],
COUNTIFS(ITSecondTable[Tag], ITSecondTable[[#This Row],[Tag]], _xlpm.loc, "In Use") + COUNTIFS(ITSecondTable[Tag], ITSecondTable[[#This Row],[Tag]], _xlpm.loc, "Assigned to Employee")
)</f>
        <v>30</v>
      </c>
      <c r="F91" s="168">
        <f>_xlfn.LET(_xlpm.loc, ITEquipmentTable[Storage Location],
COUNTIFS(ITSecondTable[Tag], ITSecondTable[[#This Row],[Tag]], _xlpm.loc, "")
)</f>
        <v>17</v>
      </c>
      <c r="G91" s="168">
        <f>MAX(ITSecondTable[[#This Row],[SQty]] - ITSecondTable[[#This Row],[IQty]], 0)</f>
        <v>11</v>
      </c>
      <c r="H91" s="168">
        <f>MAX(ITSecondTable[[#This Row],[IQty]]-ITSecondTable[[#This Row],[SQty]], 0)</f>
        <v>0</v>
      </c>
      <c r="I91" s="151" t="str">
        <f>IFERROR(_xlfn.TEXTJOIN("~", TRUE, ITEquipmentTable[[#This Row],[Type]],ITEquipmentTable[[#This Row],[Brand]],ITEquipmentTable[[#This Row],[Model]]), "")</f>
        <v>Desktop~Dell~OptiPlex 3040</v>
      </c>
      <c r="J91" s="151" t="b">
        <f xml:space="preserve"> _xlfn.IFNA(MATCH( ITSecondTable[[#This Row],[Tag]], StorageTable[Tag], 0)  &gt; -1, FALSE)</f>
        <v>0</v>
      </c>
      <c r="K91" s="168" t="b">
        <f>COUNTIFS(ITEquipmentTable[Serial], ITEquipmentTable[[#This Row],[Serial]], ITEquipmentTable[Serial], "&lt;&gt;N/A") &gt; 1</f>
        <v>0</v>
      </c>
      <c r="L91" s="168" t="b">
        <f>COUNTIFS(ITEquipmentTable[Name], ITEquipmentTable[[#This Row],[Name]], ITEquipmentTable[Name], "&lt;&gt;&lt;Unassigned&gt;",  ITEquipmentTable[Name], "&lt;&gt;N/A") &gt; 1</f>
        <v>0</v>
      </c>
      <c r="M91" s="168" t="b">
        <f>AND(COUNTIFS(ITEquipmentTable[IPv4 Address], ITEquipmentTable[[#This Row],[IPv4 Address]]) &gt; 1, ITEquipmentTable[[#This Row],[IPv4 Address]] &lt;&gt; "DHCP",  ITEquipmentTable[[#This Row],[IPv4 Address]] &lt;&gt; "N/A")</f>
        <v>0</v>
      </c>
    </row>
    <row r="92" spans="1:13" x14ac:dyDescent="0.2">
      <c r="A92" s="168">
        <f>IF(LEN(ITSecondTable[[#This Row],[Tag]]) &gt; 0, _xlfn.XLOOKUP(ITSecondTable[[#This Row],[Tag]],StorageTable[Tag], StorageTable[In Storage - Count Total], "Err", 0, 1), 0)</f>
        <v>6</v>
      </c>
      <c r="B92" s="1">
        <f>_xlfn.LET(_xlpm.loc, ITEquipmentTable[Storage Location],
COUNTIFS(ITSecondTable[Tag], ITSecondTable[[#This Row],[Tag]], _xlpm.loc, "&lt;&gt;In Use", _xlpm.loc, "&lt;&gt;",  _xlpm.loc, "&lt;&gt;E-Waste", _xlpm.loc, "&lt;&gt;Virtual",  _xlpm.loc, "&lt;&gt;Assigned to Employee", _xlpm.loc, "&lt;&gt;Decommisioned", _xlpm.loc, "&lt;&gt;Missing")
)</f>
        <v>17</v>
      </c>
      <c r="C92" s="1">
        <f>_xlfn.LET(_xlpm.loc, ITEquipmentTable[Storage Location],
COUNTIFS(ITSecondTable[Tag], ITSecondTable[[#This Row],[Tag]], _xlpm.loc, "&lt;&gt;E-Waste", _xlpm.loc, "&lt;&gt;Virtual", _xlpm.loc, "&lt;&gt;Decommisioned")
)</f>
        <v>64</v>
      </c>
      <c r="D92" s="168">
        <f>_xlfn.LET(_xlpm.loc, ITEquipmentTable[Storage Location],
COUNTIFS(ITSecondTable[Tag], ITSecondTable[[#This Row],[Tag]], _xlpm.loc, "Missing")
)</f>
        <v>0</v>
      </c>
      <c r="E92" s="168">
        <f>_xlfn.LET(_xlpm.loc, ITEquipmentTable[Storage Location],
COUNTIFS(ITSecondTable[Tag], ITSecondTable[[#This Row],[Tag]], _xlpm.loc, "In Use") + COUNTIFS(ITSecondTable[Tag], ITSecondTable[[#This Row],[Tag]], _xlpm.loc, "Assigned to Employee")
)</f>
        <v>30</v>
      </c>
      <c r="F92" s="168">
        <f>_xlfn.LET(_xlpm.loc, ITEquipmentTable[Storage Location],
COUNTIFS(ITSecondTable[Tag], ITSecondTable[[#This Row],[Tag]], _xlpm.loc, "")
)</f>
        <v>17</v>
      </c>
      <c r="G92" s="168">
        <f>MAX(ITSecondTable[[#This Row],[SQty]] - ITSecondTable[[#This Row],[IQty]], 0)</f>
        <v>11</v>
      </c>
      <c r="H92" s="168">
        <f>MAX(ITSecondTable[[#This Row],[IQty]]-ITSecondTable[[#This Row],[SQty]], 0)</f>
        <v>0</v>
      </c>
      <c r="I92" s="151" t="str">
        <f>IFERROR(_xlfn.TEXTJOIN("~", TRUE, ITEquipmentTable[[#This Row],[Type]],ITEquipmentTable[[#This Row],[Brand]],ITEquipmentTable[[#This Row],[Model]]), "")</f>
        <v>Desktop~Dell~OptiPlex 3040</v>
      </c>
      <c r="J92" s="151" t="b">
        <f xml:space="preserve"> _xlfn.IFNA(MATCH( ITSecondTable[[#This Row],[Tag]], StorageTable[Tag], 0)  &gt; -1, FALSE)</f>
        <v>0</v>
      </c>
      <c r="K92" s="168" t="b">
        <f>COUNTIFS(ITEquipmentTable[Serial], ITEquipmentTable[[#This Row],[Serial]], ITEquipmentTable[Serial], "&lt;&gt;N/A") &gt; 1</f>
        <v>0</v>
      </c>
      <c r="L92" s="168" t="b">
        <f>COUNTIFS(ITEquipmentTable[Name], ITEquipmentTable[[#This Row],[Name]], ITEquipmentTable[Name], "&lt;&gt;&lt;Unassigned&gt;",  ITEquipmentTable[Name], "&lt;&gt;N/A") &gt; 1</f>
        <v>0</v>
      </c>
      <c r="M92" s="168" t="b">
        <f>AND(COUNTIFS(ITEquipmentTable[IPv4 Address], ITEquipmentTable[[#This Row],[IPv4 Address]]) &gt; 1, ITEquipmentTable[[#This Row],[IPv4 Address]] &lt;&gt; "DHCP",  ITEquipmentTable[[#This Row],[IPv4 Address]] &lt;&gt; "N/A")</f>
        <v>0</v>
      </c>
    </row>
    <row r="93" spans="1:13" x14ac:dyDescent="0.2">
      <c r="A93" s="168">
        <f>IF(LEN(ITSecondTable[[#This Row],[Tag]]) &gt; 0, _xlfn.XLOOKUP(ITSecondTable[[#This Row],[Tag]],StorageTable[Tag], StorageTable[In Storage - Count Total], "Err", 0, 1), 0)</f>
        <v>6</v>
      </c>
      <c r="B93" s="1">
        <f>_xlfn.LET(_xlpm.loc, ITEquipmentTable[Storage Location],
COUNTIFS(ITSecondTable[Tag], ITSecondTable[[#This Row],[Tag]], _xlpm.loc, "&lt;&gt;In Use", _xlpm.loc, "&lt;&gt;",  _xlpm.loc, "&lt;&gt;E-Waste", _xlpm.loc, "&lt;&gt;Virtual",  _xlpm.loc, "&lt;&gt;Assigned to Employee", _xlpm.loc, "&lt;&gt;Decommisioned", _xlpm.loc, "&lt;&gt;Missing")
)</f>
        <v>17</v>
      </c>
      <c r="C93" s="1">
        <f>_xlfn.LET(_xlpm.loc, ITEquipmentTable[Storage Location],
COUNTIFS(ITSecondTable[Tag], ITSecondTable[[#This Row],[Tag]], _xlpm.loc, "&lt;&gt;E-Waste", _xlpm.loc, "&lt;&gt;Virtual", _xlpm.loc, "&lt;&gt;Decommisioned")
)</f>
        <v>64</v>
      </c>
      <c r="D93" s="168">
        <f>_xlfn.LET(_xlpm.loc, ITEquipmentTable[Storage Location],
COUNTIFS(ITSecondTable[Tag], ITSecondTable[[#This Row],[Tag]], _xlpm.loc, "Missing")
)</f>
        <v>0</v>
      </c>
      <c r="E93" s="168">
        <f>_xlfn.LET(_xlpm.loc, ITEquipmentTable[Storage Location],
COUNTIFS(ITSecondTable[Tag], ITSecondTable[[#This Row],[Tag]], _xlpm.loc, "In Use") + COUNTIFS(ITSecondTable[Tag], ITSecondTable[[#This Row],[Tag]], _xlpm.loc, "Assigned to Employee")
)</f>
        <v>30</v>
      </c>
      <c r="F93" s="168">
        <f>_xlfn.LET(_xlpm.loc, ITEquipmentTable[Storage Location],
COUNTIFS(ITSecondTable[Tag], ITSecondTable[[#This Row],[Tag]], _xlpm.loc, "")
)</f>
        <v>17</v>
      </c>
      <c r="G93" s="168">
        <f>MAX(ITSecondTable[[#This Row],[SQty]] - ITSecondTable[[#This Row],[IQty]], 0)</f>
        <v>11</v>
      </c>
      <c r="H93" s="168">
        <f>MAX(ITSecondTable[[#This Row],[IQty]]-ITSecondTable[[#This Row],[SQty]], 0)</f>
        <v>0</v>
      </c>
      <c r="I93" s="151" t="str">
        <f>IFERROR(_xlfn.TEXTJOIN("~", TRUE, ITEquipmentTable[[#This Row],[Type]],ITEquipmentTable[[#This Row],[Brand]],ITEquipmentTable[[#This Row],[Model]]), "")</f>
        <v>Desktop~Dell~OptiPlex 3040</v>
      </c>
      <c r="J93" s="151" t="b">
        <f xml:space="preserve"> _xlfn.IFNA(MATCH( ITSecondTable[[#This Row],[Tag]], StorageTable[Tag], 0)  &gt; -1, FALSE)</f>
        <v>0</v>
      </c>
      <c r="K93" s="168" t="b">
        <f>COUNTIFS(ITEquipmentTable[Serial], ITEquipmentTable[[#This Row],[Serial]], ITEquipmentTable[Serial], "&lt;&gt;N/A") &gt; 1</f>
        <v>0</v>
      </c>
      <c r="L93" s="168" t="b">
        <f>COUNTIFS(ITEquipmentTable[Name], ITEquipmentTable[[#This Row],[Name]], ITEquipmentTable[Name], "&lt;&gt;&lt;Unassigned&gt;",  ITEquipmentTable[Name], "&lt;&gt;N/A") &gt; 1</f>
        <v>0</v>
      </c>
      <c r="M93" s="168" t="b">
        <f>AND(COUNTIFS(ITEquipmentTable[IPv4 Address], ITEquipmentTable[[#This Row],[IPv4 Address]]) &gt; 1, ITEquipmentTable[[#This Row],[IPv4 Address]] &lt;&gt; "DHCP",  ITEquipmentTable[[#This Row],[IPv4 Address]] &lt;&gt; "N/A")</f>
        <v>0</v>
      </c>
    </row>
    <row r="94" spans="1:13" x14ac:dyDescent="0.2">
      <c r="A94" s="168">
        <f>IF(LEN(ITSecondTable[[#This Row],[Tag]]) &gt; 0, _xlfn.XLOOKUP(ITSecondTable[[#This Row],[Tag]],StorageTable[Tag], StorageTable[In Storage - Count Total], "Err", 0, 1), 0)</f>
        <v>6</v>
      </c>
      <c r="B94" s="1">
        <f>_xlfn.LET(_xlpm.loc, ITEquipmentTable[Storage Location],
COUNTIFS(ITSecondTable[Tag], ITSecondTable[[#This Row],[Tag]], _xlpm.loc, "&lt;&gt;In Use", _xlpm.loc, "&lt;&gt;",  _xlpm.loc, "&lt;&gt;E-Waste", _xlpm.loc, "&lt;&gt;Virtual",  _xlpm.loc, "&lt;&gt;Assigned to Employee", _xlpm.loc, "&lt;&gt;Decommisioned", _xlpm.loc, "&lt;&gt;Missing")
)</f>
        <v>17</v>
      </c>
      <c r="C94" s="1">
        <f>_xlfn.LET(_xlpm.loc, ITEquipmentTable[Storage Location],
COUNTIFS(ITSecondTable[Tag], ITSecondTable[[#This Row],[Tag]], _xlpm.loc, "&lt;&gt;E-Waste", _xlpm.loc, "&lt;&gt;Virtual", _xlpm.loc, "&lt;&gt;Decommisioned")
)</f>
        <v>64</v>
      </c>
      <c r="D94" s="168">
        <f>_xlfn.LET(_xlpm.loc, ITEquipmentTable[Storage Location],
COUNTIFS(ITSecondTable[Tag], ITSecondTable[[#This Row],[Tag]], _xlpm.loc, "Missing")
)</f>
        <v>0</v>
      </c>
      <c r="E94" s="168">
        <f>_xlfn.LET(_xlpm.loc, ITEquipmentTable[Storage Location],
COUNTIFS(ITSecondTable[Tag], ITSecondTable[[#This Row],[Tag]], _xlpm.loc, "In Use") + COUNTIFS(ITSecondTable[Tag], ITSecondTable[[#This Row],[Tag]], _xlpm.loc, "Assigned to Employee")
)</f>
        <v>30</v>
      </c>
      <c r="F94" s="168">
        <f>_xlfn.LET(_xlpm.loc, ITEquipmentTable[Storage Location],
COUNTIFS(ITSecondTable[Tag], ITSecondTable[[#This Row],[Tag]], _xlpm.loc, "")
)</f>
        <v>17</v>
      </c>
      <c r="G94" s="168">
        <f>MAX(ITSecondTable[[#This Row],[SQty]] - ITSecondTable[[#This Row],[IQty]], 0)</f>
        <v>11</v>
      </c>
      <c r="H94" s="168">
        <f>MAX(ITSecondTable[[#This Row],[IQty]]-ITSecondTable[[#This Row],[SQty]], 0)</f>
        <v>0</v>
      </c>
      <c r="I94" s="151" t="str">
        <f>IFERROR(_xlfn.TEXTJOIN("~", TRUE, ITEquipmentTable[[#This Row],[Type]],ITEquipmentTable[[#This Row],[Brand]],ITEquipmentTable[[#This Row],[Model]]), "")</f>
        <v>Desktop~Dell~OptiPlex 3040</v>
      </c>
      <c r="J94" s="151" t="b">
        <f xml:space="preserve"> _xlfn.IFNA(MATCH( ITSecondTable[[#This Row],[Tag]], StorageTable[Tag], 0)  &gt; -1, FALSE)</f>
        <v>0</v>
      </c>
      <c r="K94" s="168" t="b">
        <f>COUNTIFS(ITEquipmentTable[Serial], ITEquipmentTable[[#This Row],[Serial]], ITEquipmentTable[Serial], "&lt;&gt;N/A") &gt; 1</f>
        <v>0</v>
      </c>
      <c r="L94" s="168" t="b">
        <f>COUNTIFS(ITEquipmentTable[Name], ITEquipmentTable[[#This Row],[Name]], ITEquipmentTable[Name], "&lt;&gt;&lt;Unassigned&gt;",  ITEquipmentTable[Name], "&lt;&gt;N/A") &gt; 1</f>
        <v>0</v>
      </c>
      <c r="M94" s="168" t="b">
        <f>AND(COUNTIFS(ITEquipmentTable[IPv4 Address], ITEquipmentTable[[#This Row],[IPv4 Address]]) &gt; 1, ITEquipmentTable[[#This Row],[IPv4 Address]] &lt;&gt; "DHCP",  ITEquipmentTable[[#This Row],[IPv4 Address]] &lt;&gt; "N/A")</f>
        <v>0</v>
      </c>
    </row>
    <row r="95" spans="1:13" x14ac:dyDescent="0.2">
      <c r="A95" s="168">
        <f>IF(LEN(ITSecondTable[[#This Row],[Tag]]) &gt; 0, _xlfn.XLOOKUP(ITSecondTable[[#This Row],[Tag]],StorageTable[Tag], StorageTable[In Storage - Count Total], "Err", 0, 1), 0)</f>
        <v>6</v>
      </c>
      <c r="B95" s="1">
        <f>_xlfn.LET(_xlpm.loc, ITEquipmentTable[Storage Location],
COUNTIFS(ITSecondTable[Tag], ITSecondTable[[#This Row],[Tag]], _xlpm.loc, "&lt;&gt;In Use", _xlpm.loc, "&lt;&gt;",  _xlpm.loc, "&lt;&gt;E-Waste", _xlpm.loc, "&lt;&gt;Virtual",  _xlpm.loc, "&lt;&gt;Assigned to Employee", _xlpm.loc, "&lt;&gt;Decommisioned", _xlpm.loc, "&lt;&gt;Missing")
)</f>
        <v>17</v>
      </c>
      <c r="C95" s="1">
        <f>_xlfn.LET(_xlpm.loc, ITEquipmentTable[Storage Location],
COUNTIFS(ITSecondTable[Tag], ITSecondTable[[#This Row],[Tag]], _xlpm.loc, "&lt;&gt;E-Waste", _xlpm.loc, "&lt;&gt;Virtual", _xlpm.loc, "&lt;&gt;Decommisioned")
)</f>
        <v>64</v>
      </c>
      <c r="D95" s="168">
        <f>_xlfn.LET(_xlpm.loc, ITEquipmentTable[Storage Location],
COUNTIFS(ITSecondTable[Tag], ITSecondTable[[#This Row],[Tag]], _xlpm.loc, "Missing")
)</f>
        <v>0</v>
      </c>
      <c r="E95" s="168">
        <f>_xlfn.LET(_xlpm.loc, ITEquipmentTable[Storage Location],
COUNTIFS(ITSecondTable[Tag], ITSecondTable[[#This Row],[Tag]], _xlpm.loc, "In Use") + COUNTIFS(ITSecondTable[Tag], ITSecondTable[[#This Row],[Tag]], _xlpm.loc, "Assigned to Employee")
)</f>
        <v>30</v>
      </c>
      <c r="F95" s="168">
        <f>_xlfn.LET(_xlpm.loc, ITEquipmentTable[Storage Location],
COUNTIFS(ITSecondTable[Tag], ITSecondTable[[#This Row],[Tag]], _xlpm.loc, "")
)</f>
        <v>17</v>
      </c>
      <c r="G95" s="168">
        <f>MAX(ITSecondTable[[#This Row],[SQty]] - ITSecondTable[[#This Row],[IQty]], 0)</f>
        <v>11</v>
      </c>
      <c r="H95" s="168">
        <f>MAX(ITSecondTable[[#This Row],[IQty]]-ITSecondTable[[#This Row],[SQty]], 0)</f>
        <v>0</v>
      </c>
      <c r="I95" s="151" t="str">
        <f>IFERROR(_xlfn.TEXTJOIN("~", TRUE, ITEquipmentTable[[#This Row],[Type]],ITEquipmentTable[[#This Row],[Brand]],ITEquipmentTable[[#This Row],[Model]]), "")</f>
        <v>Desktop~Dell~OptiPlex 3040</v>
      </c>
      <c r="J95" s="151" t="b">
        <f xml:space="preserve"> _xlfn.IFNA(MATCH( ITSecondTable[[#This Row],[Tag]], StorageTable[Tag], 0)  &gt; -1, FALSE)</f>
        <v>0</v>
      </c>
      <c r="K95" s="168" t="b">
        <f>COUNTIFS(ITEquipmentTable[Serial], ITEquipmentTable[[#This Row],[Serial]], ITEquipmentTable[Serial], "&lt;&gt;N/A") &gt; 1</f>
        <v>0</v>
      </c>
      <c r="L95" s="168" t="b">
        <f>COUNTIFS(ITEquipmentTable[Name], ITEquipmentTable[[#This Row],[Name]], ITEquipmentTable[Name], "&lt;&gt;&lt;Unassigned&gt;",  ITEquipmentTable[Name], "&lt;&gt;N/A") &gt; 1</f>
        <v>0</v>
      </c>
      <c r="M95" s="168" t="b">
        <f>AND(COUNTIFS(ITEquipmentTable[IPv4 Address], ITEquipmentTable[[#This Row],[IPv4 Address]]) &gt; 1, ITEquipmentTable[[#This Row],[IPv4 Address]] &lt;&gt; "DHCP",  ITEquipmentTable[[#This Row],[IPv4 Address]] &lt;&gt; "N/A")</f>
        <v>0</v>
      </c>
    </row>
    <row r="96" spans="1:13" x14ac:dyDescent="0.2">
      <c r="A96" s="168">
        <f>IF(LEN(ITSecondTable[[#This Row],[Tag]]) &gt; 0, _xlfn.XLOOKUP(ITSecondTable[[#This Row],[Tag]],StorageTable[Tag], StorageTable[In Storage - Count Total], "Err", 0, 1), 0)</f>
        <v>6</v>
      </c>
      <c r="B96" s="1">
        <f>_xlfn.LET(_xlpm.loc, ITEquipmentTable[Storage Location],
COUNTIFS(ITSecondTable[Tag], ITSecondTable[[#This Row],[Tag]], _xlpm.loc, "&lt;&gt;In Use", _xlpm.loc, "&lt;&gt;",  _xlpm.loc, "&lt;&gt;E-Waste", _xlpm.loc, "&lt;&gt;Virtual",  _xlpm.loc, "&lt;&gt;Assigned to Employee", _xlpm.loc, "&lt;&gt;Decommisioned", _xlpm.loc, "&lt;&gt;Missing")
)</f>
        <v>17</v>
      </c>
      <c r="C96" s="1">
        <f>_xlfn.LET(_xlpm.loc, ITEquipmentTable[Storage Location],
COUNTIFS(ITSecondTable[Tag], ITSecondTable[[#This Row],[Tag]], _xlpm.loc, "&lt;&gt;E-Waste", _xlpm.loc, "&lt;&gt;Virtual", _xlpm.loc, "&lt;&gt;Decommisioned")
)</f>
        <v>64</v>
      </c>
      <c r="D96" s="168">
        <f>_xlfn.LET(_xlpm.loc, ITEquipmentTable[Storage Location],
COUNTIFS(ITSecondTable[Tag], ITSecondTable[[#This Row],[Tag]], _xlpm.loc, "Missing")
)</f>
        <v>0</v>
      </c>
      <c r="E96" s="168">
        <f>_xlfn.LET(_xlpm.loc, ITEquipmentTable[Storage Location],
COUNTIFS(ITSecondTable[Tag], ITSecondTable[[#This Row],[Tag]], _xlpm.loc, "In Use") + COUNTIFS(ITSecondTable[Tag], ITSecondTable[[#This Row],[Tag]], _xlpm.loc, "Assigned to Employee")
)</f>
        <v>30</v>
      </c>
      <c r="F96" s="168">
        <f>_xlfn.LET(_xlpm.loc, ITEquipmentTable[Storage Location],
COUNTIFS(ITSecondTable[Tag], ITSecondTable[[#This Row],[Tag]], _xlpm.loc, "")
)</f>
        <v>17</v>
      </c>
      <c r="G96" s="168">
        <f>MAX(ITSecondTable[[#This Row],[SQty]] - ITSecondTable[[#This Row],[IQty]], 0)</f>
        <v>11</v>
      </c>
      <c r="H96" s="168">
        <f>MAX(ITSecondTable[[#This Row],[IQty]]-ITSecondTable[[#This Row],[SQty]], 0)</f>
        <v>0</v>
      </c>
      <c r="I96" s="151" t="str">
        <f>IFERROR(_xlfn.TEXTJOIN("~", TRUE, ITEquipmentTable[[#This Row],[Type]],ITEquipmentTable[[#This Row],[Brand]],ITEquipmentTable[[#This Row],[Model]]), "")</f>
        <v>Desktop~Dell~OptiPlex 3040</v>
      </c>
      <c r="J96" s="151" t="b">
        <f xml:space="preserve"> _xlfn.IFNA(MATCH( ITSecondTable[[#This Row],[Tag]], StorageTable[Tag], 0)  &gt; -1, FALSE)</f>
        <v>0</v>
      </c>
      <c r="K96" s="168" t="b">
        <f>COUNTIFS(ITEquipmentTable[Serial], ITEquipmentTable[[#This Row],[Serial]], ITEquipmentTable[Serial], "&lt;&gt;N/A") &gt; 1</f>
        <v>0</v>
      </c>
      <c r="L96" s="168" t="b">
        <f>COUNTIFS(ITEquipmentTable[Name], ITEquipmentTable[[#This Row],[Name]], ITEquipmentTable[Name], "&lt;&gt;&lt;Unassigned&gt;",  ITEquipmentTable[Name], "&lt;&gt;N/A") &gt; 1</f>
        <v>0</v>
      </c>
      <c r="M96" s="168" t="b">
        <f>AND(COUNTIFS(ITEquipmentTable[IPv4 Address], ITEquipmentTable[[#This Row],[IPv4 Address]]) &gt; 1, ITEquipmentTable[[#This Row],[IPv4 Address]] &lt;&gt; "DHCP",  ITEquipmentTable[[#This Row],[IPv4 Address]] &lt;&gt; "N/A")</f>
        <v>0</v>
      </c>
    </row>
    <row r="97" spans="1:13" x14ac:dyDescent="0.2">
      <c r="A97" s="168">
        <f>IF(LEN(ITSecondTable[[#This Row],[Tag]]) &gt; 0, _xlfn.XLOOKUP(ITSecondTable[[#This Row],[Tag]],StorageTable[Tag], StorageTable[In Storage - Count Total], "Err", 0, 1), 0)</f>
        <v>1</v>
      </c>
      <c r="B97" s="1">
        <f>_xlfn.LET(_xlpm.loc, ITEquipmentTable[Storage Location],
COUNTIFS(ITSecondTable[Tag], ITSecondTable[[#This Row],[Tag]], _xlpm.loc, "&lt;&gt;In Use", _xlpm.loc, "&lt;&gt;",  _xlpm.loc, "&lt;&gt;E-Waste", _xlpm.loc, "&lt;&gt;Virtual",  _xlpm.loc, "&lt;&gt;Assigned to Employee", _xlpm.loc, "&lt;&gt;Decommisioned", _xlpm.loc, "&lt;&gt;Missing")
)</f>
        <v>1</v>
      </c>
      <c r="C97" s="1">
        <f>_xlfn.LET(_xlpm.loc, ITEquipmentTable[Storage Location],
COUNTIFS(ITSecondTable[Tag], ITSecondTable[[#This Row],[Tag]], _xlpm.loc, "&lt;&gt;E-Waste", _xlpm.loc, "&lt;&gt;Virtual", _xlpm.loc, "&lt;&gt;Decommisioned")
)</f>
        <v>1</v>
      </c>
      <c r="D97" s="168">
        <f>_xlfn.LET(_xlpm.loc, ITEquipmentTable[Storage Location],
COUNTIFS(ITSecondTable[Tag], ITSecondTable[[#This Row],[Tag]], _xlpm.loc, "Missing")
)</f>
        <v>0</v>
      </c>
      <c r="E97" s="168">
        <f>_xlfn.LET(_xlpm.loc, ITEquipmentTable[Storage Location],
COUNTIFS(ITSecondTable[Tag], ITSecondTable[[#This Row],[Tag]], _xlpm.loc, "In Use") + COUNTIFS(ITSecondTable[Tag], ITSecondTable[[#This Row],[Tag]], _xlpm.loc, "Assigned to Employee")
)</f>
        <v>0</v>
      </c>
      <c r="F97" s="168">
        <f>_xlfn.LET(_xlpm.loc, ITEquipmentTable[Storage Location],
COUNTIFS(ITSecondTable[Tag], ITSecondTable[[#This Row],[Tag]], _xlpm.loc, "")
)</f>
        <v>0</v>
      </c>
      <c r="G97" s="168">
        <f>MAX(ITSecondTable[[#This Row],[SQty]] - ITSecondTable[[#This Row],[IQty]], 0)</f>
        <v>0</v>
      </c>
      <c r="H97" s="168">
        <f>MAX(ITSecondTable[[#This Row],[IQty]]-ITSecondTable[[#This Row],[SQty]], 0)</f>
        <v>0</v>
      </c>
      <c r="I97" s="151" t="str">
        <f>IFERROR(_xlfn.TEXTJOIN("~", TRUE, ITEquipmentTable[[#This Row],[Type]],ITEquipmentTable[[#This Row],[Brand]],ITEquipmentTable[[#This Row],[Model]]), "")</f>
        <v>Desktop~Dell~OptiPlex 5050</v>
      </c>
      <c r="J97" s="151" t="b">
        <f xml:space="preserve"> _xlfn.IFNA(MATCH( ITSecondTable[[#This Row],[Tag]], StorageTable[Tag], 0)  &gt; -1, FALSE)</f>
        <v>0</v>
      </c>
      <c r="K97" s="168" t="b">
        <f>COUNTIFS(ITEquipmentTable[Serial], ITEquipmentTable[[#This Row],[Serial]], ITEquipmentTable[Serial], "&lt;&gt;N/A") &gt; 1</f>
        <v>0</v>
      </c>
      <c r="L97" s="168" t="b">
        <f>COUNTIFS(ITEquipmentTable[Name], ITEquipmentTable[[#This Row],[Name]], ITEquipmentTable[Name], "&lt;&gt;&lt;Unassigned&gt;",  ITEquipmentTable[Name], "&lt;&gt;N/A") &gt; 1</f>
        <v>0</v>
      </c>
      <c r="M97" s="168" t="b">
        <f>AND(COUNTIFS(ITEquipmentTable[IPv4 Address], ITEquipmentTable[[#This Row],[IPv4 Address]]) &gt; 1, ITEquipmentTable[[#This Row],[IPv4 Address]] &lt;&gt; "DHCP",  ITEquipmentTable[[#This Row],[IPv4 Address]] &lt;&gt; "N/A")</f>
        <v>0</v>
      </c>
    </row>
    <row r="98" spans="1:13" x14ac:dyDescent="0.2">
      <c r="A98" s="168">
        <f>IF(LEN(ITSecondTable[[#This Row],[Tag]]) &gt; 0, _xlfn.XLOOKUP(ITSecondTable[[#This Row],[Tag]],StorageTable[Tag], StorageTable[In Storage - Count Total], "Err", 0, 1), 0)</f>
        <v>0</v>
      </c>
      <c r="B98" s="1">
        <f>_xlfn.LET(_xlpm.loc, ITEquipmentTable[Storage Location],
COUNTIFS(ITSecondTable[Tag], ITSecondTable[[#This Row],[Tag]], _xlpm.loc, "&lt;&gt;In Use", _xlpm.loc, "&lt;&gt;",  _xlpm.loc, "&lt;&gt;E-Waste", _xlpm.loc, "&lt;&gt;Virtual",  _xlpm.loc, "&lt;&gt;Assigned to Employee", _xlpm.loc, "&lt;&gt;Decommisioned", _xlpm.loc, "&lt;&gt;Missing")
)</f>
        <v>8</v>
      </c>
      <c r="C98" s="1">
        <f>_xlfn.LET(_xlpm.loc, ITEquipmentTable[Storage Location],
COUNTIFS(ITSecondTable[Tag], ITSecondTable[[#This Row],[Tag]], _xlpm.loc, "&lt;&gt;E-Waste", _xlpm.loc, "&lt;&gt;Virtual", _xlpm.loc, "&lt;&gt;Decommisioned")
)</f>
        <v>27</v>
      </c>
      <c r="D98" s="168">
        <f>_xlfn.LET(_xlpm.loc, ITEquipmentTable[Storage Location],
COUNTIFS(ITSecondTable[Tag], ITSecondTable[[#This Row],[Tag]], _xlpm.loc, "Missing")
)</f>
        <v>0</v>
      </c>
      <c r="E98" s="168">
        <f>_xlfn.LET(_xlpm.loc, ITEquipmentTable[Storage Location],
COUNTIFS(ITSecondTable[Tag], ITSecondTable[[#This Row],[Tag]], _xlpm.loc, "In Use") + COUNTIFS(ITSecondTable[Tag], ITSecondTable[[#This Row],[Tag]], _xlpm.loc, "Assigned to Employee")
)</f>
        <v>12</v>
      </c>
      <c r="F98" s="168">
        <f>_xlfn.LET(_xlpm.loc, ITEquipmentTable[Storage Location],
COUNTIFS(ITSecondTable[Tag], ITSecondTable[[#This Row],[Tag]], _xlpm.loc, "")
)</f>
        <v>7</v>
      </c>
      <c r="G98" s="168">
        <f>MAX(ITSecondTable[[#This Row],[SQty]] - ITSecondTable[[#This Row],[IQty]], 0)</f>
        <v>8</v>
      </c>
      <c r="H98" s="168">
        <f>MAX(ITSecondTable[[#This Row],[IQty]]-ITSecondTable[[#This Row],[SQty]], 0)</f>
        <v>0</v>
      </c>
      <c r="I98" s="151" t="str">
        <f>IFERROR(_xlfn.TEXTJOIN("~", TRUE, ITEquipmentTable[[#This Row],[Type]],ITEquipmentTable[[#This Row],[Brand]],ITEquipmentTable[[#This Row],[Model]]), "")</f>
        <v>Desktop~Dell~OptiPlex 3050</v>
      </c>
      <c r="J98" s="151" t="b">
        <f xml:space="preserve"> _xlfn.IFNA(MATCH( ITSecondTable[[#This Row],[Tag]], StorageTable[Tag], 0)  &gt; -1, FALSE)</f>
        <v>0</v>
      </c>
      <c r="K98" s="168" t="b">
        <f>COUNTIFS(ITEquipmentTable[Serial], ITEquipmentTable[[#This Row],[Serial]], ITEquipmentTable[Serial], "&lt;&gt;N/A") &gt; 1</f>
        <v>0</v>
      </c>
      <c r="L98" s="168" t="b">
        <f>COUNTIFS(ITEquipmentTable[Name], ITEquipmentTable[[#This Row],[Name]], ITEquipmentTable[Name], "&lt;&gt;&lt;Unassigned&gt;",  ITEquipmentTable[Name], "&lt;&gt;N/A") &gt; 1</f>
        <v>0</v>
      </c>
      <c r="M98" s="168" t="b">
        <f>AND(COUNTIFS(ITEquipmentTable[IPv4 Address], ITEquipmentTable[[#This Row],[IPv4 Address]]) &gt; 1, ITEquipmentTable[[#This Row],[IPv4 Address]] &lt;&gt; "DHCP",  ITEquipmentTable[[#This Row],[IPv4 Address]] &lt;&gt; "N/A")</f>
        <v>0</v>
      </c>
    </row>
    <row r="99" spans="1:13" x14ac:dyDescent="0.2">
      <c r="A99" s="168">
        <f>IF(LEN(ITSecondTable[[#This Row],[Tag]]) &gt; 0, _xlfn.XLOOKUP(ITSecondTable[[#This Row],[Tag]],StorageTable[Tag], StorageTable[In Storage - Count Total], "Err", 0, 1), 0)</f>
        <v>0</v>
      </c>
      <c r="B99" s="1">
        <f>_xlfn.LET(_xlpm.loc, ITEquipmentTable[Storage Location],
COUNTIFS(ITSecondTable[Tag], ITSecondTable[[#This Row],[Tag]], _xlpm.loc, "&lt;&gt;In Use", _xlpm.loc, "&lt;&gt;",  _xlpm.loc, "&lt;&gt;E-Waste", _xlpm.loc, "&lt;&gt;Virtual",  _xlpm.loc, "&lt;&gt;Assigned to Employee", _xlpm.loc, "&lt;&gt;Decommisioned", _xlpm.loc, "&lt;&gt;Missing")
)</f>
        <v>2</v>
      </c>
      <c r="C99" s="1">
        <f>_xlfn.LET(_xlpm.loc, ITEquipmentTable[Storage Location],
COUNTIFS(ITSecondTable[Tag], ITSecondTable[[#This Row],[Tag]], _xlpm.loc, "&lt;&gt;E-Waste", _xlpm.loc, "&lt;&gt;Virtual", _xlpm.loc, "&lt;&gt;Decommisioned")
)</f>
        <v>27</v>
      </c>
      <c r="D99" s="168">
        <f>_xlfn.LET(_xlpm.loc, ITEquipmentTable[Storage Location],
COUNTIFS(ITSecondTable[Tag], ITSecondTable[[#This Row],[Tag]], _xlpm.loc, "Missing")
)</f>
        <v>0</v>
      </c>
      <c r="E99" s="168">
        <f>_xlfn.LET(_xlpm.loc, ITEquipmentTable[Storage Location],
COUNTIFS(ITSecondTable[Tag], ITSecondTable[[#This Row],[Tag]], _xlpm.loc, "In Use") + COUNTIFS(ITSecondTable[Tag], ITSecondTable[[#This Row],[Tag]], _xlpm.loc, "Assigned to Employee")
)</f>
        <v>20</v>
      </c>
      <c r="F99" s="168">
        <f>_xlfn.LET(_xlpm.loc, ITEquipmentTable[Storage Location],
COUNTIFS(ITSecondTable[Tag], ITSecondTable[[#This Row],[Tag]], _xlpm.loc, "")
)</f>
        <v>5</v>
      </c>
      <c r="G99" s="168">
        <f>MAX(ITSecondTable[[#This Row],[SQty]] - ITSecondTable[[#This Row],[IQty]], 0)</f>
        <v>2</v>
      </c>
      <c r="H99" s="168">
        <f>MAX(ITSecondTable[[#This Row],[IQty]]-ITSecondTable[[#This Row],[SQty]], 0)</f>
        <v>0</v>
      </c>
      <c r="I99" s="151" t="str">
        <f>IFERROR(_xlfn.TEXTJOIN("~", TRUE, ITEquipmentTable[[#This Row],[Type]],ITEquipmentTable[[#This Row],[Brand]],ITEquipmentTable[[#This Row],[Model]]), "")</f>
        <v>Desktop~HP</v>
      </c>
      <c r="J99" s="151" t="b">
        <f xml:space="preserve"> _xlfn.IFNA(MATCH( ITSecondTable[[#This Row],[Tag]], StorageTable[Tag], 0)  &gt; -1, FALSE)</f>
        <v>0</v>
      </c>
      <c r="K99" s="168" t="b">
        <f>COUNTIFS(ITEquipmentTable[Serial], ITEquipmentTable[[#This Row],[Serial]], ITEquipmentTable[Serial], "&lt;&gt;N/A") &gt; 1</f>
        <v>0</v>
      </c>
      <c r="L99" s="168" t="b">
        <f>COUNTIFS(ITEquipmentTable[Name], ITEquipmentTable[[#This Row],[Name]], ITEquipmentTable[Name], "&lt;&gt;&lt;Unassigned&gt;",  ITEquipmentTable[Name], "&lt;&gt;N/A") &gt; 1</f>
        <v>0</v>
      </c>
      <c r="M99" s="168" t="b">
        <f>AND(COUNTIFS(ITEquipmentTable[IPv4 Address], ITEquipmentTable[[#This Row],[IPv4 Address]]) &gt; 1, ITEquipmentTable[[#This Row],[IPv4 Address]] &lt;&gt; "DHCP",  ITEquipmentTable[[#This Row],[IPv4 Address]] &lt;&gt; "N/A")</f>
        <v>0</v>
      </c>
    </row>
    <row r="100" spans="1:13" x14ac:dyDescent="0.2">
      <c r="A100" s="168">
        <f>IF(LEN(ITSecondTable[[#This Row],[Tag]]) &gt; 0, _xlfn.XLOOKUP(ITSecondTable[[#This Row],[Tag]],StorageTable[Tag], StorageTable[In Storage - Count Total], "Err", 0, 1), 0)</f>
        <v>0</v>
      </c>
      <c r="B100" s="1">
        <f>_xlfn.LET(_xlpm.loc, ITEquipmentTable[Storage Location],
COUNTIFS(ITSecondTable[Tag], ITSecondTable[[#This Row],[Tag]], _xlpm.loc, "&lt;&gt;In Use", _xlpm.loc, "&lt;&gt;",  _xlpm.loc, "&lt;&gt;E-Waste", _xlpm.loc, "&lt;&gt;Virtual",  _xlpm.loc, "&lt;&gt;Assigned to Employee", _xlpm.loc, "&lt;&gt;Decommisioned", _xlpm.loc, "&lt;&gt;Missing")
)</f>
        <v>0</v>
      </c>
      <c r="C100" s="1">
        <f>_xlfn.LET(_xlpm.loc, ITEquipmentTable[Storage Location],
COUNTIFS(ITSecondTable[Tag], ITSecondTable[[#This Row],[Tag]], _xlpm.loc, "&lt;&gt;E-Waste", _xlpm.loc, "&lt;&gt;Virtual", _xlpm.loc, "&lt;&gt;Decommisioned")
)</f>
        <v>32</v>
      </c>
      <c r="D100" s="168">
        <f>_xlfn.LET(_xlpm.loc, ITEquipmentTable[Storage Location],
COUNTIFS(ITSecondTable[Tag], ITSecondTable[[#This Row],[Tag]], _xlpm.loc, "Missing")
)</f>
        <v>0</v>
      </c>
      <c r="E100" s="168">
        <f>_xlfn.LET(_xlpm.loc, ITEquipmentTable[Storage Location],
COUNTIFS(ITSecondTable[Tag], ITSecondTable[[#This Row],[Tag]], _xlpm.loc, "In Use") + COUNTIFS(ITSecondTable[Tag], ITSecondTable[[#This Row],[Tag]], _xlpm.loc, "Assigned to Employee")
)</f>
        <v>26</v>
      </c>
      <c r="F100" s="168">
        <f>_xlfn.LET(_xlpm.loc, ITEquipmentTable[Storage Location],
COUNTIFS(ITSecondTable[Tag], ITSecondTable[[#This Row],[Tag]], _xlpm.loc, "")
)</f>
        <v>6</v>
      </c>
      <c r="G100" s="168">
        <f>MAX(ITSecondTable[[#This Row],[SQty]] - ITSecondTable[[#This Row],[IQty]], 0)</f>
        <v>0</v>
      </c>
      <c r="H100" s="168">
        <f>MAX(ITSecondTable[[#This Row],[IQty]]-ITSecondTable[[#This Row],[SQty]], 0)</f>
        <v>0</v>
      </c>
      <c r="I100" s="151" t="str">
        <f>IFERROR(_xlfn.TEXTJOIN("~", TRUE, ITEquipmentTable[[#This Row],[Type]],ITEquipmentTable[[#This Row],[Brand]],ITEquipmentTable[[#This Row],[Model]]), "")</f>
        <v>Desktop</v>
      </c>
      <c r="J100" s="151" t="b">
        <f xml:space="preserve"> _xlfn.IFNA(MATCH( ITSecondTable[[#This Row],[Tag]], StorageTable[Tag], 0)  &gt; -1, FALSE)</f>
        <v>1</v>
      </c>
      <c r="K100" s="168" t="b">
        <f>COUNTIFS(ITEquipmentTable[Serial], ITEquipmentTable[[#This Row],[Serial]], ITEquipmentTable[Serial], "&lt;&gt;N/A") &gt; 1</f>
        <v>0</v>
      </c>
      <c r="L100" s="168" t="b">
        <f>COUNTIFS(ITEquipmentTable[Name], ITEquipmentTable[[#This Row],[Name]], ITEquipmentTable[Name], "&lt;&gt;&lt;Unassigned&gt;",  ITEquipmentTable[Name], "&lt;&gt;N/A") &gt; 1</f>
        <v>0</v>
      </c>
      <c r="M100" s="168" t="b">
        <f>AND(COUNTIFS(ITEquipmentTable[IPv4 Address], ITEquipmentTable[[#This Row],[IPv4 Address]]) &gt; 1, ITEquipmentTable[[#This Row],[IPv4 Address]] &lt;&gt; "DHCP",  ITEquipmentTable[[#This Row],[IPv4 Address]] &lt;&gt; "N/A")</f>
        <v>0</v>
      </c>
    </row>
    <row r="101" spans="1:13" x14ac:dyDescent="0.2">
      <c r="A101" s="168">
        <f>IF(LEN(ITSecondTable[[#This Row],[Tag]]) &gt; 0, _xlfn.XLOOKUP(ITSecondTable[[#This Row],[Tag]],StorageTable[Tag], StorageTable[In Storage - Count Total], "Err", 0, 1), 0)</f>
        <v>0</v>
      </c>
      <c r="B101" s="1">
        <f>_xlfn.LET(_xlpm.loc, ITEquipmentTable[Storage Location],
COUNTIFS(ITSecondTable[Tag], ITSecondTable[[#This Row],[Tag]], _xlpm.loc, "&lt;&gt;In Use", _xlpm.loc, "&lt;&gt;",  _xlpm.loc, "&lt;&gt;E-Waste", _xlpm.loc, "&lt;&gt;Virtual",  _xlpm.loc, "&lt;&gt;Assigned to Employee", _xlpm.loc, "&lt;&gt;Decommisioned", _xlpm.loc, "&lt;&gt;Missing")
)</f>
        <v>8</v>
      </c>
      <c r="C101" s="1">
        <f>_xlfn.LET(_xlpm.loc, ITEquipmentTable[Storage Location],
COUNTIFS(ITSecondTable[Tag], ITSecondTable[[#This Row],[Tag]], _xlpm.loc, "&lt;&gt;E-Waste", _xlpm.loc, "&lt;&gt;Virtual", _xlpm.loc, "&lt;&gt;Decommisioned")
)</f>
        <v>27</v>
      </c>
      <c r="D101" s="168">
        <f>_xlfn.LET(_xlpm.loc, ITEquipmentTable[Storage Location],
COUNTIFS(ITSecondTable[Tag], ITSecondTable[[#This Row],[Tag]], _xlpm.loc, "Missing")
)</f>
        <v>0</v>
      </c>
      <c r="E101" s="168">
        <f>_xlfn.LET(_xlpm.loc, ITEquipmentTable[Storage Location],
COUNTIFS(ITSecondTable[Tag], ITSecondTable[[#This Row],[Tag]], _xlpm.loc, "In Use") + COUNTIFS(ITSecondTable[Tag], ITSecondTable[[#This Row],[Tag]], _xlpm.loc, "Assigned to Employee")
)</f>
        <v>12</v>
      </c>
      <c r="F101" s="168">
        <f>_xlfn.LET(_xlpm.loc, ITEquipmentTable[Storage Location],
COUNTIFS(ITSecondTable[Tag], ITSecondTable[[#This Row],[Tag]], _xlpm.loc, "")
)</f>
        <v>7</v>
      </c>
      <c r="G101" s="168">
        <f>MAX(ITSecondTable[[#This Row],[SQty]] - ITSecondTable[[#This Row],[IQty]], 0)</f>
        <v>8</v>
      </c>
      <c r="H101" s="168">
        <f>MAX(ITSecondTable[[#This Row],[IQty]]-ITSecondTable[[#This Row],[SQty]], 0)</f>
        <v>0</v>
      </c>
      <c r="I101" s="151" t="str">
        <f>IFERROR(_xlfn.TEXTJOIN("~", TRUE, ITEquipmentTable[[#This Row],[Type]],ITEquipmentTable[[#This Row],[Brand]],ITEquipmentTable[[#This Row],[Model]]), "")</f>
        <v>Desktop~Dell~OptiPlex 3050</v>
      </c>
      <c r="J101" s="151" t="b">
        <f xml:space="preserve"> _xlfn.IFNA(MATCH( ITSecondTable[[#This Row],[Tag]], StorageTable[Tag], 0)  &gt; -1, FALSE)</f>
        <v>0</v>
      </c>
      <c r="K101" s="168" t="b">
        <f>COUNTIFS(ITEquipmentTable[Serial], ITEquipmentTable[[#This Row],[Serial]], ITEquipmentTable[Serial], "&lt;&gt;N/A") &gt; 1</f>
        <v>0</v>
      </c>
      <c r="L101" s="168" t="b">
        <f>COUNTIFS(ITEquipmentTable[Name], ITEquipmentTable[[#This Row],[Name]], ITEquipmentTable[Name], "&lt;&gt;&lt;Unassigned&gt;",  ITEquipmentTable[Name], "&lt;&gt;N/A") &gt; 1</f>
        <v>0</v>
      </c>
      <c r="M101" s="168" t="b">
        <f>AND(COUNTIFS(ITEquipmentTable[IPv4 Address], ITEquipmentTable[[#This Row],[IPv4 Address]]) &gt; 1, ITEquipmentTable[[#This Row],[IPv4 Address]] &lt;&gt; "DHCP",  ITEquipmentTable[[#This Row],[IPv4 Address]] &lt;&gt; "N/A")</f>
        <v>0</v>
      </c>
    </row>
    <row r="102" spans="1:13" x14ac:dyDescent="0.2">
      <c r="A102" s="168">
        <f>IF(LEN(ITSecondTable[[#This Row],[Tag]]) &gt; 0, _xlfn.XLOOKUP(ITSecondTable[[#This Row],[Tag]],StorageTable[Tag], StorageTable[In Storage - Count Total], "Err", 0, 1), 0)</f>
        <v>0</v>
      </c>
      <c r="B102" s="1">
        <f>_xlfn.LET(_xlpm.loc, ITEquipmentTable[Storage Location],
COUNTIFS(ITSecondTable[Tag], ITSecondTable[[#This Row],[Tag]], _xlpm.loc, "&lt;&gt;In Use", _xlpm.loc, "&lt;&gt;",  _xlpm.loc, "&lt;&gt;E-Waste", _xlpm.loc, "&lt;&gt;Virtual",  _xlpm.loc, "&lt;&gt;Assigned to Employee", _xlpm.loc, "&lt;&gt;Decommisioned", _xlpm.loc, "&lt;&gt;Missing")
)</f>
        <v>2</v>
      </c>
      <c r="C102" s="1">
        <f>_xlfn.LET(_xlpm.loc, ITEquipmentTable[Storage Location],
COUNTIFS(ITSecondTable[Tag], ITSecondTable[[#This Row],[Tag]], _xlpm.loc, "&lt;&gt;E-Waste", _xlpm.loc, "&lt;&gt;Virtual", _xlpm.loc, "&lt;&gt;Decommisioned")
)</f>
        <v>27</v>
      </c>
      <c r="D102" s="168">
        <f>_xlfn.LET(_xlpm.loc, ITEquipmentTable[Storage Location],
COUNTIFS(ITSecondTable[Tag], ITSecondTable[[#This Row],[Tag]], _xlpm.loc, "Missing")
)</f>
        <v>0</v>
      </c>
      <c r="E102" s="168">
        <f>_xlfn.LET(_xlpm.loc, ITEquipmentTable[Storage Location],
COUNTIFS(ITSecondTable[Tag], ITSecondTable[[#This Row],[Tag]], _xlpm.loc, "In Use") + COUNTIFS(ITSecondTable[Tag], ITSecondTable[[#This Row],[Tag]], _xlpm.loc, "Assigned to Employee")
)</f>
        <v>20</v>
      </c>
      <c r="F102" s="168">
        <f>_xlfn.LET(_xlpm.loc, ITEquipmentTable[Storage Location],
COUNTIFS(ITSecondTable[Tag], ITSecondTable[[#This Row],[Tag]], _xlpm.loc, "")
)</f>
        <v>5</v>
      </c>
      <c r="G102" s="168">
        <f>MAX(ITSecondTable[[#This Row],[SQty]] - ITSecondTable[[#This Row],[IQty]], 0)</f>
        <v>2</v>
      </c>
      <c r="H102" s="168">
        <f>MAX(ITSecondTable[[#This Row],[IQty]]-ITSecondTable[[#This Row],[SQty]], 0)</f>
        <v>0</v>
      </c>
      <c r="I102" s="151" t="str">
        <f>IFERROR(_xlfn.TEXTJOIN("~", TRUE, ITEquipmentTable[[#This Row],[Type]],ITEquipmentTable[[#This Row],[Brand]],ITEquipmentTable[[#This Row],[Model]]), "")</f>
        <v>Desktop~HP</v>
      </c>
      <c r="J102" s="151" t="b">
        <f xml:space="preserve"> _xlfn.IFNA(MATCH( ITSecondTable[[#This Row],[Tag]], StorageTable[Tag], 0)  &gt; -1, FALSE)</f>
        <v>0</v>
      </c>
      <c r="K102" s="168" t="b">
        <f>COUNTIFS(ITEquipmentTable[Serial], ITEquipmentTable[[#This Row],[Serial]], ITEquipmentTable[Serial], "&lt;&gt;N/A") &gt; 1</f>
        <v>0</v>
      </c>
      <c r="L102" s="168" t="b">
        <f>COUNTIFS(ITEquipmentTable[Name], ITEquipmentTable[[#This Row],[Name]], ITEquipmentTable[Name], "&lt;&gt;&lt;Unassigned&gt;",  ITEquipmentTable[Name], "&lt;&gt;N/A") &gt; 1</f>
        <v>0</v>
      </c>
      <c r="M102" s="168" t="b">
        <f>AND(COUNTIFS(ITEquipmentTable[IPv4 Address], ITEquipmentTable[[#This Row],[IPv4 Address]]) &gt; 1, ITEquipmentTable[[#This Row],[IPv4 Address]] &lt;&gt; "DHCP",  ITEquipmentTable[[#This Row],[IPv4 Address]] &lt;&gt; "N/A")</f>
        <v>0</v>
      </c>
    </row>
    <row r="103" spans="1:13" x14ac:dyDescent="0.2">
      <c r="A103" s="168">
        <f>IF(LEN(ITSecondTable[[#This Row],[Tag]]) &gt; 0, _xlfn.XLOOKUP(ITSecondTable[[#This Row],[Tag]],StorageTable[Tag], StorageTable[In Storage - Count Total], "Err", 0, 1), 0)</f>
        <v>0</v>
      </c>
      <c r="B103" s="1">
        <f>_xlfn.LET(_xlpm.loc, ITEquipmentTable[Storage Location],
COUNTIFS(ITSecondTable[Tag], ITSecondTable[[#This Row],[Tag]], _xlpm.loc, "&lt;&gt;In Use", _xlpm.loc, "&lt;&gt;",  _xlpm.loc, "&lt;&gt;E-Waste", _xlpm.loc, "&lt;&gt;Virtual",  _xlpm.loc, "&lt;&gt;Assigned to Employee", _xlpm.loc, "&lt;&gt;Decommisioned", _xlpm.loc, "&lt;&gt;Missing")
)</f>
        <v>8</v>
      </c>
      <c r="C103" s="1">
        <f>_xlfn.LET(_xlpm.loc, ITEquipmentTable[Storage Location],
COUNTIFS(ITSecondTable[Tag], ITSecondTable[[#This Row],[Tag]], _xlpm.loc, "&lt;&gt;E-Waste", _xlpm.loc, "&lt;&gt;Virtual", _xlpm.loc, "&lt;&gt;Decommisioned")
)</f>
        <v>27</v>
      </c>
      <c r="D103" s="168">
        <f>_xlfn.LET(_xlpm.loc, ITEquipmentTable[Storage Location],
COUNTIFS(ITSecondTable[Tag], ITSecondTable[[#This Row],[Tag]], _xlpm.loc, "Missing")
)</f>
        <v>0</v>
      </c>
      <c r="E103" s="168">
        <f>_xlfn.LET(_xlpm.loc, ITEquipmentTable[Storage Location],
COUNTIFS(ITSecondTable[Tag], ITSecondTable[[#This Row],[Tag]], _xlpm.loc, "In Use") + COUNTIFS(ITSecondTable[Tag], ITSecondTable[[#This Row],[Tag]], _xlpm.loc, "Assigned to Employee")
)</f>
        <v>12</v>
      </c>
      <c r="F103" s="168">
        <f>_xlfn.LET(_xlpm.loc, ITEquipmentTable[Storage Location],
COUNTIFS(ITSecondTable[Tag], ITSecondTable[[#This Row],[Tag]], _xlpm.loc, "")
)</f>
        <v>7</v>
      </c>
      <c r="G103" s="168">
        <f>MAX(ITSecondTable[[#This Row],[SQty]] - ITSecondTable[[#This Row],[IQty]], 0)</f>
        <v>8</v>
      </c>
      <c r="H103" s="168">
        <f>MAX(ITSecondTable[[#This Row],[IQty]]-ITSecondTable[[#This Row],[SQty]], 0)</f>
        <v>0</v>
      </c>
      <c r="I103" s="151" t="str">
        <f>IFERROR(_xlfn.TEXTJOIN("~", TRUE, ITEquipmentTable[[#This Row],[Type]],ITEquipmentTable[[#This Row],[Brand]],ITEquipmentTable[[#This Row],[Model]]), "")</f>
        <v>Desktop~Dell~OptiPlex 3050</v>
      </c>
      <c r="J103" s="151" t="b">
        <f xml:space="preserve"> _xlfn.IFNA(MATCH( ITSecondTable[[#This Row],[Tag]], StorageTable[Tag], 0)  &gt; -1, FALSE)</f>
        <v>0</v>
      </c>
      <c r="K103" s="168" t="b">
        <f>COUNTIFS(ITEquipmentTable[Serial], ITEquipmentTable[[#This Row],[Serial]], ITEquipmentTable[Serial], "&lt;&gt;N/A") &gt; 1</f>
        <v>0</v>
      </c>
      <c r="L103" s="168" t="b">
        <f>COUNTIFS(ITEquipmentTable[Name], ITEquipmentTable[[#This Row],[Name]], ITEquipmentTable[Name], "&lt;&gt;&lt;Unassigned&gt;",  ITEquipmentTable[Name], "&lt;&gt;N/A") &gt; 1</f>
        <v>0</v>
      </c>
      <c r="M103" s="168" t="b">
        <f>AND(COUNTIFS(ITEquipmentTable[IPv4 Address], ITEquipmentTable[[#This Row],[IPv4 Address]]) &gt; 1, ITEquipmentTable[[#This Row],[IPv4 Address]] &lt;&gt; "DHCP",  ITEquipmentTable[[#This Row],[IPv4 Address]] &lt;&gt; "N/A")</f>
        <v>0</v>
      </c>
    </row>
    <row r="104" spans="1:13" x14ac:dyDescent="0.2">
      <c r="A104" s="168">
        <f>IF(LEN(ITSecondTable[[#This Row],[Tag]]) &gt; 0, _xlfn.XLOOKUP(ITSecondTable[[#This Row],[Tag]],StorageTable[Tag], StorageTable[In Storage - Count Total], "Err", 0, 1), 0)</f>
        <v>0</v>
      </c>
      <c r="B104" s="1">
        <f>_xlfn.LET(_xlpm.loc, ITEquipmentTable[Storage Location],
COUNTIFS(ITSecondTable[Tag], ITSecondTable[[#This Row],[Tag]], _xlpm.loc, "&lt;&gt;In Use", _xlpm.loc, "&lt;&gt;",  _xlpm.loc, "&lt;&gt;E-Waste", _xlpm.loc, "&lt;&gt;Virtual",  _xlpm.loc, "&lt;&gt;Assigned to Employee", _xlpm.loc, "&lt;&gt;Decommisioned", _xlpm.loc, "&lt;&gt;Missing")
)</f>
        <v>8</v>
      </c>
      <c r="C104" s="1">
        <f>_xlfn.LET(_xlpm.loc, ITEquipmentTable[Storage Location],
COUNTIFS(ITSecondTable[Tag], ITSecondTable[[#This Row],[Tag]], _xlpm.loc, "&lt;&gt;E-Waste", _xlpm.loc, "&lt;&gt;Virtual", _xlpm.loc, "&lt;&gt;Decommisioned")
)</f>
        <v>27</v>
      </c>
      <c r="D104" s="168">
        <f>_xlfn.LET(_xlpm.loc, ITEquipmentTable[Storage Location],
COUNTIFS(ITSecondTable[Tag], ITSecondTable[[#This Row],[Tag]], _xlpm.loc, "Missing")
)</f>
        <v>0</v>
      </c>
      <c r="E104" s="168">
        <f>_xlfn.LET(_xlpm.loc, ITEquipmentTable[Storage Location],
COUNTIFS(ITSecondTable[Tag], ITSecondTable[[#This Row],[Tag]], _xlpm.loc, "In Use") + COUNTIFS(ITSecondTable[Tag], ITSecondTable[[#This Row],[Tag]], _xlpm.loc, "Assigned to Employee")
)</f>
        <v>12</v>
      </c>
      <c r="F104" s="168">
        <f>_xlfn.LET(_xlpm.loc, ITEquipmentTable[Storage Location],
COUNTIFS(ITSecondTable[Tag], ITSecondTable[[#This Row],[Tag]], _xlpm.loc, "")
)</f>
        <v>7</v>
      </c>
      <c r="G104" s="168">
        <f>MAX(ITSecondTable[[#This Row],[SQty]] - ITSecondTable[[#This Row],[IQty]], 0)</f>
        <v>8</v>
      </c>
      <c r="H104" s="168">
        <f>MAX(ITSecondTable[[#This Row],[IQty]]-ITSecondTable[[#This Row],[SQty]], 0)</f>
        <v>0</v>
      </c>
      <c r="I104" s="151" t="str">
        <f>IFERROR(_xlfn.TEXTJOIN("~", TRUE, ITEquipmentTable[[#This Row],[Type]],ITEquipmentTable[[#This Row],[Brand]],ITEquipmentTable[[#This Row],[Model]]), "")</f>
        <v>Desktop~Dell~OptiPlex 3050</v>
      </c>
      <c r="J104" s="151" t="b">
        <f xml:space="preserve"> _xlfn.IFNA(MATCH( ITSecondTable[[#This Row],[Tag]], StorageTable[Tag], 0)  &gt; -1, FALSE)</f>
        <v>0</v>
      </c>
      <c r="K104" s="168" t="b">
        <f>COUNTIFS(ITEquipmentTable[Serial], ITEquipmentTable[[#This Row],[Serial]], ITEquipmentTable[Serial], "&lt;&gt;N/A") &gt; 1</f>
        <v>0</v>
      </c>
      <c r="L104" s="168" t="b">
        <f>COUNTIFS(ITEquipmentTable[Name], ITEquipmentTable[[#This Row],[Name]], ITEquipmentTable[Name], "&lt;&gt;&lt;Unassigned&gt;",  ITEquipmentTable[Name], "&lt;&gt;N/A") &gt; 1</f>
        <v>0</v>
      </c>
      <c r="M104" s="168" t="b">
        <f>AND(COUNTIFS(ITEquipmentTable[IPv4 Address], ITEquipmentTable[[#This Row],[IPv4 Address]]) &gt; 1, ITEquipmentTable[[#This Row],[IPv4 Address]] &lt;&gt; "DHCP",  ITEquipmentTable[[#This Row],[IPv4 Address]] &lt;&gt; "N/A")</f>
        <v>0</v>
      </c>
    </row>
    <row r="105" spans="1:13" x14ac:dyDescent="0.2">
      <c r="A105" s="168">
        <f>IF(LEN(ITSecondTable[[#This Row],[Tag]]) &gt; 0, _xlfn.XLOOKUP(ITSecondTable[[#This Row],[Tag]],StorageTable[Tag], StorageTable[In Storage - Count Total], "Err", 0, 1), 0)</f>
        <v>6</v>
      </c>
      <c r="B105" s="1">
        <f>_xlfn.LET(_xlpm.loc, ITEquipmentTable[Storage Location],
COUNTIFS(ITSecondTable[Tag], ITSecondTable[[#This Row],[Tag]], _xlpm.loc, "&lt;&gt;In Use", _xlpm.loc, "&lt;&gt;",  _xlpm.loc, "&lt;&gt;E-Waste", _xlpm.loc, "&lt;&gt;Virtual",  _xlpm.loc, "&lt;&gt;Assigned to Employee", _xlpm.loc, "&lt;&gt;Decommisioned", _xlpm.loc, "&lt;&gt;Missing")
)</f>
        <v>17</v>
      </c>
      <c r="C105" s="1">
        <f>_xlfn.LET(_xlpm.loc, ITEquipmentTable[Storage Location],
COUNTIFS(ITSecondTable[Tag], ITSecondTable[[#This Row],[Tag]], _xlpm.loc, "&lt;&gt;E-Waste", _xlpm.loc, "&lt;&gt;Virtual", _xlpm.loc, "&lt;&gt;Decommisioned")
)</f>
        <v>64</v>
      </c>
      <c r="D105" s="168">
        <f>_xlfn.LET(_xlpm.loc, ITEquipmentTable[Storage Location],
COUNTIFS(ITSecondTable[Tag], ITSecondTable[[#This Row],[Tag]], _xlpm.loc, "Missing")
)</f>
        <v>0</v>
      </c>
      <c r="E105" s="168">
        <f>_xlfn.LET(_xlpm.loc, ITEquipmentTable[Storage Location],
COUNTIFS(ITSecondTable[Tag], ITSecondTable[[#This Row],[Tag]], _xlpm.loc, "In Use") + COUNTIFS(ITSecondTable[Tag], ITSecondTable[[#This Row],[Tag]], _xlpm.loc, "Assigned to Employee")
)</f>
        <v>30</v>
      </c>
      <c r="F105" s="168">
        <f>_xlfn.LET(_xlpm.loc, ITEquipmentTable[Storage Location],
COUNTIFS(ITSecondTable[Tag], ITSecondTable[[#This Row],[Tag]], _xlpm.loc, "")
)</f>
        <v>17</v>
      </c>
      <c r="G105" s="168">
        <f>MAX(ITSecondTable[[#This Row],[SQty]] - ITSecondTable[[#This Row],[IQty]], 0)</f>
        <v>11</v>
      </c>
      <c r="H105" s="168">
        <f>MAX(ITSecondTable[[#This Row],[IQty]]-ITSecondTable[[#This Row],[SQty]], 0)</f>
        <v>0</v>
      </c>
      <c r="I105" s="151" t="str">
        <f>IFERROR(_xlfn.TEXTJOIN("~", TRUE, ITEquipmentTable[[#This Row],[Type]],ITEquipmentTable[[#This Row],[Brand]],ITEquipmentTable[[#This Row],[Model]]), "")</f>
        <v>Desktop~Dell~OptiPlex 3040</v>
      </c>
      <c r="J105" s="151" t="b">
        <f xml:space="preserve"> _xlfn.IFNA(MATCH( ITSecondTable[[#This Row],[Tag]], StorageTable[Tag], 0)  &gt; -1, FALSE)</f>
        <v>0</v>
      </c>
      <c r="K105" s="168" t="b">
        <f>COUNTIFS(ITEquipmentTable[Serial], ITEquipmentTable[[#This Row],[Serial]], ITEquipmentTable[Serial], "&lt;&gt;N/A") &gt; 1</f>
        <v>0</v>
      </c>
      <c r="L105" s="168" t="b">
        <f>COUNTIFS(ITEquipmentTable[Name], ITEquipmentTable[[#This Row],[Name]], ITEquipmentTable[Name], "&lt;&gt;&lt;Unassigned&gt;",  ITEquipmentTable[Name], "&lt;&gt;N/A") &gt; 1</f>
        <v>0</v>
      </c>
      <c r="M105" s="168" t="b">
        <f>AND(COUNTIFS(ITEquipmentTable[IPv4 Address], ITEquipmentTable[[#This Row],[IPv4 Address]]) &gt; 1, ITEquipmentTable[[#This Row],[IPv4 Address]] &lt;&gt; "DHCP",  ITEquipmentTable[[#This Row],[IPv4 Address]] &lt;&gt; "N/A")</f>
        <v>0</v>
      </c>
    </row>
    <row r="106" spans="1:13" x14ac:dyDescent="0.2">
      <c r="A106" s="168">
        <f>IF(LEN(ITSecondTable[[#This Row],[Tag]]) &gt; 0, _xlfn.XLOOKUP(ITSecondTable[[#This Row],[Tag]],StorageTable[Tag], StorageTable[In Storage - Count Total], "Err", 0, 1), 0)</f>
        <v>6</v>
      </c>
      <c r="B106" s="1">
        <f>_xlfn.LET(_xlpm.loc, ITEquipmentTable[Storage Location],
COUNTIFS(ITSecondTable[Tag], ITSecondTable[[#This Row],[Tag]], _xlpm.loc, "&lt;&gt;In Use", _xlpm.loc, "&lt;&gt;",  _xlpm.loc, "&lt;&gt;E-Waste", _xlpm.loc, "&lt;&gt;Virtual",  _xlpm.loc, "&lt;&gt;Assigned to Employee", _xlpm.loc, "&lt;&gt;Decommisioned", _xlpm.loc, "&lt;&gt;Missing")
)</f>
        <v>17</v>
      </c>
      <c r="C106" s="1">
        <f>_xlfn.LET(_xlpm.loc, ITEquipmentTable[Storage Location],
COUNTIFS(ITSecondTable[Tag], ITSecondTable[[#This Row],[Tag]], _xlpm.loc, "&lt;&gt;E-Waste", _xlpm.loc, "&lt;&gt;Virtual", _xlpm.loc, "&lt;&gt;Decommisioned")
)</f>
        <v>64</v>
      </c>
      <c r="D106" s="168">
        <f>_xlfn.LET(_xlpm.loc, ITEquipmentTable[Storage Location],
COUNTIFS(ITSecondTable[Tag], ITSecondTable[[#This Row],[Tag]], _xlpm.loc, "Missing")
)</f>
        <v>0</v>
      </c>
      <c r="E106" s="168">
        <f>_xlfn.LET(_xlpm.loc, ITEquipmentTable[Storage Location],
COUNTIFS(ITSecondTable[Tag], ITSecondTable[[#This Row],[Tag]], _xlpm.loc, "In Use") + COUNTIFS(ITSecondTable[Tag], ITSecondTable[[#This Row],[Tag]], _xlpm.loc, "Assigned to Employee")
)</f>
        <v>30</v>
      </c>
      <c r="F106" s="168">
        <f>_xlfn.LET(_xlpm.loc, ITEquipmentTable[Storage Location],
COUNTIFS(ITSecondTable[Tag], ITSecondTable[[#This Row],[Tag]], _xlpm.loc, "")
)</f>
        <v>17</v>
      </c>
      <c r="G106" s="168">
        <f>MAX(ITSecondTable[[#This Row],[SQty]] - ITSecondTable[[#This Row],[IQty]], 0)</f>
        <v>11</v>
      </c>
      <c r="H106" s="168">
        <f>MAX(ITSecondTable[[#This Row],[IQty]]-ITSecondTable[[#This Row],[SQty]], 0)</f>
        <v>0</v>
      </c>
      <c r="I106" s="151" t="str">
        <f>IFERROR(_xlfn.TEXTJOIN("~", TRUE, ITEquipmentTable[[#This Row],[Type]],ITEquipmentTable[[#This Row],[Brand]],ITEquipmentTable[[#This Row],[Model]]), "")</f>
        <v>Desktop~Dell~OptiPlex 3040</v>
      </c>
      <c r="J106" s="151" t="b">
        <f xml:space="preserve"> _xlfn.IFNA(MATCH( ITSecondTable[[#This Row],[Tag]], StorageTable[Tag], 0)  &gt; -1, FALSE)</f>
        <v>0</v>
      </c>
      <c r="K106" s="168" t="b">
        <f>COUNTIFS(ITEquipmentTable[Serial], ITEquipmentTable[[#This Row],[Serial]], ITEquipmentTable[Serial], "&lt;&gt;N/A") &gt; 1</f>
        <v>0</v>
      </c>
      <c r="L106" s="168" t="b">
        <f>COUNTIFS(ITEquipmentTable[Name], ITEquipmentTable[[#This Row],[Name]], ITEquipmentTable[Name], "&lt;&gt;&lt;Unassigned&gt;",  ITEquipmentTable[Name], "&lt;&gt;N/A") &gt; 1</f>
        <v>0</v>
      </c>
      <c r="M106" s="168" t="b">
        <f>AND(COUNTIFS(ITEquipmentTable[IPv4 Address], ITEquipmentTable[[#This Row],[IPv4 Address]]) &gt; 1, ITEquipmentTable[[#This Row],[IPv4 Address]] &lt;&gt; "DHCP",  ITEquipmentTable[[#This Row],[IPv4 Address]] &lt;&gt; "N/A")</f>
        <v>0</v>
      </c>
    </row>
    <row r="107" spans="1:13" x14ac:dyDescent="0.2">
      <c r="A107" s="168">
        <f>IF(LEN(ITSecondTable[[#This Row],[Tag]]) &gt; 0, _xlfn.XLOOKUP(ITSecondTable[[#This Row],[Tag]],StorageTable[Tag], StorageTable[In Storage - Count Total], "Err", 0, 1), 0)</f>
        <v>6</v>
      </c>
      <c r="B107" s="1">
        <f>_xlfn.LET(_xlpm.loc, ITEquipmentTable[Storage Location],
COUNTIFS(ITSecondTable[Tag], ITSecondTable[[#This Row],[Tag]], _xlpm.loc, "&lt;&gt;In Use", _xlpm.loc, "&lt;&gt;",  _xlpm.loc, "&lt;&gt;E-Waste", _xlpm.loc, "&lt;&gt;Virtual",  _xlpm.loc, "&lt;&gt;Assigned to Employee", _xlpm.loc, "&lt;&gt;Decommisioned", _xlpm.loc, "&lt;&gt;Missing")
)</f>
        <v>17</v>
      </c>
      <c r="C107" s="1">
        <f>_xlfn.LET(_xlpm.loc, ITEquipmentTable[Storage Location],
COUNTIFS(ITSecondTable[Tag], ITSecondTable[[#This Row],[Tag]], _xlpm.loc, "&lt;&gt;E-Waste", _xlpm.loc, "&lt;&gt;Virtual", _xlpm.loc, "&lt;&gt;Decommisioned")
)</f>
        <v>64</v>
      </c>
      <c r="D107" s="168">
        <f>_xlfn.LET(_xlpm.loc, ITEquipmentTable[Storage Location],
COUNTIFS(ITSecondTable[Tag], ITSecondTable[[#This Row],[Tag]], _xlpm.loc, "Missing")
)</f>
        <v>0</v>
      </c>
      <c r="E107" s="168">
        <f>_xlfn.LET(_xlpm.loc, ITEquipmentTable[Storage Location],
COUNTIFS(ITSecondTable[Tag], ITSecondTable[[#This Row],[Tag]], _xlpm.loc, "In Use") + COUNTIFS(ITSecondTable[Tag], ITSecondTable[[#This Row],[Tag]], _xlpm.loc, "Assigned to Employee")
)</f>
        <v>30</v>
      </c>
      <c r="F107" s="168">
        <f>_xlfn.LET(_xlpm.loc, ITEquipmentTable[Storage Location],
COUNTIFS(ITSecondTable[Tag], ITSecondTable[[#This Row],[Tag]], _xlpm.loc, "")
)</f>
        <v>17</v>
      </c>
      <c r="G107" s="168">
        <f>MAX(ITSecondTable[[#This Row],[SQty]] - ITSecondTable[[#This Row],[IQty]], 0)</f>
        <v>11</v>
      </c>
      <c r="H107" s="168">
        <f>MAX(ITSecondTable[[#This Row],[IQty]]-ITSecondTable[[#This Row],[SQty]], 0)</f>
        <v>0</v>
      </c>
      <c r="I107" s="151" t="str">
        <f>IFERROR(_xlfn.TEXTJOIN("~", TRUE, ITEquipmentTable[[#This Row],[Type]],ITEquipmentTable[[#This Row],[Brand]],ITEquipmentTable[[#This Row],[Model]]), "")</f>
        <v>Desktop~Dell~OptiPlex 3040</v>
      </c>
      <c r="J107" s="151" t="b">
        <f xml:space="preserve"> _xlfn.IFNA(MATCH( ITSecondTable[[#This Row],[Tag]], StorageTable[Tag], 0)  &gt; -1, FALSE)</f>
        <v>0</v>
      </c>
      <c r="K107" s="168" t="b">
        <f>COUNTIFS(ITEquipmentTable[Serial], ITEquipmentTable[[#This Row],[Serial]], ITEquipmentTable[Serial], "&lt;&gt;N/A") &gt; 1</f>
        <v>0</v>
      </c>
      <c r="L107" s="168" t="b">
        <f>COUNTIFS(ITEquipmentTable[Name], ITEquipmentTable[[#This Row],[Name]], ITEquipmentTable[Name], "&lt;&gt;&lt;Unassigned&gt;",  ITEquipmentTable[Name], "&lt;&gt;N/A") &gt; 1</f>
        <v>0</v>
      </c>
      <c r="M107" s="168" t="b">
        <f>AND(COUNTIFS(ITEquipmentTable[IPv4 Address], ITEquipmentTable[[#This Row],[IPv4 Address]]) &gt; 1, ITEquipmentTable[[#This Row],[IPv4 Address]] &lt;&gt; "DHCP",  ITEquipmentTable[[#This Row],[IPv4 Address]] &lt;&gt; "N/A")</f>
        <v>0</v>
      </c>
    </row>
    <row r="108" spans="1:13" x14ac:dyDescent="0.2">
      <c r="A108" s="168">
        <f>IF(LEN(ITSecondTable[[#This Row],[Tag]]) &gt; 0, _xlfn.XLOOKUP(ITSecondTable[[#This Row],[Tag]],StorageTable[Tag], StorageTable[In Storage - Count Total], "Err", 0, 1), 0)</f>
        <v>0</v>
      </c>
      <c r="B108" s="1">
        <f>_xlfn.LET(_xlpm.loc, ITEquipmentTable[Storage Location],
COUNTIFS(ITSecondTable[Tag], ITSecondTable[[#This Row],[Tag]], _xlpm.loc, "&lt;&gt;In Use", _xlpm.loc, "&lt;&gt;",  _xlpm.loc, "&lt;&gt;E-Waste", _xlpm.loc, "&lt;&gt;Virtual",  _xlpm.loc, "&lt;&gt;Assigned to Employee", _xlpm.loc, "&lt;&gt;Decommisioned", _xlpm.loc, "&lt;&gt;Missing")
)</f>
        <v>0</v>
      </c>
      <c r="C108" s="1">
        <f>_xlfn.LET(_xlpm.loc, ITEquipmentTable[Storage Location],
COUNTIFS(ITSecondTable[Tag], ITSecondTable[[#This Row],[Tag]], _xlpm.loc, "&lt;&gt;E-Waste", _xlpm.loc, "&lt;&gt;Virtual", _xlpm.loc, "&lt;&gt;Decommisioned")
)</f>
        <v>32</v>
      </c>
      <c r="D108" s="168">
        <f>_xlfn.LET(_xlpm.loc, ITEquipmentTable[Storage Location],
COUNTIFS(ITSecondTable[Tag], ITSecondTable[[#This Row],[Tag]], _xlpm.loc, "Missing")
)</f>
        <v>0</v>
      </c>
      <c r="E108" s="168">
        <f>_xlfn.LET(_xlpm.loc, ITEquipmentTable[Storage Location],
COUNTIFS(ITSecondTable[Tag], ITSecondTable[[#This Row],[Tag]], _xlpm.loc, "In Use") + COUNTIFS(ITSecondTable[Tag], ITSecondTable[[#This Row],[Tag]], _xlpm.loc, "Assigned to Employee")
)</f>
        <v>26</v>
      </c>
      <c r="F108" s="168">
        <f>_xlfn.LET(_xlpm.loc, ITEquipmentTable[Storage Location],
COUNTIFS(ITSecondTable[Tag], ITSecondTable[[#This Row],[Tag]], _xlpm.loc, "")
)</f>
        <v>6</v>
      </c>
      <c r="G108" s="168">
        <f>MAX(ITSecondTable[[#This Row],[SQty]] - ITSecondTable[[#This Row],[IQty]], 0)</f>
        <v>0</v>
      </c>
      <c r="H108" s="168">
        <f>MAX(ITSecondTable[[#This Row],[IQty]]-ITSecondTable[[#This Row],[SQty]], 0)</f>
        <v>0</v>
      </c>
      <c r="I108" s="151" t="str">
        <f>IFERROR(_xlfn.TEXTJOIN("~", TRUE, ITEquipmentTable[[#This Row],[Type]],ITEquipmentTable[[#This Row],[Brand]],ITEquipmentTable[[#This Row],[Model]]), "")</f>
        <v>Desktop</v>
      </c>
      <c r="J108" s="151" t="b">
        <f xml:space="preserve"> _xlfn.IFNA(MATCH( ITSecondTable[[#This Row],[Tag]], StorageTable[Tag], 0)  &gt; -1, FALSE)</f>
        <v>1</v>
      </c>
      <c r="K108" s="168" t="b">
        <f>COUNTIFS(ITEquipmentTable[Serial], ITEquipmentTable[[#This Row],[Serial]], ITEquipmentTable[Serial], "&lt;&gt;N/A") &gt; 1</f>
        <v>0</v>
      </c>
      <c r="L108" s="168" t="b">
        <f>COUNTIFS(ITEquipmentTable[Name], ITEquipmentTable[[#This Row],[Name]], ITEquipmentTable[Name], "&lt;&gt;&lt;Unassigned&gt;",  ITEquipmentTable[Name], "&lt;&gt;N/A") &gt; 1</f>
        <v>0</v>
      </c>
      <c r="M108" s="168" t="b">
        <f>AND(COUNTIFS(ITEquipmentTable[IPv4 Address], ITEquipmentTable[[#This Row],[IPv4 Address]]) &gt; 1, ITEquipmentTable[[#This Row],[IPv4 Address]] &lt;&gt; "DHCP",  ITEquipmentTable[[#This Row],[IPv4 Address]] &lt;&gt; "N/A")</f>
        <v>0</v>
      </c>
    </row>
    <row r="109" spans="1:13" x14ac:dyDescent="0.2">
      <c r="A109" s="168">
        <f>IF(LEN(ITSecondTable[[#This Row],[Tag]]) &gt; 0, _xlfn.XLOOKUP(ITSecondTable[[#This Row],[Tag]],StorageTable[Tag], StorageTable[In Storage - Count Total], "Err", 0, 1), 0)</f>
        <v>0</v>
      </c>
      <c r="B109" s="1">
        <f>_xlfn.LET(_xlpm.loc, ITEquipmentTable[Storage Location],
COUNTIFS(ITSecondTable[Tag], ITSecondTable[[#This Row],[Tag]], _xlpm.loc, "&lt;&gt;In Use", _xlpm.loc, "&lt;&gt;",  _xlpm.loc, "&lt;&gt;E-Waste", _xlpm.loc, "&lt;&gt;Virtual",  _xlpm.loc, "&lt;&gt;Assigned to Employee", _xlpm.loc, "&lt;&gt;Decommisioned", _xlpm.loc, "&lt;&gt;Missing")
)</f>
        <v>0</v>
      </c>
      <c r="C109" s="1">
        <f>_xlfn.LET(_xlpm.loc, ITEquipmentTable[Storage Location],
COUNTIFS(ITSecondTable[Tag], ITSecondTable[[#This Row],[Tag]], _xlpm.loc, "&lt;&gt;E-Waste", _xlpm.loc, "&lt;&gt;Virtual", _xlpm.loc, "&lt;&gt;Decommisioned")
)</f>
        <v>32</v>
      </c>
      <c r="D109" s="168">
        <f>_xlfn.LET(_xlpm.loc, ITEquipmentTable[Storage Location],
COUNTIFS(ITSecondTable[Tag], ITSecondTable[[#This Row],[Tag]], _xlpm.loc, "Missing")
)</f>
        <v>0</v>
      </c>
      <c r="E109" s="168">
        <f>_xlfn.LET(_xlpm.loc, ITEquipmentTable[Storage Location],
COUNTIFS(ITSecondTable[Tag], ITSecondTable[[#This Row],[Tag]], _xlpm.loc, "In Use") + COUNTIFS(ITSecondTable[Tag], ITSecondTable[[#This Row],[Tag]], _xlpm.loc, "Assigned to Employee")
)</f>
        <v>26</v>
      </c>
      <c r="F109" s="168">
        <f>_xlfn.LET(_xlpm.loc, ITEquipmentTable[Storage Location],
COUNTIFS(ITSecondTable[Tag], ITSecondTable[[#This Row],[Tag]], _xlpm.loc, "")
)</f>
        <v>6</v>
      </c>
      <c r="G109" s="168">
        <f>MAX(ITSecondTable[[#This Row],[SQty]] - ITSecondTable[[#This Row],[IQty]], 0)</f>
        <v>0</v>
      </c>
      <c r="H109" s="168">
        <f>MAX(ITSecondTable[[#This Row],[IQty]]-ITSecondTable[[#This Row],[SQty]], 0)</f>
        <v>0</v>
      </c>
      <c r="I109" s="151" t="str">
        <f>IFERROR(_xlfn.TEXTJOIN("~", TRUE, ITEquipmentTable[[#This Row],[Type]],ITEquipmentTable[[#This Row],[Brand]],ITEquipmentTable[[#This Row],[Model]]), "")</f>
        <v>Desktop</v>
      </c>
      <c r="J109" s="151" t="b">
        <f xml:space="preserve"> _xlfn.IFNA(MATCH( ITSecondTable[[#This Row],[Tag]], StorageTable[Tag], 0)  &gt; -1, FALSE)</f>
        <v>1</v>
      </c>
      <c r="K109" s="168" t="b">
        <f>COUNTIFS(ITEquipmentTable[Serial], ITEquipmentTable[[#This Row],[Serial]], ITEquipmentTable[Serial], "&lt;&gt;N/A") &gt; 1</f>
        <v>0</v>
      </c>
      <c r="L109" s="168" t="b">
        <f>COUNTIFS(ITEquipmentTable[Name], ITEquipmentTable[[#This Row],[Name]], ITEquipmentTable[Name], "&lt;&gt;&lt;Unassigned&gt;",  ITEquipmentTable[Name], "&lt;&gt;N/A") &gt; 1</f>
        <v>0</v>
      </c>
      <c r="M109" s="168" t="b">
        <f>AND(COUNTIFS(ITEquipmentTable[IPv4 Address], ITEquipmentTable[[#This Row],[IPv4 Address]]) &gt; 1, ITEquipmentTable[[#This Row],[IPv4 Address]] &lt;&gt; "DHCP",  ITEquipmentTable[[#This Row],[IPv4 Address]] &lt;&gt; "N/A")</f>
        <v>0</v>
      </c>
    </row>
    <row r="110" spans="1:13" x14ac:dyDescent="0.2">
      <c r="A110" s="168">
        <f>IF(LEN(ITSecondTable[[#This Row],[Tag]]) &gt; 0, _xlfn.XLOOKUP(ITSecondTable[[#This Row],[Tag]],StorageTable[Tag], StorageTable[In Storage - Count Total], "Err", 0, 1), 0)</f>
        <v>0</v>
      </c>
      <c r="B110" s="1">
        <f>_xlfn.LET(_xlpm.loc, ITEquipmentTable[Storage Location],
COUNTIFS(ITSecondTable[Tag], ITSecondTable[[#This Row],[Tag]], _xlpm.loc, "&lt;&gt;In Use", _xlpm.loc, "&lt;&gt;",  _xlpm.loc, "&lt;&gt;E-Waste", _xlpm.loc, "&lt;&gt;Virtual",  _xlpm.loc, "&lt;&gt;Assigned to Employee", _xlpm.loc, "&lt;&gt;Decommisioned", _xlpm.loc, "&lt;&gt;Missing")
)</f>
        <v>0</v>
      </c>
      <c r="C110" s="1">
        <f>_xlfn.LET(_xlpm.loc, ITEquipmentTable[Storage Location],
COUNTIFS(ITSecondTable[Tag], ITSecondTable[[#This Row],[Tag]], _xlpm.loc, "&lt;&gt;E-Waste", _xlpm.loc, "&lt;&gt;Virtual", _xlpm.loc, "&lt;&gt;Decommisioned")
)</f>
        <v>1</v>
      </c>
      <c r="D110" s="168">
        <f>_xlfn.LET(_xlpm.loc, ITEquipmentTable[Storage Location],
COUNTIFS(ITSecondTable[Tag], ITSecondTable[[#This Row],[Tag]], _xlpm.loc, "Missing")
)</f>
        <v>0</v>
      </c>
      <c r="E110" s="168">
        <f>_xlfn.LET(_xlpm.loc, ITEquipmentTable[Storage Location],
COUNTIFS(ITSecondTable[Tag], ITSecondTable[[#This Row],[Tag]], _xlpm.loc, "In Use") + COUNTIFS(ITSecondTable[Tag], ITSecondTable[[#This Row],[Tag]], _xlpm.loc, "Assigned to Employee")
)</f>
        <v>1</v>
      </c>
      <c r="F110" s="168">
        <f>_xlfn.LET(_xlpm.loc, ITEquipmentTable[Storage Location],
COUNTIFS(ITSecondTable[Tag], ITSecondTable[[#This Row],[Tag]], _xlpm.loc, "")
)</f>
        <v>0</v>
      </c>
      <c r="G110" s="168">
        <f>MAX(ITSecondTable[[#This Row],[SQty]] - ITSecondTable[[#This Row],[IQty]], 0)</f>
        <v>0</v>
      </c>
      <c r="H110" s="168">
        <f>MAX(ITSecondTable[[#This Row],[IQty]]-ITSecondTable[[#This Row],[SQty]], 0)</f>
        <v>0</v>
      </c>
      <c r="I110" s="151" t="str">
        <f>IFERROR(_xlfn.TEXTJOIN("~", TRUE, ITEquipmentTable[[#This Row],[Type]],ITEquipmentTable[[#This Row],[Brand]],ITEquipmentTable[[#This Row],[Model]]), "")</f>
        <v>Desktop~HP~OMEN by HP Desktop PC 880-p1xx</v>
      </c>
      <c r="J110" s="151" t="b">
        <f xml:space="preserve"> _xlfn.IFNA(MATCH( ITSecondTable[[#This Row],[Tag]], StorageTable[Tag], 0)  &gt; -1, FALSE)</f>
        <v>0</v>
      </c>
      <c r="K110" s="168" t="b">
        <f>COUNTIFS(ITEquipmentTable[Serial], ITEquipmentTable[[#This Row],[Serial]], ITEquipmentTable[Serial], "&lt;&gt;N/A") &gt; 1</f>
        <v>0</v>
      </c>
      <c r="L110" s="168" t="b">
        <f>COUNTIFS(ITEquipmentTable[Name], ITEquipmentTable[[#This Row],[Name]], ITEquipmentTable[Name], "&lt;&gt;&lt;Unassigned&gt;",  ITEquipmentTable[Name], "&lt;&gt;N/A") &gt; 1</f>
        <v>0</v>
      </c>
      <c r="M110" s="168" t="b">
        <f>AND(COUNTIFS(ITEquipmentTable[IPv4 Address], ITEquipmentTable[[#This Row],[IPv4 Address]]) &gt; 1, ITEquipmentTable[[#This Row],[IPv4 Address]] &lt;&gt; "DHCP",  ITEquipmentTable[[#This Row],[IPv4 Address]] &lt;&gt; "N/A")</f>
        <v>0</v>
      </c>
    </row>
    <row r="111" spans="1:13" x14ac:dyDescent="0.2">
      <c r="A111" s="168">
        <f>IF(LEN(ITSecondTable[[#This Row],[Tag]]) &gt; 0, _xlfn.XLOOKUP(ITSecondTable[[#This Row],[Tag]],StorageTable[Tag], StorageTable[In Storage - Count Total], "Err", 0, 1), 0)</f>
        <v>0</v>
      </c>
      <c r="B111" s="1">
        <f>_xlfn.LET(_xlpm.loc, ITEquipmentTable[Storage Location],
COUNTIFS(ITSecondTable[Tag], ITSecondTable[[#This Row],[Tag]], _xlpm.loc, "&lt;&gt;In Use", _xlpm.loc, "&lt;&gt;",  _xlpm.loc, "&lt;&gt;E-Waste", _xlpm.loc, "&lt;&gt;Virtual",  _xlpm.loc, "&lt;&gt;Assigned to Employee", _xlpm.loc, "&lt;&gt;Decommisioned", _xlpm.loc, "&lt;&gt;Missing")
)</f>
        <v>0</v>
      </c>
      <c r="C111" s="1">
        <f>_xlfn.LET(_xlpm.loc, ITEquipmentTable[Storage Location],
COUNTIFS(ITSecondTable[Tag], ITSecondTable[[#This Row],[Tag]], _xlpm.loc, "&lt;&gt;E-Waste", _xlpm.loc, "&lt;&gt;Virtual", _xlpm.loc, "&lt;&gt;Decommisioned")
)</f>
        <v>32</v>
      </c>
      <c r="D111" s="168">
        <f>_xlfn.LET(_xlpm.loc, ITEquipmentTable[Storage Location],
COUNTIFS(ITSecondTable[Tag], ITSecondTable[[#This Row],[Tag]], _xlpm.loc, "Missing")
)</f>
        <v>0</v>
      </c>
      <c r="E111" s="168">
        <f>_xlfn.LET(_xlpm.loc, ITEquipmentTable[Storage Location],
COUNTIFS(ITSecondTable[Tag], ITSecondTable[[#This Row],[Tag]], _xlpm.loc, "In Use") + COUNTIFS(ITSecondTable[Tag], ITSecondTable[[#This Row],[Tag]], _xlpm.loc, "Assigned to Employee")
)</f>
        <v>26</v>
      </c>
      <c r="F111" s="168">
        <f>_xlfn.LET(_xlpm.loc, ITEquipmentTable[Storage Location],
COUNTIFS(ITSecondTable[Tag], ITSecondTable[[#This Row],[Tag]], _xlpm.loc, "")
)</f>
        <v>6</v>
      </c>
      <c r="G111" s="168">
        <f>MAX(ITSecondTable[[#This Row],[SQty]] - ITSecondTable[[#This Row],[IQty]], 0)</f>
        <v>0</v>
      </c>
      <c r="H111" s="168">
        <f>MAX(ITSecondTable[[#This Row],[IQty]]-ITSecondTable[[#This Row],[SQty]], 0)</f>
        <v>0</v>
      </c>
      <c r="I111" s="151" t="str">
        <f>IFERROR(_xlfn.TEXTJOIN("~", TRUE, ITEquipmentTable[[#This Row],[Type]],ITEquipmentTable[[#This Row],[Brand]],ITEquipmentTable[[#This Row],[Model]]), "")</f>
        <v>Desktop</v>
      </c>
      <c r="J111" s="151" t="b">
        <f xml:space="preserve"> _xlfn.IFNA(MATCH( ITSecondTable[[#This Row],[Tag]], StorageTable[Tag], 0)  &gt; -1, FALSE)</f>
        <v>1</v>
      </c>
      <c r="K111" s="168" t="b">
        <f>COUNTIFS(ITEquipmentTable[Serial], ITEquipmentTable[[#This Row],[Serial]], ITEquipmentTable[Serial], "&lt;&gt;N/A") &gt; 1</f>
        <v>0</v>
      </c>
      <c r="L111" s="168" t="b">
        <f>COUNTIFS(ITEquipmentTable[Name], ITEquipmentTable[[#This Row],[Name]], ITEquipmentTable[Name], "&lt;&gt;&lt;Unassigned&gt;",  ITEquipmentTable[Name], "&lt;&gt;N/A") &gt; 1</f>
        <v>0</v>
      </c>
      <c r="M111" s="168" t="b">
        <f>AND(COUNTIFS(ITEquipmentTable[IPv4 Address], ITEquipmentTable[[#This Row],[IPv4 Address]]) &gt; 1, ITEquipmentTable[[#This Row],[IPv4 Address]] &lt;&gt; "DHCP",  ITEquipmentTable[[#This Row],[IPv4 Address]] &lt;&gt; "N/A")</f>
        <v>0</v>
      </c>
    </row>
    <row r="112" spans="1:13" x14ac:dyDescent="0.2">
      <c r="A112" s="168">
        <f>IF(LEN(ITSecondTable[[#This Row],[Tag]]) &gt; 0, _xlfn.XLOOKUP(ITSecondTable[[#This Row],[Tag]],StorageTable[Tag], StorageTable[In Storage - Count Total], "Err", 0, 1), 0)</f>
        <v>6</v>
      </c>
      <c r="B112" s="1">
        <f>_xlfn.LET(_xlpm.loc, ITEquipmentTable[Storage Location],
COUNTIFS(ITSecondTable[Tag], ITSecondTable[[#This Row],[Tag]], _xlpm.loc, "&lt;&gt;In Use", _xlpm.loc, "&lt;&gt;",  _xlpm.loc, "&lt;&gt;E-Waste", _xlpm.loc, "&lt;&gt;Virtual",  _xlpm.loc, "&lt;&gt;Assigned to Employee", _xlpm.loc, "&lt;&gt;Decommisioned", _xlpm.loc, "&lt;&gt;Missing")
)</f>
        <v>17</v>
      </c>
      <c r="C112" s="1">
        <f>_xlfn.LET(_xlpm.loc, ITEquipmentTable[Storage Location],
COUNTIFS(ITSecondTable[Tag], ITSecondTable[[#This Row],[Tag]], _xlpm.loc, "&lt;&gt;E-Waste", _xlpm.loc, "&lt;&gt;Virtual", _xlpm.loc, "&lt;&gt;Decommisioned")
)</f>
        <v>64</v>
      </c>
      <c r="D112" s="168">
        <f>_xlfn.LET(_xlpm.loc, ITEquipmentTable[Storage Location],
COUNTIFS(ITSecondTable[Tag], ITSecondTable[[#This Row],[Tag]], _xlpm.loc, "Missing")
)</f>
        <v>0</v>
      </c>
      <c r="E112" s="168">
        <f>_xlfn.LET(_xlpm.loc, ITEquipmentTable[Storage Location],
COUNTIFS(ITSecondTable[Tag], ITSecondTable[[#This Row],[Tag]], _xlpm.loc, "In Use") + COUNTIFS(ITSecondTable[Tag], ITSecondTable[[#This Row],[Tag]], _xlpm.loc, "Assigned to Employee")
)</f>
        <v>30</v>
      </c>
      <c r="F112" s="168">
        <f>_xlfn.LET(_xlpm.loc, ITEquipmentTable[Storage Location],
COUNTIFS(ITSecondTable[Tag], ITSecondTable[[#This Row],[Tag]], _xlpm.loc, "")
)</f>
        <v>17</v>
      </c>
      <c r="G112" s="168">
        <f>MAX(ITSecondTable[[#This Row],[SQty]] - ITSecondTable[[#This Row],[IQty]], 0)</f>
        <v>11</v>
      </c>
      <c r="H112" s="168">
        <f>MAX(ITSecondTable[[#This Row],[IQty]]-ITSecondTable[[#This Row],[SQty]], 0)</f>
        <v>0</v>
      </c>
      <c r="I112" s="151" t="str">
        <f>IFERROR(_xlfn.TEXTJOIN("~", TRUE, ITEquipmentTable[[#This Row],[Type]],ITEquipmentTable[[#This Row],[Brand]],ITEquipmentTable[[#This Row],[Model]]), "")</f>
        <v>Desktop~Dell~OptiPlex 3040</v>
      </c>
      <c r="J112" s="151" t="b">
        <f xml:space="preserve"> _xlfn.IFNA(MATCH( ITSecondTable[[#This Row],[Tag]], StorageTable[Tag], 0)  &gt; -1, FALSE)</f>
        <v>0</v>
      </c>
      <c r="K112" s="168" t="b">
        <f>COUNTIFS(ITEquipmentTable[Serial], ITEquipmentTable[[#This Row],[Serial]], ITEquipmentTable[Serial], "&lt;&gt;N/A") &gt; 1</f>
        <v>0</v>
      </c>
      <c r="L112" s="168" t="b">
        <f>COUNTIFS(ITEquipmentTable[Name], ITEquipmentTable[[#This Row],[Name]], ITEquipmentTable[Name], "&lt;&gt;&lt;Unassigned&gt;",  ITEquipmentTable[Name], "&lt;&gt;N/A") &gt; 1</f>
        <v>0</v>
      </c>
      <c r="M112" s="168" t="b">
        <f>AND(COUNTIFS(ITEquipmentTable[IPv4 Address], ITEquipmentTable[[#This Row],[IPv4 Address]]) &gt; 1, ITEquipmentTable[[#This Row],[IPv4 Address]] &lt;&gt; "DHCP",  ITEquipmentTable[[#This Row],[IPv4 Address]] &lt;&gt; "N/A")</f>
        <v>0</v>
      </c>
    </row>
    <row r="113" spans="1:13" x14ac:dyDescent="0.2">
      <c r="A113" s="168">
        <f>IF(LEN(ITSecondTable[[#This Row],[Tag]]) &gt; 0, _xlfn.XLOOKUP(ITSecondTable[[#This Row],[Tag]],StorageTable[Tag], StorageTable[In Storage - Count Total], "Err", 0, 1), 0)</f>
        <v>0</v>
      </c>
      <c r="B113" s="1">
        <f>_xlfn.LET(_xlpm.loc, ITEquipmentTable[Storage Location],
COUNTIFS(ITSecondTable[Tag], ITSecondTable[[#This Row],[Tag]], _xlpm.loc, "&lt;&gt;In Use", _xlpm.loc, "&lt;&gt;",  _xlpm.loc, "&lt;&gt;E-Waste", _xlpm.loc, "&lt;&gt;Virtual",  _xlpm.loc, "&lt;&gt;Assigned to Employee", _xlpm.loc, "&lt;&gt;Decommisioned", _xlpm.loc, "&lt;&gt;Missing")
)</f>
        <v>0</v>
      </c>
      <c r="C113" s="1">
        <f>_xlfn.LET(_xlpm.loc, ITEquipmentTable[Storage Location],
COUNTIFS(ITSecondTable[Tag], ITSecondTable[[#This Row],[Tag]], _xlpm.loc, "&lt;&gt;E-Waste", _xlpm.loc, "&lt;&gt;Virtual", _xlpm.loc, "&lt;&gt;Decommisioned")
)</f>
        <v>78</v>
      </c>
      <c r="D113" s="168">
        <f>_xlfn.LET(_xlpm.loc, ITEquipmentTable[Storage Location],
COUNTIFS(ITSecondTable[Tag], ITSecondTable[[#This Row],[Tag]], _xlpm.loc, "Missing")
)</f>
        <v>0</v>
      </c>
      <c r="E113" s="168">
        <f>_xlfn.LET(_xlpm.loc, ITEquipmentTable[Storage Location],
COUNTIFS(ITSecondTable[Tag], ITSecondTable[[#This Row],[Tag]], _xlpm.loc, "In Use") + COUNTIFS(ITSecondTable[Tag], ITSecondTable[[#This Row],[Tag]], _xlpm.loc, "Assigned to Employee")
)</f>
        <v>44</v>
      </c>
      <c r="F113" s="168">
        <f>_xlfn.LET(_xlpm.loc, ITEquipmentTable[Storage Location],
COUNTIFS(ITSecondTable[Tag], ITSecondTable[[#This Row],[Tag]], _xlpm.loc, "")
)</f>
        <v>34</v>
      </c>
      <c r="G113" s="168">
        <f>MAX(ITSecondTable[[#This Row],[SQty]] - ITSecondTable[[#This Row],[IQty]], 0)</f>
        <v>0</v>
      </c>
      <c r="H113" s="168">
        <f>MAX(ITSecondTable[[#This Row],[IQty]]-ITSecondTable[[#This Row],[SQty]], 0)</f>
        <v>0</v>
      </c>
      <c r="I113" s="151" t="str">
        <f>IFERROR(_xlfn.TEXTJOIN("~", TRUE, ITEquipmentTable[[#This Row],[Type]],ITEquipmentTable[[#This Row],[Brand]],ITEquipmentTable[[#This Row],[Model]]), "")</f>
        <v>Laptop~HP</v>
      </c>
      <c r="J113" s="151" t="b">
        <f xml:space="preserve"> _xlfn.IFNA(MATCH( ITSecondTable[[#This Row],[Tag]], StorageTable[Tag], 0)  &gt; -1, FALSE)</f>
        <v>0</v>
      </c>
      <c r="K113" s="168" t="b">
        <f>COUNTIFS(ITEquipmentTable[Serial], ITEquipmentTable[[#This Row],[Serial]], ITEquipmentTable[Serial], "&lt;&gt;N/A") &gt; 1</f>
        <v>0</v>
      </c>
      <c r="L113" s="168" t="b">
        <f>COUNTIFS(ITEquipmentTable[Name], ITEquipmentTable[[#This Row],[Name]], ITEquipmentTable[Name], "&lt;&gt;&lt;Unassigned&gt;",  ITEquipmentTable[Name], "&lt;&gt;N/A") &gt; 1</f>
        <v>0</v>
      </c>
      <c r="M113" s="168" t="b">
        <f>AND(COUNTIFS(ITEquipmentTable[IPv4 Address], ITEquipmentTable[[#This Row],[IPv4 Address]]) &gt; 1, ITEquipmentTable[[#This Row],[IPv4 Address]] &lt;&gt; "DHCP",  ITEquipmentTable[[#This Row],[IPv4 Address]] &lt;&gt; "N/A")</f>
        <v>0</v>
      </c>
    </row>
    <row r="114" spans="1:13" x14ac:dyDescent="0.2">
      <c r="A114" s="168">
        <f>IF(LEN(ITSecondTable[[#This Row],[Tag]]) &gt; 0, _xlfn.XLOOKUP(ITSecondTable[[#This Row],[Tag]],StorageTable[Tag], StorageTable[In Storage - Count Total], "Err", 0, 1), 0)</f>
        <v>6</v>
      </c>
      <c r="B114" s="1">
        <f>_xlfn.LET(_xlpm.loc, ITEquipmentTable[Storage Location],
COUNTIFS(ITSecondTable[Tag], ITSecondTable[[#This Row],[Tag]], _xlpm.loc, "&lt;&gt;In Use", _xlpm.loc, "&lt;&gt;",  _xlpm.loc, "&lt;&gt;E-Waste", _xlpm.loc, "&lt;&gt;Virtual",  _xlpm.loc, "&lt;&gt;Assigned to Employee", _xlpm.loc, "&lt;&gt;Decommisioned", _xlpm.loc, "&lt;&gt;Missing")
)</f>
        <v>17</v>
      </c>
      <c r="C114" s="1">
        <f>_xlfn.LET(_xlpm.loc, ITEquipmentTable[Storage Location],
COUNTIFS(ITSecondTable[Tag], ITSecondTable[[#This Row],[Tag]], _xlpm.loc, "&lt;&gt;E-Waste", _xlpm.loc, "&lt;&gt;Virtual", _xlpm.loc, "&lt;&gt;Decommisioned")
)</f>
        <v>64</v>
      </c>
      <c r="D114" s="168">
        <f>_xlfn.LET(_xlpm.loc, ITEquipmentTable[Storage Location],
COUNTIFS(ITSecondTable[Tag], ITSecondTable[[#This Row],[Tag]], _xlpm.loc, "Missing")
)</f>
        <v>0</v>
      </c>
      <c r="E114" s="168">
        <f>_xlfn.LET(_xlpm.loc, ITEquipmentTable[Storage Location],
COUNTIFS(ITSecondTable[Tag], ITSecondTable[[#This Row],[Tag]], _xlpm.loc, "In Use") + COUNTIFS(ITSecondTable[Tag], ITSecondTable[[#This Row],[Tag]], _xlpm.loc, "Assigned to Employee")
)</f>
        <v>30</v>
      </c>
      <c r="F114" s="168">
        <f>_xlfn.LET(_xlpm.loc, ITEquipmentTable[Storage Location],
COUNTIFS(ITSecondTable[Tag], ITSecondTable[[#This Row],[Tag]], _xlpm.loc, "")
)</f>
        <v>17</v>
      </c>
      <c r="G114" s="168">
        <f>MAX(ITSecondTable[[#This Row],[SQty]] - ITSecondTable[[#This Row],[IQty]], 0)</f>
        <v>11</v>
      </c>
      <c r="H114" s="168">
        <f>MAX(ITSecondTable[[#This Row],[IQty]]-ITSecondTable[[#This Row],[SQty]], 0)</f>
        <v>0</v>
      </c>
      <c r="I114" s="151" t="str">
        <f>IFERROR(_xlfn.TEXTJOIN("~", TRUE, ITEquipmentTable[[#This Row],[Type]],ITEquipmentTable[[#This Row],[Brand]],ITEquipmentTable[[#This Row],[Model]]), "")</f>
        <v>Desktop~Dell~OptiPlex 3040</v>
      </c>
      <c r="J114" s="151" t="b">
        <f xml:space="preserve"> _xlfn.IFNA(MATCH( ITSecondTable[[#This Row],[Tag]], StorageTable[Tag], 0)  &gt; -1, FALSE)</f>
        <v>0</v>
      </c>
      <c r="K114" s="168" t="b">
        <f>COUNTIFS(ITEquipmentTable[Serial], ITEquipmentTable[[#This Row],[Serial]], ITEquipmentTable[Serial], "&lt;&gt;N/A") &gt; 1</f>
        <v>0</v>
      </c>
      <c r="L114" s="168" t="b">
        <f>COUNTIFS(ITEquipmentTable[Name], ITEquipmentTable[[#This Row],[Name]], ITEquipmentTable[Name], "&lt;&gt;&lt;Unassigned&gt;",  ITEquipmentTable[Name], "&lt;&gt;N/A") &gt; 1</f>
        <v>0</v>
      </c>
      <c r="M114" s="168" t="b">
        <f>AND(COUNTIFS(ITEquipmentTable[IPv4 Address], ITEquipmentTable[[#This Row],[IPv4 Address]]) &gt; 1, ITEquipmentTable[[#This Row],[IPv4 Address]] &lt;&gt; "DHCP",  ITEquipmentTable[[#This Row],[IPv4 Address]] &lt;&gt; "N/A")</f>
        <v>0</v>
      </c>
    </row>
    <row r="115" spans="1:13" x14ac:dyDescent="0.2">
      <c r="A115" s="168">
        <f>IF(LEN(ITSecondTable[[#This Row],[Tag]]) &gt; 0, _xlfn.XLOOKUP(ITSecondTable[[#This Row],[Tag]],StorageTable[Tag], StorageTable[In Storage - Count Total], "Err", 0, 1), 0)</f>
        <v>0</v>
      </c>
      <c r="B115" s="1">
        <f>_xlfn.LET(_xlpm.loc, ITEquipmentTable[Storage Location],
COUNTIFS(ITSecondTable[Tag], ITSecondTable[[#This Row],[Tag]], _xlpm.loc, "&lt;&gt;In Use", _xlpm.loc, "&lt;&gt;",  _xlpm.loc, "&lt;&gt;E-Waste", _xlpm.loc, "&lt;&gt;Virtual",  _xlpm.loc, "&lt;&gt;Assigned to Employee", _xlpm.loc, "&lt;&gt;Decommisioned", _xlpm.loc, "&lt;&gt;Missing")
)</f>
        <v>0</v>
      </c>
      <c r="C115" s="1">
        <f>_xlfn.LET(_xlpm.loc, ITEquipmentTable[Storage Location],
COUNTIFS(ITSecondTable[Tag], ITSecondTable[[#This Row],[Tag]], _xlpm.loc, "&lt;&gt;E-Waste", _xlpm.loc, "&lt;&gt;Virtual", _xlpm.loc, "&lt;&gt;Decommisioned")
)</f>
        <v>21</v>
      </c>
      <c r="D115" s="168">
        <f>_xlfn.LET(_xlpm.loc, ITEquipmentTable[Storage Location],
COUNTIFS(ITSecondTable[Tag], ITSecondTable[[#This Row],[Tag]], _xlpm.loc, "Missing")
)</f>
        <v>0</v>
      </c>
      <c r="E115" s="168">
        <f>_xlfn.LET(_xlpm.loc, ITEquipmentTable[Storage Location],
COUNTIFS(ITSecondTable[Tag], ITSecondTable[[#This Row],[Tag]], _xlpm.loc, "In Use") + COUNTIFS(ITSecondTable[Tag], ITSecondTable[[#This Row],[Tag]], _xlpm.loc, "Assigned to Employee")
)</f>
        <v>3</v>
      </c>
      <c r="F115" s="168">
        <f>_xlfn.LET(_xlpm.loc, ITEquipmentTable[Storage Location],
COUNTIFS(ITSecondTable[Tag], ITSecondTable[[#This Row],[Tag]], _xlpm.loc, "")
)</f>
        <v>18</v>
      </c>
      <c r="G115" s="168">
        <f>MAX(ITSecondTable[[#This Row],[SQty]] - ITSecondTable[[#This Row],[IQty]], 0)</f>
        <v>0</v>
      </c>
      <c r="H115" s="168">
        <f>MAX(ITSecondTable[[#This Row],[IQty]]-ITSecondTable[[#This Row],[SQty]], 0)</f>
        <v>0</v>
      </c>
      <c r="I115" s="151" t="str">
        <f>IFERROR(_xlfn.TEXTJOIN("~", TRUE, ITEquipmentTable[[#This Row],[Type]],ITEquipmentTable[[#This Row],[Brand]],ITEquipmentTable[[#This Row],[Model]]), "")</f>
        <v/>
      </c>
      <c r="J115" s="151" t="b">
        <f xml:space="preserve"> _xlfn.IFNA(MATCH( ITSecondTable[[#This Row],[Tag]], StorageTable[Tag], 0)  &gt; -1, FALSE)</f>
        <v>0</v>
      </c>
      <c r="K115" s="168" t="b">
        <f>COUNTIFS(ITEquipmentTable[Serial], ITEquipmentTable[[#This Row],[Serial]], ITEquipmentTable[Serial], "&lt;&gt;N/A") &gt; 1</f>
        <v>0</v>
      </c>
      <c r="L115" s="168" t="b">
        <f>COUNTIFS(ITEquipmentTable[Name], ITEquipmentTable[[#This Row],[Name]], ITEquipmentTable[Name], "&lt;&gt;&lt;Unassigned&gt;",  ITEquipmentTable[Name], "&lt;&gt;N/A") &gt; 1</f>
        <v>0</v>
      </c>
      <c r="M115" s="168" t="b">
        <f>AND(COUNTIFS(ITEquipmentTable[IPv4 Address], ITEquipmentTable[[#This Row],[IPv4 Address]]) &gt; 1, ITEquipmentTable[[#This Row],[IPv4 Address]] &lt;&gt; "DHCP",  ITEquipmentTable[[#This Row],[IPv4 Address]] &lt;&gt; "N/A")</f>
        <v>0</v>
      </c>
    </row>
    <row r="116" spans="1:13" x14ac:dyDescent="0.2">
      <c r="A116" s="168">
        <f>IF(LEN(ITSecondTable[[#This Row],[Tag]]) &gt; 0, _xlfn.XLOOKUP(ITSecondTable[[#This Row],[Tag]],StorageTable[Tag], StorageTable[In Storage - Count Total], "Err", 0, 1), 0)</f>
        <v>0</v>
      </c>
      <c r="B116" s="1">
        <f>_xlfn.LET(_xlpm.loc, ITEquipmentTable[Storage Location],
COUNTIFS(ITSecondTable[Tag], ITSecondTable[[#This Row],[Tag]], _xlpm.loc, "&lt;&gt;In Use", _xlpm.loc, "&lt;&gt;",  _xlpm.loc, "&lt;&gt;E-Waste", _xlpm.loc, "&lt;&gt;Virtual",  _xlpm.loc, "&lt;&gt;Assigned to Employee", _xlpm.loc, "&lt;&gt;Decommisioned", _xlpm.loc, "&lt;&gt;Missing")
)</f>
        <v>0</v>
      </c>
      <c r="C116" s="1">
        <f>_xlfn.LET(_xlpm.loc, ITEquipmentTable[Storage Location],
COUNTIFS(ITSecondTable[Tag], ITSecondTable[[#This Row],[Tag]], _xlpm.loc, "&lt;&gt;E-Waste", _xlpm.loc, "&lt;&gt;Virtual", _xlpm.loc, "&lt;&gt;Decommisioned")
)</f>
        <v>78</v>
      </c>
      <c r="D116" s="168">
        <f>_xlfn.LET(_xlpm.loc, ITEquipmentTable[Storage Location],
COUNTIFS(ITSecondTable[Tag], ITSecondTable[[#This Row],[Tag]], _xlpm.loc, "Missing")
)</f>
        <v>0</v>
      </c>
      <c r="E116" s="168">
        <f>_xlfn.LET(_xlpm.loc, ITEquipmentTable[Storage Location],
COUNTIFS(ITSecondTable[Tag], ITSecondTable[[#This Row],[Tag]], _xlpm.loc, "In Use") + COUNTIFS(ITSecondTable[Tag], ITSecondTable[[#This Row],[Tag]], _xlpm.loc, "Assigned to Employee")
)</f>
        <v>44</v>
      </c>
      <c r="F116" s="168">
        <f>_xlfn.LET(_xlpm.loc, ITEquipmentTable[Storage Location],
COUNTIFS(ITSecondTable[Tag], ITSecondTable[[#This Row],[Tag]], _xlpm.loc, "")
)</f>
        <v>34</v>
      </c>
      <c r="G116" s="168">
        <f>MAX(ITSecondTable[[#This Row],[SQty]] - ITSecondTable[[#This Row],[IQty]], 0)</f>
        <v>0</v>
      </c>
      <c r="H116" s="168">
        <f>MAX(ITSecondTable[[#This Row],[IQty]]-ITSecondTable[[#This Row],[SQty]], 0)</f>
        <v>0</v>
      </c>
      <c r="I116" s="151" t="str">
        <f>IFERROR(_xlfn.TEXTJOIN("~", TRUE, ITEquipmentTable[[#This Row],[Type]],ITEquipmentTable[[#This Row],[Brand]],ITEquipmentTable[[#This Row],[Model]]), "")</f>
        <v>Laptop~HP</v>
      </c>
      <c r="J116" s="151" t="b">
        <f xml:space="preserve"> _xlfn.IFNA(MATCH( ITSecondTable[[#This Row],[Tag]], StorageTable[Tag], 0)  &gt; -1, FALSE)</f>
        <v>0</v>
      </c>
      <c r="K116" s="168" t="b">
        <f>COUNTIFS(ITEquipmentTable[Serial], ITEquipmentTable[[#This Row],[Serial]], ITEquipmentTable[Serial], "&lt;&gt;N/A") &gt; 1</f>
        <v>0</v>
      </c>
      <c r="L116" s="168" t="b">
        <f>COUNTIFS(ITEquipmentTable[Name], ITEquipmentTable[[#This Row],[Name]], ITEquipmentTable[Name], "&lt;&gt;&lt;Unassigned&gt;",  ITEquipmentTable[Name], "&lt;&gt;N/A") &gt; 1</f>
        <v>0</v>
      </c>
      <c r="M116" s="168" t="b">
        <f>AND(COUNTIFS(ITEquipmentTable[IPv4 Address], ITEquipmentTable[[#This Row],[IPv4 Address]]) &gt; 1, ITEquipmentTable[[#This Row],[IPv4 Address]] &lt;&gt; "DHCP",  ITEquipmentTable[[#This Row],[IPv4 Address]] &lt;&gt; "N/A")</f>
        <v>0</v>
      </c>
    </row>
    <row r="117" spans="1:13" x14ac:dyDescent="0.2">
      <c r="A117" s="168">
        <f>IF(LEN(ITSecondTable[[#This Row],[Tag]]) &gt; 0, _xlfn.XLOOKUP(ITSecondTable[[#This Row],[Tag]],StorageTable[Tag], StorageTable[In Storage - Count Total], "Err", 0, 1), 0)</f>
        <v>0</v>
      </c>
      <c r="B117" s="1">
        <f>_xlfn.LET(_xlpm.loc, ITEquipmentTable[Storage Location],
COUNTIFS(ITSecondTable[Tag], ITSecondTable[[#This Row],[Tag]], _xlpm.loc, "&lt;&gt;In Use", _xlpm.loc, "&lt;&gt;",  _xlpm.loc, "&lt;&gt;E-Waste", _xlpm.loc, "&lt;&gt;Virtual",  _xlpm.loc, "&lt;&gt;Assigned to Employee", _xlpm.loc, "&lt;&gt;Decommisioned", _xlpm.loc, "&lt;&gt;Missing")
)</f>
        <v>0</v>
      </c>
      <c r="C117" s="1">
        <f>_xlfn.LET(_xlpm.loc, ITEquipmentTable[Storage Location],
COUNTIFS(ITSecondTable[Tag], ITSecondTable[[#This Row],[Tag]], _xlpm.loc, "&lt;&gt;E-Waste", _xlpm.loc, "&lt;&gt;Virtual", _xlpm.loc, "&lt;&gt;Decommisioned")
)</f>
        <v>29</v>
      </c>
      <c r="D117" s="168">
        <f>_xlfn.LET(_xlpm.loc, ITEquipmentTable[Storage Location],
COUNTIFS(ITSecondTable[Tag], ITSecondTable[[#This Row],[Tag]], _xlpm.loc, "Missing")
)</f>
        <v>0</v>
      </c>
      <c r="E117" s="168">
        <f>_xlfn.LET(_xlpm.loc, ITEquipmentTable[Storage Location],
COUNTIFS(ITSecondTable[Tag], ITSecondTable[[#This Row],[Tag]], _xlpm.loc, "In Use") + COUNTIFS(ITSecondTable[Tag], ITSecondTable[[#This Row],[Tag]], _xlpm.loc, "Assigned to Employee")
)</f>
        <v>3</v>
      </c>
      <c r="F117" s="168">
        <f>_xlfn.LET(_xlpm.loc, ITEquipmentTable[Storage Location],
COUNTIFS(ITSecondTable[Tag], ITSecondTable[[#This Row],[Tag]], _xlpm.loc, "")
)</f>
        <v>26</v>
      </c>
      <c r="G117" s="168">
        <f>MAX(ITSecondTable[[#This Row],[SQty]] - ITSecondTable[[#This Row],[IQty]], 0)</f>
        <v>0</v>
      </c>
      <c r="H117" s="168">
        <f>MAX(ITSecondTable[[#This Row],[IQty]]-ITSecondTable[[#This Row],[SQty]], 0)</f>
        <v>0</v>
      </c>
      <c r="I117" s="151" t="str">
        <f>IFERROR(_xlfn.TEXTJOIN("~", TRUE, ITEquipmentTable[[#This Row],[Type]],ITEquipmentTable[[#This Row],[Brand]],ITEquipmentTable[[#This Row],[Model]]), "")</f>
        <v>Laptop~HP~HP ProBook 650 G2</v>
      </c>
      <c r="J117" s="151" t="b">
        <f xml:space="preserve"> _xlfn.IFNA(MATCH( ITSecondTable[[#This Row],[Tag]], StorageTable[Tag], 0)  &gt; -1, FALSE)</f>
        <v>0</v>
      </c>
      <c r="K117" s="168" t="b">
        <f>COUNTIFS(ITEquipmentTable[Serial], ITEquipmentTable[[#This Row],[Serial]], ITEquipmentTable[Serial], "&lt;&gt;N/A") &gt; 1</f>
        <v>0</v>
      </c>
      <c r="L117" s="168" t="b">
        <f>COUNTIFS(ITEquipmentTable[Name], ITEquipmentTable[[#This Row],[Name]], ITEquipmentTable[Name], "&lt;&gt;&lt;Unassigned&gt;",  ITEquipmentTable[Name], "&lt;&gt;N/A") &gt; 1</f>
        <v>0</v>
      </c>
      <c r="M117" s="168" t="b">
        <f>AND(COUNTIFS(ITEquipmentTable[IPv4 Address], ITEquipmentTable[[#This Row],[IPv4 Address]]) &gt; 1, ITEquipmentTable[[#This Row],[IPv4 Address]] &lt;&gt; "DHCP",  ITEquipmentTable[[#This Row],[IPv4 Address]] &lt;&gt; "N/A")</f>
        <v>0</v>
      </c>
    </row>
    <row r="118" spans="1:13" x14ac:dyDescent="0.2">
      <c r="A118" s="168">
        <f>IF(LEN(ITSecondTable[[#This Row],[Tag]]) &gt; 0, _xlfn.XLOOKUP(ITSecondTable[[#This Row],[Tag]],StorageTable[Tag], StorageTable[In Storage - Count Total], "Err", 0, 1), 0)</f>
        <v>0</v>
      </c>
      <c r="B118" s="1">
        <f>_xlfn.LET(_xlpm.loc, ITEquipmentTable[Storage Location],
COUNTIFS(ITSecondTable[Tag], ITSecondTable[[#This Row],[Tag]], _xlpm.loc, "&lt;&gt;In Use", _xlpm.loc, "&lt;&gt;",  _xlpm.loc, "&lt;&gt;E-Waste", _xlpm.loc, "&lt;&gt;Virtual",  _xlpm.loc, "&lt;&gt;Assigned to Employee", _xlpm.loc, "&lt;&gt;Decommisioned", _xlpm.loc, "&lt;&gt;Missing")
)</f>
        <v>0</v>
      </c>
      <c r="C118" s="1">
        <f>_xlfn.LET(_xlpm.loc, ITEquipmentTable[Storage Location],
COUNTIFS(ITSecondTable[Tag], ITSecondTable[[#This Row],[Tag]], _xlpm.loc, "&lt;&gt;E-Waste", _xlpm.loc, "&lt;&gt;Virtual", _xlpm.loc, "&lt;&gt;Decommisioned")
)</f>
        <v>78</v>
      </c>
      <c r="D118" s="168">
        <f>_xlfn.LET(_xlpm.loc, ITEquipmentTable[Storage Location],
COUNTIFS(ITSecondTable[Tag], ITSecondTable[[#This Row],[Tag]], _xlpm.loc, "Missing")
)</f>
        <v>0</v>
      </c>
      <c r="E118" s="168">
        <f>_xlfn.LET(_xlpm.loc, ITEquipmentTable[Storage Location],
COUNTIFS(ITSecondTable[Tag], ITSecondTable[[#This Row],[Tag]], _xlpm.loc, "In Use") + COUNTIFS(ITSecondTable[Tag], ITSecondTable[[#This Row],[Tag]], _xlpm.loc, "Assigned to Employee")
)</f>
        <v>44</v>
      </c>
      <c r="F118" s="168">
        <f>_xlfn.LET(_xlpm.loc, ITEquipmentTable[Storage Location],
COUNTIFS(ITSecondTable[Tag], ITSecondTable[[#This Row],[Tag]], _xlpm.loc, "")
)</f>
        <v>34</v>
      </c>
      <c r="G118" s="168">
        <f>MAX(ITSecondTable[[#This Row],[SQty]] - ITSecondTable[[#This Row],[IQty]], 0)</f>
        <v>0</v>
      </c>
      <c r="H118" s="168">
        <f>MAX(ITSecondTable[[#This Row],[IQty]]-ITSecondTable[[#This Row],[SQty]], 0)</f>
        <v>0</v>
      </c>
      <c r="I118" s="151" t="str">
        <f>IFERROR(_xlfn.TEXTJOIN("~", TRUE, ITEquipmentTable[[#This Row],[Type]],ITEquipmentTable[[#This Row],[Brand]],ITEquipmentTable[[#This Row],[Model]]), "")</f>
        <v>Laptop~HP</v>
      </c>
      <c r="J118" s="151" t="b">
        <f xml:space="preserve"> _xlfn.IFNA(MATCH( ITSecondTable[[#This Row],[Tag]], StorageTable[Tag], 0)  &gt; -1, FALSE)</f>
        <v>0</v>
      </c>
      <c r="K118" s="168" t="b">
        <f>COUNTIFS(ITEquipmentTable[Serial], ITEquipmentTable[[#This Row],[Serial]], ITEquipmentTable[Serial], "&lt;&gt;N/A") &gt; 1</f>
        <v>0</v>
      </c>
      <c r="L118" s="168" t="b">
        <f>COUNTIFS(ITEquipmentTable[Name], ITEquipmentTable[[#This Row],[Name]], ITEquipmentTable[Name], "&lt;&gt;&lt;Unassigned&gt;",  ITEquipmentTable[Name], "&lt;&gt;N/A") &gt; 1</f>
        <v>0</v>
      </c>
      <c r="M118" s="168" t="b">
        <f>AND(COUNTIFS(ITEquipmentTable[IPv4 Address], ITEquipmentTable[[#This Row],[IPv4 Address]]) &gt; 1, ITEquipmentTable[[#This Row],[IPv4 Address]] &lt;&gt; "DHCP",  ITEquipmentTable[[#This Row],[IPv4 Address]] &lt;&gt; "N/A")</f>
        <v>0</v>
      </c>
    </row>
    <row r="119" spans="1:13" x14ac:dyDescent="0.2">
      <c r="A119" s="168">
        <f>IF(LEN(ITSecondTable[[#This Row],[Tag]]) &gt; 0, _xlfn.XLOOKUP(ITSecondTable[[#This Row],[Tag]],StorageTable[Tag], StorageTable[In Storage - Count Total], "Err", 0, 1), 0)</f>
        <v>0</v>
      </c>
      <c r="B119" s="1">
        <f>_xlfn.LET(_xlpm.loc, ITEquipmentTable[Storage Location],
COUNTIFS(ITSecondTable[Tag], ITSecondTable[[#This Row],[Tag]], _xlpm.loc, "&lt;&gt;In Use", _xlpm.loc, "&lt;&gt;",  _xlpm.loc, "&lt;&gt;E-Waste", _xlpm.loc, "&lt;&gt;Virtual",  _xlpm.loc, "&lt;&gt;Assigned to Employee", _xlpm.loc, "&lt;&gt;Decommisioned", _xlpm.loc, "&lt;&gt;Missing")
)</f>
        <v>0</v>
      </c>
      <c r="C119" s="1">
        <f>_xlfn.LET(_xlpm.loc, ITEquipmentTable[Storage Location],
COUNTIFS(ITSecondTable[Tag], ITSecondTable[[#This Row],[Tag]], _xlpm.loc, "&lt;&gt;E-Waste", _xlpm.loc, "&lt;&gt;Virtual", _xlpm.loc, "&lt;&gt;Decommisioned")
)</f>
        <v>29</v>
      </c>
      <c r="D119" s="168">
        <f>_xlfn.LET(_xlpm.loc, ITEquipmentTable[Storage Location],
COUNTIFS(ITSecondTable[Tag], ITSecondTable[[#This Row],[Tag]], _xlpm.loc, "Missing")
)</f>
        <v>0</v>
      </c>
      <c r="E119" s="168">
        <f>_xlfn.LET(_xlpm.loc, ITEquipmentTable[Storage Location],
COUNTIFS(ITSecondTable[Tag], ITSecondTable[[#This Row],[Tag]], _xlpm.loc, "In Use") + COUNTIFS(ITSecondTable[Tag], ITSecondTable[[#This Row],[Tag]], _xlpm.loc, "Assigned to Employee")
)</f>
        <v>3</v>
      </c>
      <c r="F119" s="168">
        <f>_xlfn.LET(_xlpm.loc, ITEquipmentTable[Storage Location],
COUNTIFS(ITSecondTable[Tag], ITSecondTable[[#This Row],[Tag]], _xlpm.loc, "")
)</f>
        <v>26</v>
      </c>
      <c r="G119" s="168">
        <f>MAX(ITSecondTable[[#This Row],[SQty]] - ITSecondTable[[#This Row],[IQty]], 0)</f>
        <v>0</v>
      </c>
      <c r="H119" s="168">
        <f>MAX(ITSecondTable[[#This Row],[IQty]]-ITSecondTable[[#This Row],[SQty]], 0)</f>
        <v>0</v>
      </c>
      <c r="I119" s="151" t="str">
        <f>IFERROR(_xlfn.TEXTJOIN("~", TRUE, ITEquipmentTable[[#This Row],[Type]],ITEquipmentTable[[#This Row],[Brand]],ITEquipmentTable[[#This Row],[Model]]), "")</f>
        <v>Laptop~HP~HP ProBook 650 G2</v>
      </c>
      <c r="J119" s="151" t="b">
        <f xml:space="preserve"> _xlfn.IFNA(MATCH( ITSecondTable[[#This Row],[Tag]], StorageTable[Tag], 0)  &gt; -1, FALSE)</f>
        <v>0</v>
      </c>
      <c r="K119" s="168" t="b">
        <f>COUNTIFS(ITEquipmentTable[Serial], ITEquipmentTable[[#This Row],[Serial]], ITEquipmentTable[Serial], "&lt;&gt;N/A") &gt; 1</f>
        <v>0</v>
      </c>
      <c r="L119" s="168" t="b">
        <f>COUNTIFS(ITEquipmentTable[Name], ITEquipmentTable[[#This Row],[Name]], ITEquipmentTable[Name], "&lt;&gt;&lt;Unassigned&gt;",  ITEquipmentTable[Name], "&lt;&gt;N/A") &gt; 1</f>
        <v>0</v>
      </c>
      <c r="M119" s="168" t="b">
        <f>AND(COUNTIFS(ITEquipmentTable[IPv4 Address], ITEquipmentTable[[#This Row],[IPv4 Address]]) &gt; 1, ITEquipmentTable[[#This Row],[IPv4 Address]] &lt;&gt; "DHCP",  ITEquipmentTable[[#This Row],[IPv4 Address]] &lt;&gt; "N/A")</f>
        <v>0</v>
      </c>
    </row>
    <row r="120" spans="1:13" x14ac:dyDescent="0.2">
      <c r="A120" s="168">
        <f>IF(LEN(ITSecondTable[[#This Row],[Tag]]) &gt; 0, _xlfn.XLOOKUP(ITSecondTable[[#This Row],[Tag]],StorageTable[Tag], StorageTable[In Storage - Count Total], "Err", 0, 1), 0)</f>
        <v>6</v>
      </c>
      <c r="B120" s="1">
        <f>_xlfn.LET(_xlpm.loc, ITEquipmentTable[Storage Location],
COUNTIFS(ITSecondTable[Tag], ITSecondTable[[#This Row],[Tag]], _xlpm.loc, "&lt;&gt;In Use", _xlpm.loc, "&lt;&gt;",  _xlpm.loc, "&lt;&gt;E-Waste", _xlpm.loc, "&lt;&gt;Virtual",  _xlpm.loc, "&lt;&gt;Assigned to Employee", _xlpm.loc, "&lt;&gt;Decommisioned", _xlpm.loc, "&lt;&gt;Missing")
)</f>
        <v>17</v>
      </c>
      <c r="C120" s="1">
        <f>_xlfn.LET(_xlpm.loc, ITEquipmentTable[Storage Location],
COUNTIFS(ITSecondTable[Tag], ITSecondTable[[#This Row],[Tag]], _xlpm.loc, "&lt;&gt;E-Waste", _xlpm.loc, "&lt;&gt;Virtual", _xlpm.loc, "&lt;&gt;Decommisioned")
)</f>
        <v>64</v>
      </c>
      <c r="D120" s="168">
        <f>_xlfn.LET(_xlpm.loc, ITEquipmentTable[Storage Location],
COUNTIFS(ITSecondTable[Tag], ITSecondTable[[#This Row],[Tag]], _xlpm.loc, "Missing")
)</f>
        <v>0</v>
      </c>
      <c r="E120" s="168">
        <f>_xlfn.LET(_xlpm.loc, ITEquipmentTable[Storage Location],
COUNTIFS(ITSecondTable[Tag], ITSecondTable[[#This Row],[Tag]], _xlpm.loc, "In Use") + COUNTIFS(ITSecondTable[Tag], ITSecondTable[[#This Row],[Tag]], _xlpm.loc, "Assigned to Employee")
)</f>
        <v>30</v>
      </c>
      <c r="F120" s="168">
        <f>_xlfn.LET(_xlpm.loc, ITEquipmentTable[Storage Location],
COUNTIFS(ITSecondTable[Tag], ITSecondTable[[#This Row],[Tag]], _xlpm.loc, "")
)</f>
        <v>17</v>
      </c>
      <c r="G120" s="168">
        <f>MAX(ITSecondTable[[#This Row],[SQty]] - ITSecondTable[[#This Row],[IQty]], 0)</f>
        <v>11</v>
      </c>
      <c r="H120" s="168">
        <f>MAX(ITSecondTable[[#This Row],[IQty]]-ITSecondTable[[#This Row],[SQty]], 0)</f>
        <v>0</v>
      </c>
      <c r="I120" s="151" t="str">
        <f>IFERROR(_xlfn.TEXTJOIN("~", TRUE, ITEquipmentTable[[#This Row],[Type]],ITEquipmentTable[[#This Row],[Brand]],ITEquipmentTable[[#This Row],[Model]]), "")</f>
        <v>Desktop~Dell~OptiPlex 3040</v>
      </c>
      <c r="J120" s="151" t="b">
        <f xml:space="preserve"> _xlfn.IFNA(MATCH( ITSecondTable[[#This Row],[Tag]], StorageTable[Tag], 0)  &gt; -1, FALSE)</f>
        <v>0</v>
      </c>
      <c r="K120" s="168" t="b">
        <f>COUNTIFS(ITEquipmentTable[Serial], ITEquipmentTable[[#This Row],[Serial]], ITEquipmentTable[Serial], "&lt;&gt;N/A") &gt; 1</f>
        <v>0</v>
      </c>
      <c r="L120" s="168" t="b">
        <f>COUNTIFS(ITEquipmentTable[Name], ITEquipmentTable[[#This Row],[Name]], ITEquipmentTable[Name], "&lt;&gt;&lt;Unassigned&gt;",  ITEquipmentTable[Name], "&lt;&gt;N/A") &gt; 1</f>
        <v>0</v>
      </c>
      <c r="M120" s="168" t="b">
        <f>AND(COUNTIFS(ITEquipmentTable[IPv4 Address], ITEquipmentTable[[#This Row],[IPv4 Address]]) &gt; 1, ITEquipmentTable[[#This Row],[IPv4 Address]] &lt;&gt; "DHCP",  ITEquipmentTable[[#This Row],[IPv4 Address]] &lt;&gt; "N/A")</f>
        <v>0</v>
      </c>
    </row>
    <row r="121" spans="1:13" x14ac:dyDescent="0.2">
      <c r="A121" s="168">
        <f>IF(LEN(ITSecondTable[[#This Row],[Tag]]) &gt; 0, _xlfn.XLOOKUP(ITSecondTable[[#This Row],[Tag]],StorageTable[Tag], StorageTable[In Storage - Count Total], "Err", 0, 1), 0)</f>
        <v>0</v>
      </c>
      <c r="B121" s="1">
        <f>_xlfn.LET(_xlpm.loc, ITEquipmentTable[Storage Location],
COUNTIFS(ITSecondTable[Tag], ITSecondTable[[#This Row],[Tag]], _xlpm.loc, "&lt;&gt;In Use", _xlpm.loc, "&lt;&gt;",  _xlpm.loc, "&lt;&gt;E-Waste", _xlpm.loc, "&lt;&gt;Virtual",  _xlpm.loc, "&lt;&gt;Assigned to Employee", _xlpm.loc, "&lt;&gt;Decommisioned", _xlpm.loc, "&lt;&gt;Missing")
)</f>
        <v>0</v>
      </c>
      <c r="C121" s="1">
        <f>_xlfn.LET(_xlpm.loc, ITEquipmentTable[Storage Location],
COUNTIFS(ITSecondTable[Tag], ITSecondTable[[#This Row],[Tag]], _xlpm.loc, "&lt;&gt;E-Waste", _xlpm.loc, "&lt;&gt;Virtual", _xlpm.loc, "&lt;&gt;Decommisioned")
)</f>
        <v>78</v>
      </c>
      <c r="D121" s="168">
        <f>_xlfn.LET(_xlpm.loc, ITEquipmentTable[Storage Location],
COUNTIFS(ITSecondTable[Tag], ITSecondTable[[#This Row],[Tag]], _xlpm.loc, "Missing")
)</f>
        <v>0</v>
      </c>
      <c r="E121" s="168">
        <f>_xlfn.LET(_xlpm.loc, ITEquipmentTable[Storage Location],
COUNTIFS(ITSecondTable[Tag], ITSecondTable[[#This Row],[Tag]], _xlpm.loc, "In Use") + COUNTIFS(ITSecondTable[Tag], ITSecondTable[[#This Row],[Tag]], _xlpm.loc, "Assigned to Employee")
)</f>
        <v>44</v>
      </c>
      <c r="F121" s="168">
        <f>_xlfn.LET(_xlpm.loc, ITEquipmentTable[Storage Location],
COUNTIFS(ITSecondTable[Tag], ITSecondTable[[#This Row],[Tag]], _xlpm.loc, "")
)</f>
        <v>34</v>
      </c>
      <c r="G121" s="168">
        <f>MAX(ITSecondTable[[#This Row],[SQty]] - ITSecondTable[[#This Row],[IQty]], 0)</f>
        <v>0</v>
      </c>
      <c r="H121" s="168">
        <f>MAX(ITSecondTable[[#This Row],[IQty]]-ITSecondTable[[#This Row],[SQty]], 0)</f>
        <v>0</v>
      </c>
      <c r="I121" s="151" t="str">
        <f>IFERROR(_xlfn.TEXTJOIN("~", TRUE, ITEquipmentTable[[#This Row],[Type]],ITEquipmentTable[[#This Row],[Brand]],ITEquipmentTable[[#This Row],[Model]]), "")</f>
        <v>Laptop~HP</v>
      </c>
      <c r="J121" s="151" t="b">
        <f xml:space="preserve"> _xlfn.IFNA(MATCH( ITSecondTable[[#This Row],[Tag]], StorageTable[Tag], 0)  &gt; -1, FALSE)</f>
        <v>0</v>
      </c>
      <c r="K121" s="168" t="b">
        <f>COUNTIFS(ITEquipmentTable[Serial], ITEquipmentTable[[#This Row],[Serial]], ITEquipmentTable[Serial], "&lt;&gt;N/A") &gt; 1</f>
        <v>0</v>
      </c>
      <c r="L121" s="168" t="b">
        <f>COUNTIFS(ITEquipmentTable[Name], ITEquipmentTable[[#This Row],[Name]], ITEquipmentTable[Name], "&lt;&gt;&lt;Unassigned&gt;",  ITEquipmentTable[Name], "&lt;&gt;N/A") &gt; 1</f>
        <v>0</v>
      </c>
      <c r="M121" s="168" t="b">
        <f>AND(COUNTIFS(ITEquipmentTable[IPv4 Address], ITEquipmentTable[[#This Row],[IPv4 Address]]) &gt; 1, ITEquipmentTable[[#This Row],[IPv4 Address]] &lt;&gt; "DHCP",  ITEquipmentTable[[#This Row],[IPv4 Address]] &lt;&gt; "N/A")</f>
        <v>0</v>
      </c>
    </row>
    <row r="122" spans="1:13" x14ac:dyDescent="0.2">
      <c r="A122" s="168">
        <f>IF(LEN(ITSecondTable[[#This Row],[Tag]]) &gt; 0, _xlfn.XLOOKUP(ITSecondTable[[#This Row],[Tag]],StorageTable[Tag], StorageTable[In Storage - Count Total], "Err", 0, 1), 0)</f>
        <v>0</v>
      </c>
      <c r="B122" s="1">
        <f>_xlfn.LET(_xlpm.loc, ITEquipmentTable[Storage Location],
COUNTIFS(ITSecondTable[Tag], ITSecondTable[[#This Row],[Tag]], _xlpm.loc, "&lt;&gt;In Use", _xlpm.loc, "&lt;&gt;",  _xlpm.loc, "&lt;&gt;E-Waste", _xlpm.loc, "&lt;&gt;Virtual",  _xlpm.loc, "&lt;&gt;Assigned to Employee", _xlpm.loc, "&lt;&gt;Decommisioned", _xlpm.loc, "&lt;&gt;Missing")
)</f>
        <v>0</v>
      </c>
      <c r="C122" s="1">
        <f>_xlfn.LET(_xlpm.loc, ITEquipmentTable[Storage Location],
COUNTIFS(ITSecondTable[Tag], ITSecondTable[[#This Row],[Tag]], _xlpm.loc, "&lt;&gt;E-Waste", _xlpm.loc, "&lt;&gt;Virtual", _xlpm.loc, "&lt;&gt;Decommisioned")
)</f>
        <v>21</v>
      </c>
      <c r="D122" s="168">
        <f>_xlfn.LET(_xlpm.loc, ITEquipmentTable[Storage Location],
COUNTIFS(ITSecondTable[Tag], ITSecondTable[[#This Row],[Tag]], _xlpm.loc, "Missing")
)</f>
        <v>0</v>
      </c>
      <c r="E122" s="168">
        <f>_xlfn.LET(_xlpm.loc, ITEquipmentTable[Storage Location],
COUNTIFS(ITSecondTable[Tag], ITSecondTable[[#This Row],[Tag]], _xlpm.loc, "In Use") + COUNTIFS(ITSecondTable[Tag], ITSecondTable[[#This Row],[Tag]], _xlpm.loc, "Assigned to Employee")
)</f>
        <v>3</v>
      </c>
      <c r="F122" s="168">
        <f>_xlfn.LET(_xlpm.loc, ITEquipmentTable[Storage Location],
COUNTIFS(ITSecondTable[Tag], ITSecondTable[[#This Row],[Tag]], _xlpm.loc, "")
)</f>
        <v>18</v>
      </c>
      <c r="G122" s="168">
        <f>MAX(ITSecondTable[[#This Row],[SQty]] - ITSecondTable[[#This Row],[IQty]], 0)</f>
        <v>0</v>
      </c>
      <c r="H122" s="168">
        <f>MAX(ITSecondTable[[#This Row],[IQty]]-ITSecondTable[[#This Row],[SQty]], 0)</f>
        <v>0</v>
      </c>
      <c r="I122" s="151" t="str">
        <f>IFERROR(_xlfn.TEXTJOIN("~", TRUE, ITEquipmentTable[[#This Row],[Type]],ITEquipmentTable[[#This Row],[Brand]],ITEquipmentTable[[#This Row],[Model]]), "")</f>
        <v/>
      </c>
      <c r="J122" s="151" t="b">
        <f xml:space="preserve"> _xlfn.IFNA(MATCH( ITSecondTable[[#This Row],[Tag]], StorageTable[Tag], 0)  &gt; -1, FALSE)</f>
        <v>0</v>
      </c>
      <c r="K122" s="168" t="b">
        <f>COUNTIFS(ITEquipmentTable[Serial], ITEquipmentTable[[#This Row],[Serial]], ITEquipmentTable[Serial], "&lt;&gt;N/A") &gt; 1</f>
        <v>0</v>
      </c>
      <c r="L122" s="168" t="b">
        <f>COUNTIFS(ITEquipmentTable[Name], ITEquipmentTable[[#This Row],[Name]], ITEquipmentTable[Name], "&lt;&gt;&lt;Unassigned&gt;",  ITEquipmentTable[Name], "&lt;&gt;N/A") &gt; 1</f>
        <v>0</v>
      </c>
      <c r="M122" s="168" t="b">
        <f>AND(COUNTIFS(ITEquipmentTable[IPv4 Address], ITEquipmentTable[[#This Row],[IPv4 Address]]) &gt; 1, ITEquipmentTable[[#This Row],[IPv4 Address]] &lt;&gt; "DHCP",  ITEquipmentTable[[#This Row],[IPv4 Address]] &lt;&gt; "N/A")</f>
        <v>0</v>
      </c>
    </row>
    <row r="123" spans="1:13" x14ac:dyDescent="0.2">
      <c r="A123" s="168">
        <f>IF(LEN(ITSecondTable[[#This Row],[Tag]]) &gt; 0, _xlfn.XLOOKUP(ITSecondTable[[#This Row],[Tag]],StorageTable[Tag], StorageTable[In Storage - Count Total], "Err", 0, 1), 0)</f>
        <v>0</v>
      </c>
      <c r="B123" s="1">
        <f>_xlfn.LET(_xlpm.loc, ITEquipmentTable[Storage Location],
COUNTIFS(ITSecondTable[Tag], ITSecondTable[[#This Row],[Tag]], _xlpm.loc, "&lt;&gt;In Use", _xlpm.loc, "&lt;&gt;",  _xlpm.loc, "&lt;&gt;E-Waste", _xlpm.loc, "&lt;&gt;Virtual",  _xlpm.loc, "&lt;&gt;Assigned to Employee", _xlpm.loc, "&lt;&gt;Decommisioned", _xlpm.loc, "&lt;&gt;Missing")
)</f>
        <v>0</v>
      </c>
      <c r="C123" s="1">
        <f>_xlfn.LET(_xlpm.loc, ITEquipmentTable[Storage Location],
COUNTIFS(ITSecondTable[Tag], ITSecondTable[[#This Row],[Tag]], _xlpm.loc, "&lt;&gt;E-Waste", _xlpm.loc, "&lt;&gt;Virtual", _xlpm.loc, "&lt;&gt;Decommisioned")
)</f>
        <v>4</v>
      </c>
      <c r="D123" s="168">
        <f>_xlfn.LET(_xlpm.loc, ITEquipmentTable[Storage Location],
COUNTIFS(ITSecondTable[Tag], ITSecondTable[[#This Row],[Tag]], _xlpm.loc, "Missing")
)</f>
        <v>0</v>
      </c>
      <c r="E123" s="168">
        <f>_xlfn.LET(_xlpm.loc, ITEquipmentTable[Storage Location],
COUNTIFS(ITSecondTable[Tag], ITSecondTable[[#This Row],[Tag]], _xlpm.loc, "In Use") + COUNTIFS(ITSecondTable[Tag], ITSecondTable[[#This Row],[Tag]], _xlpm.loc, "Assigned to Employee")
)</f>
        <v>1</v>
      </c>
      <c r="F123" s="168">
        <f>_xlfn.LET(_xlpm.loc, ITEquipmentTable[Storage Location],
COUNTIFS(ITSecondTable[Tag], ITSecondTable[[#This Row],[Tag]], _xlpm.loc, "")
)</f>
        <v>3</v>
      </c>
      <c r="G123" s="168">
        <f>MAX(ITSecondTable[[#This Row],[SQty]] - ITSecondTable[[#This Row],[IQty]], 0)</f>
        <v>0</v>
      </c>
      <c r="H123" s="168">
        <f>MAX(ITSecondTable[[#This Row],[IQty]]-ITSecondTable[[#This Row],[SQty]], 0)</f>
        <v>0</v>
      </c>
      <c r="I123" s="151" t="str">
        <f>IFERROR(_xlfn.TEXTJOIN("~", TRUE, ITEquipmentTable[[#This Row],[Type]],ITEquipmentTable[[#This Row],[Brand]],ITEquipmentTable[[#This Row],[Model]]), "")</f>
        <v>Laptop~HP~HP EliteBook 850 G5</v>
      </c>
      <c r="J123" s="151" t="b">
        <f xml:space="preserve"> _xlfn.IFNA(MATCH( ITSecondTable[[#This Row],[Tag]], StorageTable[Tag], 0)  &gt; -1, FALSE)</f>
        <v>0</v>
      </c>
      <c r="K123" s="168" t="b">
        <f>COUNTIFS(ITEquipmentTable[Serial], ITEquipmentTable[[#This Row],[Serial]], ITEquipmentTable[Serial], "&lt;&gt;N/A") &gt; 1</f>
        <v>0</v>
      </c>
      <c r="L123" s="168" t="b">
        <f>COUNTIFS(ITEquipmentTable[Name], ITEquipmentTable[[#This Row],[Name]], ITEquipmentTable[Name], "&lt;&gt;&lt;Unassigned&gt;",  ITEquipmentTable[Name], "&lt;&gt;N/A") &gt; 1</f>
        <v>0</v>
      </c>
      <c r="M123" s="168" t="b">
        <f>AND(COUNTIFS(ITEquipmentTable[IPv4 Address], ITEquipmentTable[[#This Row],[IPv4 Address]]) &gt; 1, ITEquipmentTable[[#This Row],[IPv4 Address]] &lt;&gt; "DHCP",  ITEquipmentTable[[#This Row],[IPv4 Address]] &lt;&gt; "N/A")</f>
        <v>0</v>
      </c>
    </row>
    <row r="124" spans="1:13" x14ac:dyDescent="0.2">
      <c r="A124" s="168">
        <f>IF(LEN(ITSecondTable[[#This Row],[Tag]]) &gt; 0, _xlfn.XLOOKUP(ITSecondTable[[#This Row],[Tag]],StorageTable[Tag], StorageTable[In Storage - Count Total], "Err", 0, 1), 0)</f>
        <v>5</v>
      </c>
      <c r="B124" s="1">
        <f>_xlfn.LET(_xlpm.loc, ITEquipmentTable[Storage Location],
COUNTIFS(ITSecondTable[Tag], ITSecondTable[[#This Row],[Tag]], _xlpm.loc, "&lt;&gt;In Use", _xlpm.loc, "&lt;&gt;",  _xlpm.loc, "&lt;&gt;E-Waste", _xlpm.loc, "&lt;&gt;Virtual",  _xlpm.loc, "&lt;&gt;Assigned to Employee", _xlpm.loc, "&lt;&gt;Decommisioned", _xlpm.loc, "&lt;&gt;Missing")
)</f>
        <v>4</v>
      </c>
      <c r="C124" s="1">
        <f>_xlfn.LET(_xlpm.loc, ITEquipmentTable[Storage Location],
COUNTIFS(ITSecondTable[Tag], ITSecondTable[[#This Row],[Tag]], _xlpm.loc, "&lt;&gt;E-Waste", _xlpm.loc, "&lt;&gt;Virtual", _xlpm.loc, "&lt;&gt;Decommisioned")
)</f>
        <v>4</v>
      </c>
      <c r="D124" s="168">
        <f>_xlfn.LET(_xlpm.loc, ITEquipmentTable[Storage Location],
COUNTIFS(ITSecondTable[Tag], ITSecondTable[[#This Row],[Tag]], _xlpm.loc, "Missing")
)</f>
        <v>0</v>
      </c>
      <c r="E124" s="168">
        <f>_xlfn.LET(_xlpm.loc, ITEquipmentTable[Storage Location],
COUNTIFS(ITSecondTable[Tag], ITSecondTable[[#This Row],[Tag]], _xlpm.loc, "In Use") + COUNTIFS(ITSecondTable[Tag], ITSecondTable[[#This Row],[Tag]], _xlpm.loc, "Assigned to Employee")
)</f>
        <v>0</v>
      </c>
      <c r="F124" s="168">
        <f>_xlfn.LET(_xlpm.loc, ITEquipmentTable[Storage Location],
COUNTIFS(ITSecondTable[Tag], ITSecondTable[[#This Row],[Tag]], _xlpm.loc, "")
)</f>
        <v>0</v>
      </c>
      <c r="G124" s="168">
        <f>MAX(ITSecondTable[[#This Row],[SQty]] - ITSecondTable[[#This Row],[IQty]], 0)</f>
        <v>0</v>
      </c>
      <c r="H124" s="168">
        <f>MAX(ITSecondTable[[#This Row],[IQty]]-ITSecondTable[[#This Row],[SQty]], 0)</f>
        <v>1</v>
      </c>
      <c r="I124" s="151" t="str">
        <f>IFERROR(_xlfn.TEXTJOIN("~", TRUE, ITEquipmentTable[[#This Row],[Type]],ITEquipmentTable[[#This Row],[Brand]],ITEquipmentTable[[#This Row],[Model]]), "")</f>
        <v>Desktop~HP~HP Z2 Mini G5 Workstation</v>
      </c>
      <c r="J124" s="151" t="b">
        <f xml:space="preserve"> _xlfn.IFNA(MATCH( ITSecondTable[[#This Row],[Tag]], StorageTable[Tag], 0)  &gt; -1, FALSE)</f>
        <v>0</v>
      </c>
      <c r="K124" s="168" t="b">
        <f>COUNTIFS(ITEquipmentTable[Serial], ITEquipmentTable[[#This Row],[Serial]], ITEquipmentTable[Serial], "&lt;&gt;N/A") &gt; 1</f>
        <v>0</v>
      </c>
      <c r="L124" s="168" t="b">
        <f>COUNTIFS(ITEquipmentTable[Name], ITEquipmentTable[[#This Row],[Name]], ITEquipmentTable[Name], "&lt;&gt;&lt;Unassigned&gt;",  ITEquipmentTable[Name], "&lt;&gt;N/A") &gt; 1</f>
        <v>0</v>
      </c>
      <c r="M124" s="168" t="b">
        <f>AND(COUNTIFS(ITEquipmentTable[IPv4 Address], ITEquipmentTable[[#This Row],[IPv4 Address]]) &gt; 1, ITEquipmentTable[[#This Row],[IPv4 Address]] &lt;&gt; "DHCP",  ITEquipmentTable[[#This Row],[IPv4 Address]] &lt;&gt; "N/A")</f>
        <v>0</v>
      </c>
    </row>
    <row r="125" spans="1:13" x14ac:dyDescent="0.2">
      <c r="A125" s="168">
        <f>IF(LEN(ITSecondTable[[#This Row],[Tag]]) &gt; 0, _xlfn.XLOOKUP(ITSecondTable[[#This Row],[Tag]],StorageTable[Tag], StorageTable[In Storage - Count Total], "Err", 0, 1), 0)</f>
        <v>10</v>
      </c>
      <c r="B125" s="1">
        <f>_xlfn.LET(_xlpm.loc, ITEquipmentTable[Storage Location],
COUNTIFS(ITSecondTable[Tag], ITSecondTable[[#This Row],[Tag]], _xlpm.loc, "&lt;&gt;In Use", _xlpm.loc, "&lt;&gt;",  _xlpm.loc, "&lt;&gt;E-Waste", _xlpm.loc, "&lt;&gt;Virtual",  _xlpm.loc, "&lt;&gt;Assigned to Employee", _xlpm.loc, "&lt;&gt;Decommisioned", _xlpm.loc, "&lt;&gt;Missing")
)</f>
        <v>16</v>
      </c>
      <c r="C125" s="1">
        <f>_xlfn.LET(_xlpm.loc, ITEquipmentTable[Storage Location],
COUNTIFS(ITSecondTable[Tag], ITSecondTable[[#This Row],[Tag]], _xlpm.loc, "&lt;&gt;E-Waste", _xlpm.loc, "&lt;&gt;Virtual", _xlpm.loc, "&lt;&gt;Decommisioned")
)</f>
        <v>48</v>
      </c>
      <c r="D125" s="168">
        <f>_xlfn.LET(_xlpm.loc, ITEquipmentTable[Storage Location],
COUNTIFS(ITSecondTable[Tag], ITSecondTable[[#This Row],[Tag]], _xlpm.loc, "Missing")
)</f>
        <v>0</v>
      </c>
      <c r="E125" s="168">
        <f>_xlfn.LET(_xlpm.loc, ITEquipmentTable[Storage Location],
COUNTIFS(ITSecondTable[Tag], ITSecondTable[[#This Row],[Tag]], _xlpm.loc, "In Use") + COUNTIFS(ITSecondTable[Tag], ITSecondTable[[#This Row],[Tag]], _xlpm.loc, "Assigned to Employee")
)</f>
        <v>29</v>
      </c>
      <c r="F125" s="168">
        <f>_xlfn.LET(_xlpm.loc, ITEquipmentTable[Storage Location],
COUNTIFS(ITSecondTable[Tag], ITSecondTable[[#This Row],[Tag]], _xlpm.loc, "")
)</f>
        <v>3</v>
      </c>
      <c r="G125" s="168">
        <f>MAX(ITSecondTable[[#This Row],[SQty]] - ITSecondTable[[#This Row],[IQty]], 0)</f>
        <v>6</v>
      </c>
      <c r="H125" s="168">
        <f>MAX(ITSecondTable[[#This Row],[IQty]]-ITSecondTable[[#This Row],[SQty]], 0)</f>
        <v>0</v>
      </c>
      <c r="I125" s="151" t="str">
        <f>IFERROR(_xlfn.TEXTJOIN("~", TRUE, ITEquipmentTable[[#This Row],[Type]],ITEquipmentTable[[#This Row],[Brand]],ITEquipmentTable[[#This Row],[Model]]), "")</f>
        <v>Desktop~HP~HP ProDesk 600 G5 DM</v>
      </c>
      <c r="J125" s="151" t="b">
        <f xml:space="preserve"> _xlfn.IFNA(MATCH( ITSecondTable[[#This Row],[Tag]], StorageTable[Tag], 0)  &gt; -1, FALSE)</f>
        <v>0</v>
      </c>
      <c r="K125" s="168" t="b">
        <f>COUNTIFS(ITEquipmentTable[Serial], ITEquipmentTable[[#This Row],[Serial]], ITEquipmentTable[Serial], "&lt;&gt;N/A") &gt; 1</f>
        <v>0</v>
      </c>
      <c r="L125" s="168" t="b">
        <f>COUNTIFS(ITEquipmentTable[Name], ITEquipmentTable[[#This Row],[Name]], ITEquipmentTable[Name], "&lt;&gt;&lt;Unassigned&gt;",  ITEquipmentTable[Name], "&lt;&gt;N/A") &gt; 1</f>
        <v>0</v>
      </c>
      <c r="M125" s="168" t="b">
        <f>AND(COUNTIFS(ITEquipmentTable[IPv4 Address], ITEquipmentTable[[#This Row],[IPv4 Address]]) &gt; 1, ITEquipmentTable[[#This Row],[IPv4 Address]] &lt;&gt; "DHCP",  ITEquipmentTable[[#This Row],[IPv4 Address]] &lt;&gt; "N/A")</f>
        <v>0</v>
      </c>
    </row>
    <row r="126" spans="1:13" x14ac:dyDescent="0.2">
      <c r="A126" s="168">
        <f>IF(LEN(ITSecondTable[[#This Row],[Tag]]) &gt; 0, _xlfn.XLOOKUP(ITSecondTable[[#This Row],[Tag]],StorageTable[Tag], StorageTable[In Storage - Count Total], "Err", 0, 1), 0)</f>
        <v>10</v>
      </c>
      <c r="B126" s="1">
        <f>_xlfn.LET(_xlpm.loc, ITEquipmentTable[Storage Location],
COUNTIFS(ITSecondTable[Tag], ITSecondTable[[#This Row],[Tag]], _xlpm.loc, "&lt;&gt;In Use", _xlpm.loc, "&lt;&gt;",  _xlpm.loc, "&lt;&gt;E-Waste", _xlpm.loc, "&lt;&gt;Virtual",  _xlpm.loc, "&lt;&gt;Assigned to Employee", _xlpm.loc, "&lt;&gt;Decommisioned", _xlpm.loc, "&lt;&gt;Missing")
)</f>
        <v>16</v>
      </c>
      <c r="C126" s="1">
        <f>_xlfn.LET(_xlpm.loc, ITEquipmentTable[Storage Location],
COUNTIFS(ITSecondTable[Tag], ITSecondTable[[#This Row],[Tag]], _xlpm.loc, "&lt;&gt;E-Waste", _xlpm.loc, "&lt;&gt;Virtual", _xlpm.loc, "&lt;&gt;Decommisioned")
)</f>
        <v>48</v>
      </c>
      <c r="D126" s="168">
        <f>_xlfn.LET(_xlpm.loc, ITEquipmentTable[Storage Location],
COUNTIFS(ITSecondTable[Tag], ITSecondTable[[#This Row],[Tag]], _xlpm.loc, "Missing")
)</f>
        <v>0</v>
      </c>
      <c r="E126" s="168">
        <f>_xlfn.LET(_xlpm.loc, ITEquipmentTable[Storage Location],
COUNTIFS(ITSecondTable[Tag], ITSecondTable[[#This Row],[Tag]], _xlpm.loc, "In Use") + COUNTIFS(ITSecondTable[Tag], ITSecondTable[[#This Row],[Tag]], _xlpm.loc, "Assigned to Employee")
)</f>
        <v>29</v>
      </c>
      <c r="F126" s="168">
        <f>_xlfn.LET(_xlpm.loc, ITEquipmentTable[Storage Location],
COUNTIFS(ITSecondTable[Tag], ITSecondTable[[#This Row],[Tag]], _xlpm.loc, "")
)</f>
        <v>3</v>
      </c>
      <c r="G126" s="168">
        <f>MAX(ITSecondTable[[#This Row],[SQty]] - ITSecondTable[[#This Row],[IQty]], 0)</f>
        <v>6</v>
      </c>
      <c r="H126" s="168">
        <f>MAX(ITSecondTable[[#This Row],[IQty]]-ITSecondTable[[#This Row],[SQty]], 0)</f>
        <v>0</v>
      </c>
      <c r="I126" s="151" t="str">
        <f>IFERROR(_xlfn.TEXTJOIN("~", TRUE, ITEquipmentTable[[#This Row],[Type]],ITEquipmentTable[[#This Row],[Brand]],ITEquipmentTable[[#This Row],[Model]]), "")</f>
        <v>Desktop~HP~HP ProDesk 600 G5 DM</v>
      </c>
      <c r="J126" s="151" t="b">
        <f xml:space="preserve"> _xlfn.IFNA(MATCH( ITSecondTable[[#This Row],[Tag]], StorageTable[Tag], 0)  &gt; -1, FALSE)</f>
        <v>0</v>
      </c>
      <c r="K126" s="168" t="b">
        <f>COUNTIFS(ITEquipmentTable[Serial], ITEquipmentTable[[#This Row],[Serial]], ITEquipmentTable[Serial], "&lt;&gt;N/A") &gt; 1</f>
        <v>0</v>
      </c>
      <c r="L126" s="168" t="b">
        <f>COUNTIFS(ITEquipmentTable[Name], ITEquipmentTable[[#This Row],[Name]], ITEquipmentTable[Name], "&lt;&gt;&lt;Unassigned&gt;",  ITEquipmentTable[Name], "&lt;&gt;N/A") &gt; 1</f>
        <v>0</v>
      </c>
      <c r="M126" s="168" t="b">
        <f>AND(COUNTIFS(ITEquipmentTable[IPv4 Address], ITEquipmentTable[[#This Row],[IPv4 Address]]) &gt; 1, ITEquipmentTable[[#This Row],[IPv4 Address]] &lt;&gt; "DHCP",  ITEquipmentTable[[#This Row],[IPv4 Address]] &lt;&gt; "N/A")</f>
        <v>0</v>
      </c>
    </row>
    <row r="127" spans="1:13" x14ac:dyDescent="0.2">
      <c r="A127" s="168">
        <f>IF(LEN(ITSecondTable[[#This Row],[Tag]]) &gt; 0, _xlfn.XLOOKUP(ITSecondTable[[#This Row],[Tag]],StorageTable[Tag], StorageTable[In Storage - Count Total], "Err", 0, 1), 0)</f>
        <v>6</v>
      </c>
      <c r="B127" s="1">
        <f>_xlfn.LET(_xlpm.loc, ITEquipmentTable[Storage Location],
COUNTIFS(ITSecondTable[Tag], ITSecondTable[[#This Row],[Tag]], _xlpm.loc, "&lt;&gt;In Use", _xlpm.loc, "&lt;&gt;",  _xlpm.loc, "&lt;&gt;E-Waste", _xlpm.loc, "&lt;&gt;Virtual",  _xlpm.loc, "&lt;&gt;Assigned to Employee", _xlpm.loc, "&lt;&gt;Decommisioned", _xlpm.loc, "&lt;&gt;Missing")
)</f>
        <v>17</v>
      </c>
      <c r="C127" s="1">
        <f>_xlfn.LET(_xlpm.loc, ITEquipmentTable[Storage Location],
COUNTIFS(ITSecondTable[Tag], ITSecondTable[[#This Row],[Tag]], _xlpm.loc, "&lt;&gt;E-Waste", _xlpm.loc, "&lt;&gt;Virtual", _xlpm.loc, "&lt;&gt;Decommisioned")
)</f>
        <v>64</v>
      </c>
      <c r="D127" s="168">
        <f>_xlfn.LET(_xlpm.loc, ITEquipmentTable[Storage Location],
COUNTIFS(ITSecondTable[Tag], ITSecondTable[[#This Row],[Tag]], _xlpm.loc, "Missing")
)</f>
        <v>0</v>
      </c>
      <c r="E127" s="168">
        <f>_xlfn.LET(_xlpm.loc, ITEquipmentTable[Storage Location],
COUNTIFS(ITSecondTable[Tag], ITSecondTable[[#This Row],[Tag]], _xlpm.loc, "In Use") + COUNTIFS(ITSecondTable[Tag], ITSecondTable[[#This Row],[Tag]], _xlpm.loc, "Assigned to Employee")
)</f>
        <v>30</v>
      </c>
      <c r="F127" s="168">
        <f>_xlfn.LET(_xlpm.loc, ITEquipmentTable[Storage Location],
COUNTIFS(ITSecondTable[Tag], ITSecondTable[[#This Row],[Tag]], _xlpm.loc, "")
)</f>
        <v>17</v>
      </c>
      <c r="G127" s="168">
        <f>MAX(ITSecondTable[[#This Row],[SQty]] - ITSecondTable[[#This Row],[IQty]], 0)</f>
        <v>11</v>
      </c>
      <c r="H127" s="168">
        <f>MAX(ITSecondTable[[#This Row],[IQty]]-ITSecondTable[[#This Row],[SQty]], 0)</f>
        <v>0</v>
      </c>
      <c r="I127" s="151" t="str">
        <f>IFERROR(_xlfn.TEXTJOIN("~", TRUE, ITEquipmentTable[[#This Row],[Type]],ITEquipmentTable[[#This Row],[Brand]],ITEquipmentTable[[#This Row],[Model]]), "")</f>
        <v>Desktop~Dell~OptiPlex 3040</v>
      </c>
      <c r="J127" s="151" t="b">
        <f xml:space="preserve"> _xlfn.IFNA(MATCH( ITSecondTable[[#This Row],[Tag]], StorageTable[Tag], 0)  &gt; -1, FALSE)</f>
        <v>0</v>
      </c>
      <c r="K127" s="168" t="b">
        <f>COUNTIFS(ITEquipmentTable[Serial], ITEquipmentTable[[#This Row],[Serial]], ITEquipmentTable[Serial], "&lt;&gt;N/A") &gt; 1</f>
        <v>0</v>
      </c>
      <c r="L127" s="168" t="b">
        <f>COUNTIFS(ITEquipmentTable[Name], ITEquipmentTable[[#This Row],[Name]], ITEquipmentTable[Name], "&lt;&gt;&lt;Unassigned&gt;",  ITEquipmentTable[Name], "&lt;&gt;N/A") &gt; 1</f>
        <v>0</v>
      </c>
      <c r="M127" s="168" t="b">
        <f>AND(COUNTIFS(ITEquipmentTable[IPv4 Address], ITEquipmentTable[[#This Row],[IPv4 Address]]) &gt; 1, ITEquipmentTable[[#This Row],[IPv4 Address]] &lt;&gt; "DHCP",  ITEquipmentTable[[#This Row],[IPv4 Address]] &lt;&gt; "N/A")</f>
        <v>0</v>
      </c>
    </row>
    <row r="128" spans="1:13" x14ac:dyDescent="0.2">
      <c r="A128" s="168">
        <f>IF(LEN(ITSecondTable[[#This Row],[Tag]]) &gt; 0, _xlfn.XLOOKUP(ITSecondTable[[#This Row],[Tag]],StorageTable[Tag], StorageTable[In Storage - Count Total], "Err", 0, 1), 0)</f>
        <v>6</v>
      </c>
      <c r="B128" s="1">
        <f>_xlfn.LET(_xlpm.loc, ITEquipmentTable[Storage Location],
COUNTIFS(ITSecondTable[Tag], ITSecondTable[[#This Row],[Tag]], _xlpm.loc, "&lt;&gt;In Use", _xlpm.loc, "&lt;&gt;",  _xlpm.loc, "&lt;&gt;E-Waste", _xlpm.loc, "&lt;&gt;Virtual",  _xlpm.loc, "&lt;&gt;Assigned to Employee", _xlpm.loc, "&lt;&gt;Decommisioned", _xlpm.loc, "&lt;&gt;Missing")
)</f>
        <v>17</v>
      </c>
      <c r="C128" s="1">
        <f>_xlfn.LET(_xlpm.loc, ITEquipmentTable[Storage Location],
COUNTIFS(ITSecondTable[Tag], ITSecondTable[[#This Row],[Tag]], _xlpm.loc, "&lt;&gt;E-Waste", _xlpm.loc, "&lt;&gt;Virtual", _xlpm.loc, "&lt;&gt;Decommisioned")
)</f>
        <v>64</v>
      </c>
      <c r="D128" s="168">
        <f>_xlfn.LET(_xlpm.loc, ITEquipmentTable[Storage Location],
COUNTIFS(ITSecondTable[Tag], ITSecondTable[[#This Row],[Tag]], _xlpm.loc, "Missing")
)</f>
        <v>0</v>
      </c>
      <c r="E128" s="168">
        <f>_xlfn.LET(_xlpm.loc, ITEquipmentTable[Storage Location],
COUNTIFS(ITSecondTable[Tag], ITSecondTable[[#This Row],[Tag]], _xlpm.loc, "In Use") + COUNTIFS(ITSecondTable[Tag], ITSecondTable[[#This Row],[Tag]], _xlpm.loc, "Assigned to Employee")
)</f>
        <v>30</v>
      </c>
      <c r="F128" s="168">
        <f>_xlfn.LET(_xlpm.loc, ITEquipmentTable[Storage Location],
COUNTIFS(ITSecondTable[Tag], ITSecondTable[[#This Row],[Tag]], _xlpm.loc, "")
)</f>
        <v>17</v>
      </c>
      <c r="G128" s="168">
        <f>MAX(ITSecondTable[[#This Row],[SQty]] - ITSecondTable[[#This Row],[IQty]], 0)</f>
        <v>11</v>
      </c>
      <c r="H128" s="168">
        <f>MAX(ITSecondTable[[#This Row],[IQty]]-ITSecondTable[[#This Row],[SQty]], 0)</f>
        <v>0</v>
      </c>
      <c r="I128" s="151" t="str">
        <f>IFERROR(_xlfn.TEXTJOIN("~", TRUE, ITEquipmentTable[[#This Row],[Type]],ITEquipmentTable[[#This Row],[Brand]],ITEquipmentTable[[#This Row],[Model]]), "")</f>
        <v>Desktop~Dell~OptiPlex 3040</v>
      </c>
      <c r="J128" s="151" t="b">
        <f xml:space="preserve"> _xlfn.IFNA(MATCH( ITSecondTable[[#This Row],[Tag]], StorageTable[Tag], 0)  &gt; -1, FALSE)</f>
        <v>0</v>
      </c>
      <c r="K128" s="168" t="b">
        <f>COUNTIFS(ITEquipmentTable[Serial], ITEquipmentTable[[#This Row],[Serial]], ITEquipmentTable[Serial], "&lt;&gt;N/A") &gt; 1</f>
        <v>0</v>
      </c>
      <c r="L128" s="168" t="b">
        <f>COUNTIFS(ITEquipmentTable[Name], ITEquipmentTable[[#This Row],[Name]], ITEquipmentTable[Name], "&lt;&gt;&lt;Unassigned&gt;",  ITEquipmentTable[Name], "&lt;&gt;N/A") &gt; 1</f>
        <v>0</v>
      </c>
      <c r="M128" s="168" t="b">
        <f>AND(COUNTIFS(ITEquipmentTable[IPv4 Address], ITEquipmentTable[[#This Row],[IPv4 Address]]) &gt; 1, ITEquipmentTable[[#This Row],[IPv4 Address]] &lt;&gt; "DHCP",  ITEquipmentTable[[#This Row],[IPv4 Address]] &lt;&gt; "N/A")</f>
        <v>0</v>
      </c>
    </row>
    <row r="129" spans="1:13" x14ac:dyDescent="0.2">
      <c r="A129" s="168">
        <f>IF(LEN(ITSecondTable[[#This Row],[Tag]]) &gt; 0, _xlfn.XLOOKUP(ITSecondTable[[#This Row],[Tag]],StorageTable[Tag], StorageTable[In Storage - Count Total], "Err", 0, 1), 0)</f>
        <v>0</v>
      </c>
      <c r="B129" s="1">
        <f>_xlfn.LET(_xlpm.loc, ITEquipmentTable[Storage Location],
COUNTIFS(ITSecondTable[Tag], ITSecondTable[[#This Row],[Tag]], _xlpm.loc, "&lt;&gt;In Use", _xlpm.loc, "&lt;&gt;",  _xlpm.loc, "&lt;&gt;E-Waste", _xlpm.loc, "&lt;&gt;Virtual",  _xlpm.loc, "&lt;&gt;Assigned to Employee", _xlpm.loc, "&lt;&gt;Decommisioned", _xlpm.loc, "&lt;&gt;Missing")
)</f>
        <v>0</v>
      </c>
      <c r="C129" s="1">
        <f>_xlfn.LET(_xlpm.loc, ITEquipmentTable[Storage Location],
COUNTIFS(ITSecondTable[Tag], ITSecondTable[[#This Row],[Tag]], _xlpm.loc, "&lt;&gt;E-Waste", _xlpm.loc, "&lt;&gt;Virtual", _xlpm.loc, "&lt;&gt;Decommisioned")
)</f>
        <v>21</v>
      </c>
      <c r="D129" s="168">
        <f>_xlfn.LET(_xlpm.loc, ITEquipmentTable[Storage Location],
COUNTIFS(ITSecondTable[Tag], ITSecondTable[[#This Row],[Tag]], _xlpm.loc, "Missing")
)</f>
        <v>0</v>
      </c>
      <c r="E129" s="168">
        <f>_xlfn.LET(_xlpm.loc, ITEquipmentTable[Storage Location],
COUNTIFS(ITSecondTable[Tag], ITSecondTable[[#This Row],[Tag]], _xlpm.loc, "In Use") + COUNTIFS(ITSecondTable[Tag], ITSecondTable[[#This Row],[Tag]], _xlpm.loc, "Assigned to Employee")
)</f>
        <v>3</v>
      </c>
      <c r="F129" s="168">
        <f>_xlfn.LET(_xlpm.loc, ITEquipmentTable[Storage Location],
COUNTIFS(ITSecondTable[Tag], ITSecondTable[[#This Row],[Tag]], _xlpm.loc, "")
)</f>
        <v>18</v>
      </c>
      <c r="G129" s="168">
        <f>MAX(ITSecondTable[[#This Row],[SQty]] - ITSecondTable[[#This Row],[IQty]], 0)</f>
        <v>0</v>
      </c>
      <c r="H129" s="168">
        <f>MAX(ITSecondTable[[#This Row],[IQty]]-ITSecondTable[[#This Row],[SQty]], 0)</f>
        <v>0</v>
      </c>
      <c r="I129" s="151" t="str">
        <f>IFERROR(_xlfn.TEXTJOIN("~", TRUE, ITEquipmentTable[[#This Row],[Type]],ITEquipmentTable[[#This Row],[Brand]],ITEquipmentTable[[#This Row],[Model]]), "")</f>
        <v/>
      </c>
      <c r="J129" s="151" t="b">
        <f xml:space="preserve"> _xlfn.IFNA(MATCH( ITSecondTable[[#This Row],[Tag]], StorageTable[Tag], 0)  &gt; -1, FALSE)</f>
        <v>0</v>
      </c>
      <c r="K129" s="168" t="b">
        <f>COUNTIFS(ITEquipmentTable[Serial], ITEquipmentTable[[#This Row],[Serial]], ITEquipmentTable[Serial], "&lt;&gt;N/A") &gt; 1</f>
        <v>0</v>
      </c>
      <c r="L129" s="168" t="b">
        <f>COUNTIFS(ITEquipmentTable[Name], ITEquipmentTable[[#This Row],[Name]], ITEquipmentTable[Name], "&lt;&gt;&lt;Unassigned&gt;",  ITEquipmentTable[Name], "&lt;&gt;N/A") &gt; 1</f>
        <v>0</v>
      </c>
      <c r="M129" s="168" t="b">
        <f>AND(COUNTIFS(ITEquipmentTable[IPv4 Address], ITEquipmentTable[[#This Row],[IPv4 Address]]) &gt; 1, ITEquipmentTable[[#This Row],[IPv4 Address]] &lt;&gt; "DHCP",  ITEquipmentTable[[#This Row],[IPv4 Address]] &lt;&gt; "N/A")</f>
        <v>0</v>
      </c>
    </row>
    <row r="130" spans="1:13" x14ac:dyDescent="0.2">
      <c r="A130" s="168">
        <f>IF(LEN(ITSecondTable[[#This Row],[Tag]]) &gt; 0, _xlfn.XLOOKUP(ITSecondTable[[#This Row],[Tag]],StorageTable[Tag], StorageTable[In Storage - Count Total], "Err", 0, 1), 0)</f>
        <v>0</v>
      </c>
      <c r="B130" s="1">
        <f>_xlfn.LET(_xlpm.loc, ITEquipmentTable[Storage Location],
COUNTIFS(ITSecondTable[Tag], ITSecondTable[[#This Row],[Tag]], _xlpm.loc, "&lt;&gt;In Use", _xlpm.loc, "&lt;&gt;",  _xlpm.loc, "&lt;&gt;E-Waste", _xlpm.loc, "&lt;&gt;Virtual",  _xlpm.loc, "&lt;&gt;Assigned to Employee", _xlpm.loc, "&lt;&gt;Decommisioned", _xlpm.loc, "&lt;&gt;Missing")
)</f>
        <v>0</v>
      </c>
      <c r="C130" s="1">
        <f>_xlfn.LET(_xlpm.loc, ITEquipmentTable[Storage Location],
COUNTIFS(ITSecondTable[Tag], ITSecondTable[[#This Row],[Tag]], _xlpm.loc, "&lt;&gt;E-Waste", _xlpm.loc, "&lt;&gt;Virtual", _xlpm.loc, "&lt;&gt;Decommisioned")
)</f>
        <v>32</v>
      </c>
      <c r="D130" s="168">
        <f>_xlfn.LET(_xlpm.loc, ITEquipmentTable[Storage Location],
COUNTIFS(ITSecondTable[Tag], ITSecondTable[[#This Row],[Tag]], _xlpm.loc, "Missing")
)</f>
        <v>0</v>
      </c>
      <c r="E130" s="168">
        <f>_xlfn.LET(_xlpm.loc, ITEquipmentTable[Storage Location],
COUNTIFS(ITSecondTable[Tag], ITSecondTable[[#This Row],[Tag]], _xlpm.loc, "In Use") + COUNTIFS(ITSecondTable[Tag], ITSecondTable[[#This Row],[Tag]], _xlpm.loc, "Assigned to Employee")
)</f>
        <v>26</v>
      </c>
      <c r="F130" s="168">
        <f>_xlfn.LET(_xlpm.loc, ITEquipmentTable[Storage Location],
COUNTIFS(ITSecondTable[Tag], ITSecondTable[[#This Row],[Tag]], _xlpm.loc, "")
)</f>
        <v>6</v>
      </c>
      <c r="G130" s="168">
        <f>MAX(ITSecondTable[[#This Row],[SQty]] - ITSecondTable[[#This Row],[IQty]], 0)</f>
        <v>0</v>
      </c>
      <c r="H130" s="168">
        <f>MAX(ITSecondTable[[#This Row],[IQty]]-ITSecondTable[[#This Row],[SQty]], 0)</f>
        <v>0</v>
      </c>
      <c r="I130" s="151" t="str">
        <f>IFERROR(_xlfn.TEXTJOIN("~", TRUE, ITEquipmentTable[[#This Row],[Type]],ITEquipmentTable[[#This Row],[Brand]],ITEquipmentTable[[#This Row],[Model]]), "")</f>
        <v>Desktop</v>
      </c>
      <c r="J130" s="151" t="b">
        <f xml:space="preserve"> _xlfn.IFNA(MATCH( ITSecondTable[[#This Row],[Tag]], StorageTable[Tag], 0)  &gt; -1, FALSE)</f>
        <v>1</v>
      </c>
      <c r="K130" s="168" t="b">
        <f>COUNTIFS(ITEquipmentTable[Serial], ITEquipmentTable[[#This Row],[Serial]], ITEquipmentTable[Serial], "&lt;&gt;N/A") &gt; 1</f>
        <v>0</v>
      </c>
      <c r="L130" s="168" t="b">
        <f>COUNTIFS(ITEquipmentTable[Name], ITEquipmentTable[[#This Row],[Name]], ITEquipmentTable[Name], "&lt;&gt;&lt;Unassigned&gt;",  ITEquipmentTable[Name], "&lt;&gt;N/A") &gt; 1</f>
        <v>0</v>
      </c>
      <c r="M130" s="168" t="b">
        <f>AND(COUNTIFS(ITEquipmentTable[IPv4 Address], ITEquipmentTable[[#This Row],[IPv4 Address]]) &gt; 1, ITEquipmentTable[[#This Row],[IPv4 Address]] &lt;&gt; "DHCP",  ITEquipmentTable[[#This Row],[IPv4 Address]] &lt;&gt; "N/A")</f>
        <v>0</v>
      </c>
    </row>
    <row r="131" spans="1:13" x14ac:dyDescent="0.2">
      <c r="A131" s="168">
        <f>IF(LEN(ITSecondTable[[#This Row],[Tag]]) &gt; 0, _xlfn.XLOOKUP(ITSecondTable[[#This Row],[Tag]],StorageTable[Tag], StorageTable[In Storage - Count Total], "Err", 0, 1), 0)</f>
        <v>0</v>
      </c>
      <c r="B131" s="1">
        <f>_xlfn.LET(_xlpm.loc, ITEquipmentTable[Storage Location],
COUNTIFS(ITSecondTable[Tag], ITSecondTable[[#This Row],[Tag]], _xlpm.loc, "&lt;&gt;In Use", _xlpm.loc, "&lt;&gt;",  _xlpm.loc, "&lt;&gt;E-Waste", _xlpm.loc, "&lt;&gt;Virtual",  _xlpm.loc, "&lt;&gt;Assigned to Employee", _xlpm.loc, "&lt;&gt;Decommisioned", _xlpm.loc, "&lt;&gt;Missing")
)</f>
        <v>2</v>
      </c>
      <c r="C131" s="1">
        <f>_xlfn.LET(_xlpm.loc, ITEquipmentTable[Storage Location],
COUNTIFS(ITSecondTable[Tag], ITSecondTable[[#This Row],[Tag]], _xlpm.loc, "&lt;&gt;E-Waste", _xlpm.loc, "&lt;&gt;Virtual", _xlpm.loc, "&lt;&gt;Decommisioned")
)</f>
        <v>17</v>
      </c>
      <c r="D131" s="168">
        <f>_xlfn.LET(_xlpm.loc, ITEquipmentTable[Storage Location],
COUNTIFS(ITSecondTable[Tag], ITSecondTable[[#This Row],[Tag]], _xlpm.loc, "Missing")
)</f>
        <v>0</v>
      </c>
      <c r="E131" s="168">
        <f>_xlfn.LET(_xlpm.loc, ITEquipmentTable[Storage Location],
COUNTIFS(ITSecondTable[Tag], ITSecondTable[[#This Row],[Tag]], _xlpm.loc, "In Use") + COUNTIFS(ITSecondTable[Tag], ITSecondTable[[#This Row],[Tag]], _xlpm.loc, "Assigned to Employee")
)</f>
        <v>5</v>
      </c>
      <c r="F131" s="168">
        <f>_xlfn.LET(_xlpm.loc, ITEquipmentTable[Storage Location],
COUNTIFS(ITSecondTable[Tag], ITSecondTable[[#This Row],[Tag]], _xlpm.loc, "")
)</f>
        <v>10</v>
      </c>
      <c r="G131" s="168">
        <f>MAX(ITSecondTable[[#This Row],[SQty]] - ITSecondTable[[#This Row],[IQty]], 0)</f>
        <v>2</v>
      </c>
      <c r="H131" s="168">
        <f>MAX(ITSecondTable[[#This Row],[IQty]]-ITSecondTable[[#This Row],[SQty]], 0)</f>
        <v>0</v>
      </c>
      <c r="I131" s="151" t="str">
        <f>IFERROR(_xlfn.TEXTJOIN("~", TRUE, ITEquipmentTable[[#This Row],[Type]],ITEquipmentTable[[#This Row],[Brand]],ITEquipmentTable[[#This Row],[Model]]), "")</f>
        <v>Laptop~HP~HP ProBook 640 G3</v>
      </c>
      <c r="J131" s="151" t="b">
        <f xml:space="preserve"> _xlfn.IFNA(MATCH( ITSecondTable[[#This Row],[Tag]], StorageTable[Tag], 0)  &gt; -1, FALSE)</f>
        <v>0</v>
      </c>
      <c r="K131" s="168" t="b">
        <f>COUNTIFS(ITEquipmentTable[Serial], ITEquipmentTable[[#This Row],[Serial]], ITEquipmentTable[Serial], "&lt;&gt;N/A") &gt; 1</f>
        <v>0</v>
      </c>
      <c r="L131" s="168" t="b">
        <f>COUNTIFS(ITEquipmentTable[Name], ITEquipmentTable[[#This Row],[Name]], ITEquipmentTable[Name], "&lt;&gt;&lt;Unassigned&gt;",  ITEquipmentTable[Name], "&lt;&gt;N/A") &gt; 1</f>
        <v>0</v>
      </c>
      <c r="M131" s="168" t="b">
        <f>AND(COUNTIFS(ITEquipmentTable[IPv4 Address], ITEquipmentTable[[#This Row],[IPv4 Address]]) &gt; 1, ITEquipmentTable[[#This Row],[IPv4 Address]] &lt;&gt; "DHCP",  ITEquipmentTable[[#This Row],[IPv4 Address]] &lt;&gt; "N/A")</f>
        <v>0</v>
      </c>
    </row>
    <row r="132" spans="1:13" x14ac:dyDescent="0.2">
      <c r="A132" s="168">
        <f>IF(LEN(ITSecondTable[[#This Row],[Tag]]) &gt; 0, _xlfn.XLOOKUP(ITSecondTable[[#This Row],[Tag]],StorageTable[Tag], StorageTable[In Storage - Count Total], "Err", 0, 1), 0)</f>
        <v>0</v>
      </c>
      <c r="B132" s="1">
        <f>_xlfn.LET(_xlpm.loc, ITEquipmentTable[Storage Location],
COUNTIFS(ITSecondTable[Tag], ITSecondTable[[#This Row],[Tag]], _xlpm.loc, "&lt;&gt;In Use", _xlpm.loc, "&lt;&gt;",  _xlpm.loc, "&lt;&gt;E-Waste", _xlpm.loc, "&lt;&gt;Virtual",  _xlpm.loc, "&lt;&gt;Assigned to Employee", _xlpm.loc, "&lt;&gt;Decommisioned", _xlpm.loc, "&lt;&gt;Missing")
)</f>
        <v>0</v>
      </c>
      <c r="C132" s="1">
        <f>_xlfn.LET(_xlpm.loc, ITEquipmentTable[Storage Location],
COUNTIFS(ITSecondTable[Tag], ITSecondTable[[#This Row],[Tag]], _xlpm.loc, "&lt;&gt;E-Waste", _xlpm.loc, "&lt;&gt;Virtual", _xlpm.loc, "&lt;&gt;Decommisioned")
)</f>
        <v>10</v>
      </c>
      <c r="D132" s="168">
        <f>_xlfn.LET(_xlpm.loc, ITEquipmentTable[Storage Location],
COUNTIFS(ITSecondTable[Tag], ITSecondTable[[#This Row],[Tag]], _xlpm.loc, "Missing")
)</f>
        <v>0</v>
      </c>
      <c r="E132" s="168">
        <f>_xlfn.LET(_xlpm.loc, ITEquipmentTable[Storage Location],
COUNTIFS(ITSecondTable[Tag], ITSecondTable[[#This Row],[Tag]], _xlpm.loc, "In Use") + COUNTIFS(ITSecondTable[Tag], ITSecondTable[[#This Row],[Tag]], _xlpm.loc, "Assigned to Employee")
)</f>
        <v>5</v>
      </c>
      <c r="F132" s="168">
        <f>_xlfn.LET(_xlpm.loc, ITEquipmentTable[Storage Location],
COUNTIFS(ITSecondTable[Tag], ITSecondTable[[#This Row],[Tag]], _xlpm.loc, "")
)</f>
        <v>5</v>
      </c>
      <c r="G132" s="168">
        <f>MAX(ITSecondTable[[#This Row],[SQty]] - ITSecondTable[[#This Row],[IQty]], 0)</f>
        <v>0</v>
      </c>
      <c r="H132" s="168">
        <f>MAX(ITSecondTable[[#This Row],[IQty]]-ITSecondTable[[#This Row],[SQty]], 0)</f>
        <v>0</v>
      </c>
      <c r="I132" s="151" t="str">
        <f>IFERROR(_xlfn.TEXTJOIN("~", TRUE, ITEquipmentTable[[#This Row],[Type]],ITEquipmentTable[[#This Row],[Brand]],ITEquipmentTable[[#This Row],[Model]]), "")</f>
        <v>Laptop~HP~HP ProBook 640 G4</v>
      </c>
      <c r="J132" s="151" t="b">
        <f xml:space="preserve"> _xlfn.IFNA(MATCH( ITSecondTable[[#This Row],[Tag]], StorageTable[Tag], 0)  &gt; -1, FALSE)</f>
        <v>0</v>
      </c>
      <c r="K132" s="168" t="b">
        <f>COUNTIFS(ITEquipmentTable[Serial], ITEquipmentTable[[#This Row],[Serial]], ITEquipmentTable[Serial], "&lt;&gt;N/A") &gt; 1</f>
        <v>0</v>
      </c>
      <c r="L132" s="168" t="b">
        <f>COUNTIFS(ITEquipmentTable[Name], ITEquipmentTable[[#This Row],[Name]], ITEquipmentTable[Name], "&lt;&gt;&lt;Unassigned&gt;",  ITEquipmentTable[Name], "&lt;&gt;N/A") &gt; 1</f>
        <v>0</v>
      </c>
      <c r="M132" s="168" t="b">
        <f>AND(COUNTIFS(ITEquipmentTable[IPv4 Address], ITEquipmentTable[[#This Row],[IPv4 Address]]) &gt; 1, ITEquipmentTable[[#This Row],[IPv4 Address]] &lt;&gt; "DHCP",  ITEquipmentTable[[#This Row],[IPv4 Address]] &lt;&gt; "N/A")</f>
        <v>0</v>
      </c>
    </row>
    <row r="133" spans="1:13" x14ac:dyDescent="0.2">
      <c r="A133" s="168">
        <f>IF(LEN(ITSecondTable[[#This Row],[Tag]]) &gt; 0, _xlfn.XLOOKUP(ITSecondTable[[#This Row],[Tag]],StorageTable[Tag], StorageTable[In Storage - Count Total], "Err", 0, 1), 0)</f>
        <v>0</v>
      </c>
      <c r="B133" s="1">
        <f>_xlfn.LET(_xlpm.loc, ITEquipmentTable[Storage Location],
COUNTIFS(ITSecondTable[Tag], ITSecondTable[[#This Row],[Tag]], _xlpm.loc, "&lt;&gt;In Use", _xlpm.loc, "&lt;&gt;",  _xlpm.loc, "&lt;&gt;E-Waste", _xlpm.loc, "&lt;&gt;Virtual",  _xlpm.loc, "&lt;&gt;Assigned to Employee", _xlpm.loc, "&lt;&gt;Decommisioned", _xlpm.loc, "&lt;&gt;Missing")
)</f>
        <v>0</v>
      </c>
      <c r="C133" s="1">
        <f>_xlfn.LET(_xlpm.loc, ITEquipmentTable[Storage Location],
COUNTIFS(ITSecondTable[Tag], ITSecondTable[[#This Row],[Tag]], _xlpm.loc, "&lt;&gt;E-Waste", _xlpm.loc, "&lt;&gt;Virtual", _xlpm.loc, "&lt;&gt;Decommisioned")
)</f>
        <v>78</v>
      </c>
      <c r="D133" s="168">
        <f>_xlfn.LET(_xlpm.loc, ITEquipmentTable[Storage Location],
COUNTIFS(ITSecondTable[Tag], ITSecondTable[[#This Row],[Tag]], _xlpm.loc, "Missing")
)</f>
        <v>0</v>
      </c>
      <c r="E133" s="168">
        <f>_xlfn.LET(_xlpm.loc, ITEquipmentTable[Storage Location],
COUNTIFS(ITSecondTable[Tag], ITSecondTable[[#This Row],[Tag]], _xlpm.loc, "In Use") + COUNTIFS(ITSecondTable[Tag], ITSecondTable[[#This Row],[Tag]], _xlpm.loc, "Assigned to Employee")
)</f>
        <v>44</v>
      </c>
      <c r="F133" s="168">
        <f>_xlfn.LET(_xlpm.loc, ITEquipmentTable[Storage Location],
COUNTIFS(ITSecondTable[Tag], ITSecondTable[[#This Row],[Tag]], _xlpm.loc, "")
)</f>
        <v>34</v>
      </c>
      <c r="G133" s="168">
        <f>MAX(ITSecondTable[[#This Row],[SQty]] - ITSecondTable[[#This Row],[IQty]], 0)</f>
        <v>0</v>
      </c>
      <c r="H133" s="168">
        <f>MAX(ITSecondTable[[#This Row],[IQty]]-ITSecondTable[[#This Row],[SQty]], 0)</f>
        <v>0</v>
      </c>
      <c r="I133" s="151" t="str">
        <f>IFERROR(_xlfn.TEXTJOIN("~", TRUE, ITEquipmentTable[[#This Row],[Type]],ITEquipmentTable[[#This Row],[Brand]],ITEquipmentTable[[#This Row],[Model]]), "")</f>
        <v>Laptop~HP</v>
      </c>
      <c r="J133" s="151" t="b">
        <f xml:space="preserve"> _xlfn.IFNA(MATCH( ITSecondTable[[#This Row],[Tag]], StorageTable[Tag], 0)  &gt; -1, FALSE)</f>
        <v>0</v>
      </c>
      <c r="K133" s="168" t="b">
        <f>COUNTIFS(ITEquipmentTable[Serial], ITEquipmentTable[[#This Row],[Serial]], ITEquipmentTable[Serial], "&lt;&gt;N/A") &gt; 1</f>
        <v>0</v>
      </c>
      <c r="L133" s="168" t="b">
        <f>COUNTIFS(ITEquipmentTable[Name], ITEquipmentTable[[#This Row],[Name]], ITEquipmentTable[Name], "&lt;&gt;&lt;Unassigned&gt;",  ITEquipmentTable[Name], "&lt;&gt;N/A") &gt; 1</f>
        <v>0</v>
      </c>
      <c r="M133" s="168" t="b">
        <f>AND(COUNTIFS(ITEquipmentTable[IPv4 Address], ITEquipmentTable[[#This Row],[IPv4 Address]]) &gt; 1, ITEquipmentTable[[#This Row],[IPv4 Address]] &lt;&gt; "DHCP",  ITEquipmentTable[[#This Row],[IPv4 Address]] &lt;&gt; "N/A")</f>
        <v>0</v>
      </c>
    </row>
    <row r="134" spans="1:13" x14ac:dyDescent="0.2">
      <c r="A134" s="168">
        <f>IF(LEN(ITSecondTable[[#This Row],[Tag]]) &gt; 0, _xlfn.XLOOKUP(ITSecondTable[[#This Row],[Tag]],StorageTable[Tag], StorageTable[In Storage - Count Total], "Err", 0, 1), 0)</f>
        <v>0</v>
      </c>
      <c r="B134" s="1">
        <f>_xlfn.LET(_xlpm.loc, ITEquipmentTable[Storage Location],
COUNTIFS(ITSecondTable[Tag], ITSecondTable[[#This Row],[Tag]], _xlpm.loc, "&lt;&gt;In Use", _xlpm.loc, "&lt;&gt;",  _xlpm.loc, "&lt;&gt;E-Waste", _xlpm.loc, "&lt;&gt;Virtual",  _xlpm.loc, "&lt;&gt;Assigned to Employee", _xlpm.loc, "&lt;&gt;Decommisioned", _xlpm.loc, "&lt;&gt;Missing")
)</f>
        <v>0</v>
      </c>
      <c r="C134" s="1">
        <f>_xlfn.LET(_xlpm.loc, ITEquipmentTable[Storage Location],
COUNTIFS(ITSecondTable[Tag], ITSecondTable[[#This Row],[Tag]], _xlpm.loc, "&lt;&gt;E-Waste", _xlpm.loc, "&lt;&gt;Virtual", _xlpm.loc, "&lt;&gt;Decommisioned")
)</f>
        <v>78</v>
      </c>
      <c r="D134" s="168">
        <f>_xlfn.LET(_xlpm.loc, ITEquipmentTable[Storage Location],
COUNTIFS(ITSecondTable[Tag], ITSecondTable[[#This Row],[Tag]], _xlpm.loc, "Missing")
)</f>
        <v>0</v>
      </c>
      <c r="E134" s="168">
        <f>_xlfn.LET(_xlpm.loc, ITEquipmentTable[Storage Location],
COUNTIFS(ITSecondTable[Tag], ITSecondTable[[#This Row],[Tag]], _xlpm.loc, "In Use") + COUNTIFS(ITSecondTable[Tag], ITSecondTable[[#This Row],[Tag]], _xlpm.loc, "Assigned to Employee")
)</f>
        <v>44</v>
      </c>
      <c r="F134" s="168">
        <f>_xlfn.LET(_xlpm.loc, ITEquipmentTable[Storage Location],
COUNTIFS(ITSecondTable[Tag], ITSecondTable[[#This Row],[Tag]], _xlpm.loc, "")
)</f>
        <v>34</v>
      </c>
      <c r="G134" s="168">
        <f>MAX(ITSecondTable[[#This Row],[SQty]] - ITSecondTable[[#This Row],[IQty]], 0)</f>
        <v>0</v>
      </c>
      <c r="H134" s="168">
        <f>MAX(ITSecondTable[[#This Row],[IQty]]-ITSecondTable[[#This Row],[SQty]], 0)</f>
        <v>0</v>
      </c>
      <c r="I134" s="151" t="str">
        <f>IFERROR(_xlfn.TEXTJOIN("~", TRUE, ITEquipmentTable[[#This Row],[Type]],ITEquipmentTable[[#This Row],[Brand]],ITEquipmentTable[[#This Row],[Model]]), "")</f>
        <v>Laptop~HP</v>
      </c>
      <c r="J134" s="151" t="b">
        <f xml:space="preserve"> _xlfn.IFNA(MATCH( ITSecondTable[[#This Row],[Tag]], StorageTable[Tag], 0)  &gt; -1, FALSE)</f>
        <v>0</v>
      </c>
      <c r="K134" s="168" t="b">
        <f>COUNTIFS(ITEquipmentTable[Serial], ITEquipmentTable[[#This Row],[Serial]], ITEquipmentTable[Serial], "&lt;&gt;N/A") &gt; 1</f>
        <v>0</v>
      </c>
      <c r="L134" s="168" t="b">
        <f>COUNTIFS(ITEquipmentTable[Name], ITEquipmentTable[[#This Row],[Name]], ITEquipmentTable[Name], "&lt;&gt;&lt;Unassigned&gt;",  ITEquipmentTable[Name], "&lt;&gt;N/A") &gt; 1</f>
        <v>0</v>
      </c>
      <c r="M134" s="168" t="b">
        <f>AND(COUNTIFS(ITEquipmentTable[IPv4 Address], ITEquipmentTable[[#This Row],[IPv4 Address]]) &gt; 1, ITEquipmentTable[[#This Row],[IPv4 Address]] &lt;&gt; "DHCP",  ITEquipmentTable[[#This Row],[IPv4 Address]] &lt;&gt; "N/A")</f>
        <v>0</v>
      </c>
    </row>
    <row r="135" spans="1:13" x14ac:dyDescent="0.2">
      <c r="A135" s="168">
        <f>IF(LEN(ITSecondTable[[#This Row],[Tag]]) &gt; 0, _xlfn.XLOOKUP(ITSecondTable[[#This Row],[Tag]],StorageTable[Tag], StorageTable[In Storage - Count Total], "Err", 0, 1), 0)</f>
        <v>0</v>
      </c>
      <c r="B135" s="1">
        <f>_xlfn.LET(_xlpm.loc, ITEquipmentTable[Storage Location],
COUNTIFS(ITSecondTable[Tag], ITSecondTable[[#This Row],[Tag]], _xlpm.loc, "&lt;&gt;In Use", _xlpm.loc, "&lt;&gt;",  _xlpm.loc, "&lt;&gt;E-Waste", _xlpm.loc, "&lt;&gt;Virtual",  _xlpm.loc, "&lt;&gt;Assigned to Employee", _xlpm.loc, "&lt;&gt;Decommisioned", _xlpm.loc, "&lt;&gt;Missing")
)</f>
        <v>2</v>
      </c>
      <c r="C135" s="1">
        <f>_xlfn.LET(_xlpm.loc, ITEquipmentTable[Storage Location],
COUNTIFS(ITSecondTable[Tag], ITSecondTable[[#This Row],[Tag]], _xlpm.loc, "&lt;&gt;E-Waste", _xlpm.loc, "&lt;&gt;Virtual", _xlpm.loc, "&lt;&gt;Decommisioned")
)</f>
        <v>13</v>
      </c>
      <c r="D135" s="168">
        <f>_xlfn.LET(_xlpm.loc, ITEquipmentTable[Storage Location],
COUNTIFS(ITSecondTable[Tag], ITSecondTable[[#This Row],[Tag]], _xlpm.loc, "Missing")
)</f>
        <v>0</v>
      </c>
      <c r="E135" s="168">
        <f>_xlfn.LET(_xlpm.loc, ITEquipmentTable[Storage Location],
COUNTIFS(ITSecondTable[Tag], ITSecondTable[[#This Row],[Tag]], _xlpm.loc, "In Use") + COUNTIFS(ITSecondTable[Tag], ITSecondTable[[#This Row],[Tag]], _xlpm.loc, "Assigned to Employee")
)</f>
        <v>1</v>
      </c>
      <c r="F135" s="168">
        <f>_xlfn.LET(_xlpm.loc, ITEquipmentTable[Storage Location],
COUNTIFS(ITSecondTable[Tag], ITSecondTable[[#This Row],[Tag]], _xlpm.loc, "")
)</f>
        <v>10</v>
      </c>
      <c r="G135" s="168">
        <f>MAX(ITSecondTable[[#This Row],[SQty]] - ITSecondTable[[#This Row],[IQty]], 0)</f>
        <v>2</v>
      </c>
      <c r="H135" s="168">
        <f>MAX(ITSecondTable[[#This Row],[IQty]]-ITSecondTable[[#This Row],[SQty]], 0)</f>
        <v>0</v>
      </c>
      <c r="I135" s="151" t="str">
        <f>IFERROR(_xlfn.TEXTJOIN("~", TRUE, ITEquipmentTable[[#This Row],[Type]],ITEquipmentTable[[#This Row],[Brand]],ITEquipmentTable[[#This Row],[Model]]), "")</f>
        <v>Laptop~HP~HP ProBook 650 G1</v>
      </c>
      <c r="J135" s="151" t="b">
        <f xml:space="preserve"> _xlfn.IFNA(MATCH( ITSecondTable[[#This Row],[Tag]], StorageTable[Tag], 0)  &gt; -1, FALSE)</f>
        <v>0</v>
      </c>
      <c r="K135" s="168" t="b">
        <f>COUNTIFS(ITEquipmentTable[Serial], ITEquipmentTable[[#This Row],[Serial]], ITEquipmentTable[Serial], "&lt;&gt;N/A") &gt; 1</f>
        <v>0</v>
      </c>
      <c r="L135" s="168" t="b">
        <f>COUNTIFS(ITEquipmentTable[Name], ITEquipmentTable[[#This Row],[Name]], ITEquipmentTable[Name], "&lt;&gt;&lt;Unassigned&gt;",  ITEquipmentTable[Name], "&lt;&gt;N/A") &gt; 1</f>
        <v>0</v>
      </c>
      <c r="M135" s="168" t="b">
        <f>AND(COUNTIFS(ITEquipmentTable[IPv4 Address], ITEquipmentTable[[#This Row],[IPv4 Address]]) &gt; 1, ITEquipmentTable[[#This Row],[IPv4 Address]] &lt;&gt; "DHCP",  ITEquipmentTable[[#This Row],[IPv4 Address]] &lt;&gt; "N/A")</f>
        <v>0</v>
      </c>
    </row>
    <row r="136" spans="1:13" x14ac:dyDescent="0.2">
      <c r="A136" s="168">
        <f>IF(LEN(ITSecondTable[[#This Row],[Tag]]) &gt; 0, _xlfn.XLOOKUP(ITSecondTable[[#This Row],[Tag]],StorageTable[Tag], StorageTable[In Storage - Count Total], "Err", 0, 1), 0)</f>
        <v>0</v>
      </c>
      <c r="B136" s="1">
        <f>_xlfn.LET(_xlpm.loc, ITEquipmentTable[Storage Location],
COUNTIFS(ITSecondTable[Tag], ITSecondTable[[#This Row],[Tag]], _xlpm.loc, "&lt;&gt;In Use", _xlpm.loc, "&lt;&gt;",  _xlpm.loc, "&lt;&gt;E-Waste", _xlpm.loc, "&lt;&gt;Virtual",  _xlpm.loc, "&lt;&gt;Assigned to Employee", _xlpm.loc, "&lt;&gt;Decommisioned", _xlpm.loc, "&lt;&gt;Missing")
)</f>
        <v>0</v>
      </c>
      <c r="C136" s="1">
        <f>_xlfn.LET(_xlpm.loc, ITEquipmentTable[Storage Location],
COUNTIFS(ITSecondTable[Tag], ITSecondTable[[#This Row],[Tag]], _xlpm.loc, "&lt;&gt;E-Waste", _xlpm.loc, "&lt;&gt;Virtual", _xlpm.loc, "&lt;&gt;Decommisioned")
)</f>
        <v>29</v>
      </c>
      <c r="D136" s="168">
        <f>_xlfn.LET(_xlpm.loc, ITEquipmentTable[Storage Location],
COUNTIFS(ITSecondTable[Tag], ITSecondTable[[#This Row],[Tag]], _xlpm.loc, "Missing")
)</f>
        <v>0</v>
      </c>
      <c r="E136" s="168">
        <f>_xlfn.LET(_xlpm.loc, ITEquipmentTable[Storage Location],
COUNTIFS(ITSecondTable[Tag], ITSecondTable[[#This Row],[Tag]], _xlpm.loc, "In Use") + COUNTIFS(ITSecondTable[Tag], ITSecondTable[[#This Row],[Tag]], _xlpm.loc, "Assigned to Employee")
)</f>
        <v>3</v>
      </c>
      <c r="F136" s="168">
        <f>_xlfn.LET(_xlpm.loc, ITEquipmentTable[Storage Location],
COUNTIFS(ITSecondTable[Tag], ITSecondTable[[#This Row],[Tag]], _xlpm.loc, "")
)</f>
        <v>26</v>
      </c>
      <c r="G136" s="168">
        <f>MAX(ITSecondTable[[#This Row],[SQty]] - ITSecondTable[[#This Row],[IQty]], 0)</f>
        <v>0</v>
      </c>
      <c r="H136" s="168">
        <f>MAX(ITSecondTable[[#This Row],[IQty]]-ITSecondTable[[#This Row],[SQty]], 0)</f>
        <v>0</v>
      </c>
      <c r="I136" s="151" t="str">
        <f>IFERROR(_xlfn.TEXTJOIN("~", TRUE, ITEquipmentTable[[#This Row],[Type]],ITEquipmentTable[[#This Row],[Brand]],ITEquipmentTable[[#This Row],[Model]]), "")</f>
        <v>Laptop~HP~HP ProBook 650 G2</v>
      </c>
      <c r="J136" s="151" t="b">
        <f xml:space="preserve"> _xlfn.IFNA(MATCH( ITSecondTable[[#This Row],[Tag]], StorageTable[Tag], 0)  &gt; -1, FALSE)</f>
        <v>0</v>
      </c>
      <c r="K136" s="168" t="b">
        <f>COUNTIFS(ITEquipmentTable[Serial], ITEquipmentTable[[#This Row],[Serial]], ITEquipmentTable[Serial], "&lt;&gt;N/A") &gt; 1</f>
        <v>0</v>
      </c>
      <c r="L136" s="168" t="b">
        <f>COUNTIFS(ITEquipmentTable[Name], ITEquipmentTable[[#This Row],[Name]], ITEquipmentTable[Name], "&lt;&gt;&lt;Unassigned&gt;",  ITEquipmentTable[Name], "&lt;&gt;N/A") &gt; 1</f>
        <v>0</v>
      </c>
      <c r="M136" s="168" t="b">
        <f>AND(COUNTIFS(ITEquipmentTable[IPv4 Address], ITEquipmentTable[[#This Row],[IPv4 Address]]) &gt; 1, ITEquipmentTable[[#This Row],[IPv4 Address]] &lt;&gt; "DHCP",  ITEquipmentTable[[#This Row],[IPv4 Address]] &lt;&gt; "N/A")</f>
        <v>0</v>
      </c>
    </row>
    <row r="137" spans="1:13" x14ac:dyDescent="0.2">
      <c r="A137" s="168">
        <f>IF(LEN(ITSecondTable[[#This Row],[Tag]]) &gt; 0, _xlfn.XLOOKUP(ITSecondTable[[#This Row],[Tag]],StorageTable[Tag], StorageTable[In Storage - Count Total], "Err", 0, 1), 0)</f>
        <v>0</v>
      </c>
      <c r="B137" s="1">
        <f>_xlfn.LET(_xlpm.loc, ITEquipmentTable[Storage Location],
COUNTIFS(ITSecondTable[Tag], ITSecondTable[[#This Row],[Tag]], _xlpm.loc, "&lt;&gt;In Use", _xlpm.loc, "&lt;&gt;",  _xlpm.loc, "&lt;&gt;E-Waste", _xlpm.loc, "&lt;&gt;Virtual",  _xlpm.loc, "&lt;&gt;Assigned to Employee", _xlpm.loc, "&lt;&gt;Decommisioned", _xlpm.loc, "&lt;&gt;Missing")
)</f>
        <v>2</v>
      </c>
      <c r="C137" s="1">
        <f>_xlfn.LET(_xlpm.loc, ITEquipmentTable[Storage Location],
COUNTIFS(ITSecondTable[Tag], ITSecondTable[[#This Row],[Tag]], _xlpm.loc, "&lt;&gt;E-Waste", _xlpm.loc, "&lt;&gt;Virtual", _xlpm.loc, "&lt;&gt;Decommisioned")
)</f>
        <v>17</v>
      </c>
      <c r="D137" s="168">
        <f>_xlfn.LET(_xlpm.loc, ITEquipmentTable[Storage Location],
COUNTIFS(ITSecondTable[Tag], ITSecondTable[[#This Row],[Tag]], _xlpm.loc, "Missing")
)</f>
        <v>0</v>
      </c>
      <c r="E137" s="168">
        <f>_xlfn.LET(_xlpm.loc, ITEquipmentTable[Storage Location],
COUNTIFS(ITSecondTable[Tag], ITSecondTable[[#This Row],[Tag]], _xlpm.loc, "In Use") + COUNTIFS(ITSecondTable[Tag], ITSecondTable[[#This Row],[Tag]], _xlpm.loc, "Assigned to Employee")
)</f>
        <v>5</v>
      </c>
      <c r="F137" s="168">
        <f>_xlfn.LET(_xlpm.loc, ITEquipmentTable[Storage Location],
COUNTIFS(ITSecondTable[Tag], ITSecondTable[[#This Row],[Tag]], _xlpm.loc, "")
)</f>
        <v>10</v>
      </c>
      <c r="G137" s="168">
        <f>MAX(ITSecondTable[[#This Row],[SQty]] - ITSecondTable[[#This Row],[IQty]], 0)</f>
        <v>2</v>
      </c>
      <c r="H137" s="168">
        <f>MAX(ITSecondTable[[#This Row],[IQty]]-ITSecondTable[[#This Row],[SQty]], 0)</f>
        <v>0</v>
      </c>
      <c r="I137" s="151" t="str">
        <f>IFERROR(_xlfn.TEXTJOIN("~", TRUE, ITEquipmentTable[[#This Row],[Type]],ITEquipmentTable[[#This Row],[Brand]],ITEquipmentTable[[#This Row],[Model]]), "")</f>
        <v>Laptop~HP~HP ProBook 640 G3</v>
      </c>
      <c r="J137" s="151" t="b">
        <f xml:space="preserve"> _xlfn.IFNA(MATCH( ITSecondTable[[#This Row],[Tag]], StorageTable[Tag], 0)  &gt; -1, FALSE)</f>
        <v>0</v>
      </c>
      <c r="K137" s="168" t="b">
        <f>COUNTIFS(ITEquipmentTable[Serial], ITEquipmentTable[[#This Row],[Serial]], ITEquipmentTable[Serial], "&lt;&gt;N/A") &gt; 1</f>
        <v>0</v>
      </c>
      <c r="L137" s="168" t="b">
        <f>COUNTIFS(ITEquipmentTable[Name], ITEquipmentTable[[#This Row],[Name]], ITEquipmentTable[Name], "&lt;&gt;&lt;Unassigned&gt;",  ITEquipmentTable[Name], "&lt;&gt;N/A") &gt; 1</f>
        <v>0</v>
      </c>
      <c r="M137" s="168" t="b">
        <f>AND(COUNTIFS(ITEquipmentTable[IPv4 Address], ITEquipmentTable[[#This Row],[IPv4 Address]]) &gt; 1, ITEquipmentTable[[#This Row],[IPv4 Address]] &lt;&gt; "DHCP",  ITEquipmentTable[[#This Row],[IPv4 Address]] &lt;&gt; "N/A")</f>
        <v>0</v>
      </c>
    </row>
    <row r="138" spans="1:13" x14ac:dyDescent="0.2">
      <c r="A138" s="168">
        <f>IF(LEN(ITSecondTable[[#This Row],[Tag]]) &gt; 0, _xlfn.XLOOKUP(ITSecondTable[[#This Row],[Tag]],StorageTable[Tag], StorageTable[In Storage - Count Total], "Err", 0, 1), 0)</f>
        <v>0</v>
      </c>
      <c r="B138" s="1">
        <f>_xlfn.LET(_xlpm.loc, ITEquipmentTable[Storage Location],
COUNTIFS(ITSecondTable[Tag], ITSecondTable[[#This Row],[Tag]], _xlpm.loc, "&lt;&gt;In Use", _xlpm.loc, "&lt;&gt;",  _xlpm.loc, "&lt;&gt;E-Waste", _xlpm.loc, "&lt;&gt;Virtual",  _xlpm.loc, "&lt;&gt;Assigned to Employee", _xlpm.loc, "&lt;&gt;Decommisioned", _xlpm.loc, "&lt;&gt;Missing")
)</f>
        <v>0</v>
      </c>
      <c r="C138" s="1">
        <f>_xlfn.LET(_xlpm.loc, ITEquipmentTable[Storage Location],
COUNTIFS(ITSecondTable[Tag], ITSecondTable[[#This Row],[Tag]], _xlpm.loc, "&lt;&gt;E-Waste", _xlpm.loc, "&lt;&gt;Virtual", _xlpm.loc, "&lt;&gt;Decommisioned")
)</f>
        <v>78</v>
      </c>
      <c r="D138" s="168">
        <f>_xlfn.LET(_xlpm.loc, ITEquipmentTable[Storage Location],
COUNTIFS(ITSecondTable[Tag], ITSecondTable[[#This Row],[Tag]], _xlpm.loc, "Missing")
)</f>
        <v>0</v>
      </c>
      <c r="E138" s="168">
        <f>_xlfn.LET(_xlpm.loc, ITEquipmentTable[Storage Location],
COUNTIFS(ITSecondTable[Tag], ITSecondTable[[#This Row],[Tag]], _xlpm.loc, "In Use") + COUNTIFS(ITSecondTable[Tag], ITSecondTable[[#This Row],[Tag]], _xlpm.loc, "Assigned to Employee")
)</f>
        <v>44</v>
      </c>
      <c r="F138" s="168">
        <f>_xlfn.LET(_xlpm.loc, ITEquipmentTable[Storage Location],
COUNTIFS(ITSecondTable[Tag], ITSecondTable[[#This Row],[Tag]], _xlpm.loc, "")
)</f>
        <v>34</v>
      </c>
      <c r="G138" s="168">
        <f>MAX(ITSecondTable[[#This Row],[SQty]] - ITSecondTable[[#This Row],[IQty]], 0)</f>
        <v>0</v>
      </c>
      <c r="H138" s="168">
        <f>MAX(ITSecondTable[[#This Row],[IQty]]-ITSecondTable[[#This Row],[SQty]], 0)</f>
        <v>0</v>
      </c>
      <c r="I138" s="151" t="str">
        <f>IFERROR(_xlfn.TEXTJOIN("~", TRUE, ITEquipmentTable[[#This Row],[Type]],ITEquipmentTable[[#This Row],[Brand]],ITEquipmentTable[[#This Row],[Model]]), "")</f>
        <v>Laptop~HP</v>
      </c>
      <c r="J138" s="151" t="b">
        <f xml:space="preserve"> _xlfn.IFNA(MATCH( ITSecondTable[[#This Row],[Tag]], StorageTable[Tag], 0)  &gt; -1, FALSE)</f>
        <v>0</v>
      </c>
      <c r="K138" s="168" t="b">
        <f>COUNTIFS(ITEquipmentTable[Serial], ITEquipmentTable[[#This Row],[Serial]], ITEquipmentTable[Serial], "&lt;&gt;N/A") &gt; 1</f>
        <v>0</v>
      </c>
      <c r="L138" s="168" t="b">
        <f>COUNTIFS(ITEquipmentTable[Name], ITEquipmentTable[[#This Row],[Name]], ITEquipmentTable[Name], "&lt;&gt;&lt;Unassigned&gt;",  ITEquipmentTable[Name], "&lt;&gt;N/A") &gt; 1</f>
        <v>0</v>
      </c>
      <c r="M138" s="168" t="b">
        <f>AND(COUNTIFS(ITEquipmentTable[IPv4 Address], ITEquipmentTable[[#This Row],[IPv4 Address]]) &gt; 1, ITEquipmentTable[[#This Row],[IPv4 Address]] &lt;&gt; "DHCP",  ITEquipmentTable[[#This Row],[IPv4 Address]] &lt;&gt; "N/A")</f>
        <v>0</v>
      </c>
    </row>
    <row r="139" spans="1:13" x14ac:dyDescent="0.2">
      <c r="A139" s="168">
        <f>IF(LEN(ITSecondTable[[#This Row],[Tag]]) &gt; 0, _xlfn.XLOOKUP(ITSecondTable[[#This Row],[Tag]],StorageTable[Tag], StorageTable[In Storage - Count Total], "Err", 0, 1), 0)</f>
        <v>0</v>
      </c>
      <c r="B139" s="1">
        <f>_xlfn.LET(_xlpm.loc, ITEquipmentTable[Storage Location],
COUNTIFS(ITSecondTable[Tag], ITSecondTable[[#This Row],[Tag]], _xlpm.loc, "&lt;&gt;In Use", _xlpm.loc, "&lt;&gt;",  _xlpm.loc, "&lt;&gt;E-Waste", _xlpm.loc, "&lt;&gt;Virtual",  _xlpm.loc, "&lt;&gt;Assigned to Employee", _xlpm.loc, "&lt;&gt;Decommisioned", _xlpm.loc, "&lt;&gt;Missing")
)</f>
        <v>2</v>
      </c>
      <c r="C139" s="1">
        <f>_xlfn.LET(_xlpm.loc, ITEquipmentTable[Storage Location],
COUNTIFS(ITSecondTable[Tag], ITSecondTable[[#This Row],[Tag]], _xlpm.loc, "&lt;&gt;E-Waste", _xlpm.loc, "&lt;&gt;Virtual", _xlpm.loc, "&lt;&gt;Decommisioned")
)</f>
        <v>13</v>
      </c>
      <c r="D139" s="168">
        <f>_xlfn.LET(_xlpm.loc, ITEquipmentTable[Storage Location],
COUNTIFS(ITSecondTable[Tag], ITSecondTable[[#This Row],[Tag]], _xlpm.loc, "Missing")
)</f>
        <v>0</v>
      </c>
      <c r="E139" s="168">
        <f>_xlfn.LET(_xlpm.loc, ITEquipmentTable[Storage Location],
COUNTIFS(ITSecondTable[Tag], ITSecondTable[[#This Row],[Tag]], _xlpm.loc, "In Use") + COUNTIFS(ITSecondTable[Tag], ITSecondTable[[#This Row],[Tag]], _xlpm.loc, "Assigned to Employee")
)</f>
        <v>1</v>
      </c>
      <c r="F139" s="168">
        <f>_xlfn.LET(_xlpm.loc, ITEquipmentTable[Storage Location],
COUNTIFS(ITSecondTable[Tag], ITSecondTable[[#This Row],[Tag]], _xlpm.loc, "")
)</f>
        <v>10</v>
      </c>
      <c r="G139" s="168">
        <f>MAX(ITSecondTable[[#This Row],[SQty]] - ITSecondTable[[#This Row],[IQty]], 0)</f>
        <v>2</v>
      </c>
      <c r="H139" s="168">
        <f>MAX(ITSecondTable[[#This Row],[IQty]]-ITSecondTable[[#This Row],[SQty]], 0)</f>
        <v>0</v>
      </c>
      <c r="I139" s="151" t="str">
        <f>IFERROR(_xlfn.TEXTJOIN("~", TRUE, ITEquipmentTable[[#This Row],[Type]],ITEquipmentTable[[#This Row],[Brand]],ITEquipmentTable[[#This Row],[Model]]), "")</f>
        <v>Laptop~HP~HP ProBook 650 G1</v>
      </c>
      <c r="J139" s="151" t="b">
        <f xml:space="preserve"> _xlfn.IFNA(MATCH( ITSecondTable[[#This Row],[Tag]], StorageTable[Tag], 0)  &gt; -1, FALSE)</f>
        <v>0</v>
      </c>
      <c r="K139" s="168" t="b">
        <f>COUNTIFS(ITEquipmentTable[Serial], ITEquipmentTable[[#This Row],[Serial]], ITEquipmentTable[Serial], "&lt;&gt;N/A") &gt; 1</f>
        <v>0</v>
      </c>
      <c r="L139" s="168" t="b">
        <f>COUNTIFS(ITEquipmentTable[Name], ITEquipmentTable[[#This Row],[Name]], ITEquipmentTable[Name], "&lt;&gt;&lt;Unassigned&gt;",  ITEquipmentTable[Name], "&lt;&gt;N/A") &gt; 1</f>
        <v>0</v>
      </c>
      <c r="M139" s="168" t="b">
        <f>AND(COUNTIFS(ITEquipmentTable[IPv4 Address], ITEquipmentTable[[#This Row],[IPv4 Address]]) &gt; 1, ITEquipmentTable[[#This Row],[IPv4 Address]] &lt;&gt; "DHCP",  ITEquipmentTable[[#This Row],[IPv4 Address]] &lt;&gt; "N/A")</f>
        <v>0</v>
      </c>
    </row>
    <row r="140" spans="1:13" x14ac:dyDescent="0.2">
      <c r="A140" s="168">
        <f>IF(LEN(ITSecondTable[[#This Row],[Tag]]) &gt; 0, _xlfn.XLOOKUP(ITSecondTable[[#This Row],[Tag]],StorageTable[Tag], StorageTable[In Storage - Count Total], "Err", 0, 1), 0)</f>
        <v>0</v>
      </c>
      <c r="B140" s="1">
        <f>_xlfn.LET(_xlpm.loc, ITEquipmentTable[Storage Location],
COUNTIFS(ITSecondTable[Tag], ITSecondTable[[#This Row],[Tag]], _xlpm.loc, "&lt;&gt;In Use", _xlpm.loc, "&lt;&gt;",  _xlpm.loc, "&lt;&gt;E-Waste", _xlpm.loc, "&lt;&gt;Virtual",  _xlpm.loc, "&lt;&gt;Assigned to Employee", _xlpm.loc, "&lt;&gt;Decommisioned", _xlpm.loc, "&lt;&gt;Missing")
)</f>
        <v>0</v>
      </c>
      <c r="C140" s="1">
        <f>_xlfn.LET(_xlpm.loc, ITEquipmentTable[Storage Location],
COUNTIFS(ITSecondTable[Tag], ITSecondTable[[#This Row],[Tag]], _xlpm.loc, "&lt;&gt;E-Waste", _xlpm.loc, "&lt;&gt;Virtual", _xlpm.loc, "&lt;&gt;Decommisioned")
)</f>
        <v>78</v>
      </c>
      <c r="D140" s="168">
        <f>_xlfn.LET(_xlpm.loc, ITEquipmentTable[Storage Location],
COUNTIFS(ITSecondTable[Tag], ITSecondTable[[#This Row],[Tag]], _xlpm.loc, "Missing")
)</f>
        <v>0</v>
      </c>
      <c r="E140" s="168">
        <f>_xlfn.LET(_xlpm.loc, ITEquipmentTable[Storage Location],
COUNTIFS(ITSecondTable[Tag], ITSecondTable[[#This Row],[Tag]], _xlpm.loc, "In Use") + COUNTIFS(ITSecondTable[Tag], ITSecondTable[[#This Row],[Tag]], _xlpm.loc, "Assigned to Employee")
)</f>
        <v>44</v>
      </c>
      <c r="F140" s="168">
        <f>_xlfn.LET(_xlpm.loc, ITEquipmentTable[Storage Location],
COUNTIFS(ITSecondTable[Tag], ITSecondTable[[#This Row],[Tag]], _xlpm.loc, "")
)</f>
        <v>34</v>
      </c>
      <c r="G140" s="168">
        <f>MAX(ITSecondTable[[#This Row],[SQty]] - ITSecondTable[[#This Row],[IQty]], 0)</f>
        <v>0</v>
      </c>
      <c r="H140" s="168">
        <f>MAX(ITSecondTable[[#This Row],[IQty]]-ITSecondTable[[#This Row],[SQty]], 0)</f>
        <v>0</v>
      </c>
      <c r="I140" s="151" t="str">
        <f>IFERROR(_xlfn.TEXTJOIN("~", TRUE, ITEquipmentTable[[#This Row],[Type]],ITEquipmentTable[[#This Row],[Brand]],ITEquipmentTable[[#This Row],[Model]]), "")</f>
        <v>Laptop~HP</v>
      </c>
      <c r="J140" s="151" t="b">
        <f xml:space="preserve"> _xlfn.IFNA(MATCH( ITSecondTable[[#This Row],[Tag]], StorageTable[Tag], 0)  &gt; -1, FALSE)</f>
        <v>0</v>
      </c>
      <c r="K140" s="168" t="b">
        <f>COUNTIFS(ITEquipmentTable[Serial], ITEquipmentTable[[#This Row],[Serial]], ITEquipmentTable[Serial], "&lt;&gt;N/A") &gt; 1</f>
        <v>0</v>
      </c>
      <c r="L140" s="168" t="b">
        <f>COUNTIFS(ITEquipmentTable[Name], ITEquipmentTable[[#This Row],[Name]], ITEquipmentTable[Name], "&lt;&gt;&lt;Unassigned&gt;",  ITEquipmentTable[Name], "&lt;&gt;N/A") &gt; 1</f>
        <v>0</v>
      </c>
      <c r="M140" s="168" t="b">
        <f>AND(COUNTIFS(ITEquipmentTable[IPv4 Address], ITEquipmentTable[[#This Row],[IPv4 Address]]) &gt; 1, ITEquipmentTable[[#This Row],[IPv4 Address]] &lt;&gt; "DHCP",  ITEquipmentTable[[#This Row],[IPv4 Address]] &lt;&gt; "N/A")</f>
        <v>0</v>
      </c>
    </row>
    <row r="141" spans="1:13" x14ac:dyDescent="0.2">
      <c r="A141" s="168">
        <f>IF(LEN(ITSecondTable[[#This Row],[Tag]]) &gt; 0, _xlfn.XLOOKUP(ITSecondTable[[#This Row],[Tag]],StorageTable[Tag], StorageTable[In Storage - Count Total], "Err", 0, 1), 0)</f>
        <v>0</v>
      </c>
      <c r="B141" s="1">
        <f>_xlfn.LET(_xlpm.loc, ITEquipmentTable[Storage Location],
COUNTIFS(ITSecondTable[Tag], ITSecondTable[[#This Row],[Tag]], _xlpm.loc, "&lt;&gt;In Use", _xlpm.loc, "&lt;&gt;",  _xlpm.loc, "&lt;&gt;E-Waste", _xlpm.loc, "&lt;&gt;Virtual",  _xlpm.loc, "&lt;&gt;Assigned to Employee", _xlpm.loc, "&lt;&gt;Decommisioned", _xlpm.loc, "&lt;&gt;Missing")
)</f>
        <v>0</v>
      </c>
      <c r="C141" s="1">
        <f>_xlfn.LET(_xlpm.loc, ITEquipmentTable[Storage Location],
COUNTIFS(ITSecondTable[Tag], ITSecondTable[[#This Row],[Tag]], _xlpm.loc, "&lt;&gt;E-Waste", _xlpm.loc, "&lt;&gt;Virtual", _xlpm.loc, "&lt;&gt;Decommisioned")
)</f>
        <v>78</v>
      </c>
      <c r="D141" s="168">
        <f>_xlfn.LET(_xlpm.loc, ITEquipmentTable[Storage Location],
COUNTIFS(ITSecondTable[Tag], ITSecondTable[[#This Row],[Tag]], _xlpm.loc, "Missing")
)</f>
        <v>0</v>
      </c>
      <c r="E141" s="168">
        <f>_xlfn.LET(_xlpm.loc, ITEquipmentTable[Storage Location],
COUNTIFS(ITSecondTable[Tag], ITSecondTable[[#This Row],[Tag]], _xlpm.loc, "In Use") + COUNTIFS(ITSecondTable[Tag], ITSecondTable[[#This Row],[Tag]], _xlpm.loc, "Assigned to Employee")
)</f>
        <v>44</v>
      </c>
      <c r="F141" s="168">
        <f>_xlfn.LET(_xlpm.loc, ITEquipmentTable[Storage Location],
COUNTIFS(ITSecondTable[Tag], ITSecondTable[[#This Row],[Tag]], _xlpm.loc, "")
)</f>
        <v>34</v>
      </c>
      <c r="G141" s="168">
        <f>MAX(ITSecondTable[[#This Row],[SQty]] - ITSecondTable[[#This Row],[IQty]], 0)</f>
        <v>0</v>
      </c>
      <c r="H141" s="168">
        <f>MAX(ITSecondTable[[#This Row],[IQty]]-ITSecondTable[[#This Row],[SQty]], 0)</f>
        <v>0</v>
      </c>
      <c r="I141" s="151" t="str">
        <f>IFERROR(_xlfn.TEXTJOIN("~", TRUE, ITEquipmentTable[[#This Row],[Type]],ITEquipmentTable[[#This Row],[Brand]],ITEquipmentTable[[#This Row],[Model]]), "")</f>
        <v>Laptop~HP</v>
      </c>
      <c r="J141" s="151" t="b">
        <f xml:space="preserve"> _xlfn.IFNA(MATCH( ITSecondTable[[#This Row],[Tag]], StorageTable[Tag], 0)  &gt; -1, FALSE)</f>
        <v>0</v>
      </c>
      <c r="K141" s="168" t="b">
        <f>COUNTIFS(ITEquipmentTable[Serial], ITEquipmentTable[[#This Row],[Serial]], ITEquipmentTable[Serial], "&lt;&gt;N/A") &gt; 1</f>
        <v>0</v>
      </c>
      <c r="L141" s="168" t="b">
        <f>COUNTIFS(ITEquipmentTable[Name], ITEquipmentTable[[#This Row],[Name]], ITEquipmentTable[Name], "&lt;&gt;&lt;Unassigned&gt;",  ITEquipmentTable[Name], "&lt;&gt;N/A") &gt; 1</f>
        <v>0</v>
      </c>
      <c r="M141" s="168" t="b">
        <f>AND(COUNTIFS(ITEquipmentTable[IPv4 Address], ITEquipmentTable[[#This Row],[IPv4 Address]]) &gt; 1, ITEquipmentTable[[#This Row],[IPv4 Address]] &lt;&gt; "DHCP",  ITEquipmentTable[[#This Row],[IPv4 Address]] &lt;&gt; "N/A")</f>
        <v>0</v>
      </c>
    </row>
    <row r="142" spans="1:13" x14ac:dyDescent="0.2">
      <c r="A142" s="168">
        <f>IF(LEN(ITSecondTable[[#This Row],[Tag]]) &gt; 0, _xlfn.XLOOKUP(ITSecondTable[[#This Row],[Tag]],StorageTable[Tag], StorageTable[In Storage - Count Total], "Err", 0, 1), 0)</f>
        <v>0</v>
      </c>
      <c r="B142" s="1">
        <f>_xlfn.LET(_xlpm.loc, ITEquipmentTable[Storage Location],
COUNTIFS(ITSecondTable[Tag], ITSecondTable[[#This Row],[Tag]], _xlpm.loc, "&lt;&gt;In Use", _xlpm.loc, "&lt;&gt;",  _xlpm.loc, "&lt;&gt;E-Waste", _xlpm.loc, "&lt;&gt;Virtual",  _xlpm.loc, "&lt;&gt;Assigned to Employee", _xlpm.loc, "&lt;&gt;Decommisioned", _xlpm.loc, "&lt;&gt;Missing")
)</f>
        <v>0</v>
      </c>
      <c r="C142" s="1">
        <f>_xlfn.LET(_xlpm.loc, ITEquipmentTable[Storage Location],
COUNTIFS(ITSecondTable[Tag], ITSecondTable[[#This Row],[Tag]], _xlpm.loc, "&lt;&gt;E-Waste", _xlpm.loc, "&lt;&gt;Virtual", _xlpm.loc, "&lt;&gt;Decommisioned")
)</f>
        <v>29</v>
      </c>
      <c r="D142" s="168">
        <f>_xlfn.LET(_xlpm.loc, ITEquipmentTable[Storage Location],
COUNTIFS(ITSecondTable[Tag], ITSecondTable[[#This Row],[Tag]], _xlpm.loc, "Missing")
)</f>
        <v>0</v>
      </c>
      <c r="E142" s="168">
        <f>_xlfn.LET(_xlpm.loc, ITEquipmentTable[Storage Location],
COUNTIFS(ITSecondTable[Tag], ITSecondTable[[#This Row],[Tag]], _xlpm.loc, "In Use") + COUNTIFS(ITSecondTable[Tag], ITSecondTable[[#This Row],[Tag]], _xlpm.loc, "Assigned to Employee")
)</f>
        <v>3</v>
      </c>
      <c r="F142" s="168">
        <f>_xlfn.LET(_xlpm.loc, ITEquipmentTable[Storage Location],
COUNTIFS(ITSecondTable[Tag], ITSecondTable[[#This Row],[Tag]], _xlpm.loc, "")
)</f>
        <v>26</v>
      </c>
      <c r="G142" s="168">
        <f>MAX(ITSecondTable[[#This Row],[SQty]] - ITSecondTable[[#This Row],[IQty]], 0)</f>
        <v>0</v>
      </c>
      <c r="H142" s="168">
        <f>MAX(ITSecondTable[[#This Row],[IQty]]-ITSecondTable[[#This Row],[SQty]], 0)</f>
        <v>0</v>
      </c>
      <c r="I142" s="151" t="str">
        <f>IFERROR(_xlfn.TEXTJOIN("~", TRUE, ITEquipmentTable[[#This Row],[Type]],ITEquipmentTable[[#This Row],[Brand]],ITEquipmentTable[[#This Row],[Model]]), "")</f>
        <v>Laptop~HP~HP ProBook 650 G2</v>
      </c>
      <c r="J142" s="151" t="b">
        <f xml:space="preserve"> _xlfn.IFNA(MATCH( ITSecondTable[[#This Row],[Tag]], StorageTable[Tag], 0)  &gt; -1, FALSE)</f>
        <v>0</v>
      </c>
      <c r="K142" s="168" t="b">
        <f>COUNTIFS(ITEquipmentTable[Serial], ITEquipmentTable[[#This Row],[Serial]], ITEquipmentTable[Serial], "&lt;&gt;N/A") &gt; 1</f>
        <v>0</v>
      </c>
      <c r="L142" s="168" t="b">
        <f>COUNTIFS(ITEquipmentTable[Name], ITEquipmentTable[[#This Row],[Name]], ITEquipmentTable[Name], "&lt;&gt;&lt;Unassigned&gt;",  ITEquipmentTable[Name], "&lt;&gt;N/A") &gt; 1</f>
        <v>0</v>
      </c>
      <c r="M142" s="168" t="b">
        <f>AND(COUNTIFS(ITEquipmentTable[IPv4 Address], ITEquipmentTable[[#This Row],[IPv4 Address]]) &gt; 1, ITEquipmentTable[[#This Row],[IPv4 Address]] &lt;&gt; "DHCP",  ITEquipmentTable[[#This Row],[IPv4 Address]] &lt;&gt; "N/A")</f>
        <v>0</v>
      </c>
    </row>
    <row r="143" spans="1:13" x14ac:dyDescent="0.2">
      <c r="A143" s="168">
        <f>IF(LEN(ITSecondTable[[#This Row],[Tag]]) &gt; 0, _xlfn.XLOOKUP(ITSecondTable[[#This Row],[Tag]],StorageTable[Tag], StorageTable[In Storage - Count Total], "Err", 0, 1), 0)</f>
        <v>0</v>
      </c>
      <c r="B143" s="1">
        <f>_xlfn.LET(_xlpm.loc, ITEquipmentTable[Storage Location],
COUNTIFS(ITSecondTable[Tag], ITSecondTable[[#This Row],[Tag]], _xlpm.loc, "&lt;&gt;In Use", _xlpm.loc, "&lt;&gt;",  _xlpm.loc, "&lt;&gt;E-Waste", _xlpm.loc, "&lt;&gt;Virtual",  _xlpm.loc, "&lt;&gt;Assigned to Employee", _xlpm.loc, "&lt;&gt;Decommisioned", _xlpm.loc, "&lt;&gt;Missing")
)</f>
        <v>0</v>
      </c>
      <c r="C143" s="1">
        <f>_xlfn.LET(_xlpm.loc, ITEquipmentTable[Storage Location],
COUNTIFS(ITSecondTable[Tag], ITSecondTable[[#This Row],[Tag]], _xlpm.loc, "&lt;&gt;E-Waste", _xlpm.loc, "&lt;&gt;Virtual", _xlpm.loc, "&lt;&gt;Decommisioned")
)</f>
        <v>1</v>
      </c>
      <c r="D143" s="168">
        <f>_xlfn.LET(_xlpm.loc, ITEquipmentTable[Storage Location],
COUNTIFS(ITSecondTable[Tag], ITSecondTable[[#This Row],[Tag]], _xlpm.loc, "Missing")
)</f>
        <v>0</v>
      </c>
      <c r="E143" s="168">
        <f>_xlfn.LET(_xlpm.loc, ITEquipmentTable[Storage Location],
COUNTIFS(ITSecondTable[Tag], ITSecondTable[[#This Row],[Tag]], _xlpm.loc, "In Use") + COUNTIFS(ITSecondTable[Tag], ITSecondTable[[#This Row],[Tag]], _xlpm.loc, "Assigned to Employee")
)</f>
        <v>1</v>
      </c>
      <c r="F143" s="168">
        <f>_xlfn.LET(_xlpm.loc, ITEquipmentTable[Storage Location],
COUNTIFS(ITSecondTable[Tag], ITSecondTable[[#This Row],[Tag]], _xlpm.loc, "")
)</f>
        <v>0</v>
      </c>
      <c r="G143" s="168">
        <f>MAX(ITSecondTable[[#This Row],[SQty]] - ITSecondTable[[#This Row],[IQty]], 0)</f>
        <v>0</v>
      </c>
      <c r="H143" s="168">
        <f>MAX(ITSecondTable[[#This Row],[IQty]]-ITSecondTable[[#This Row],[SQty]], 0)</f>
        <v>0</v>
      </c>
      <c r="I143" s="151" t="str">
        <f>IFERROR(_xlfn.TEXTJOIN("~", TRUE, ITEquipmentTable[[#This Row],[Type]],ITEquipmentTable[[#This Row],[Brand]],ITEquipmentTable[[#This Row],[Model]]), "")</f>
        <v>Laptop~HP~HP ProBook 650 G5</v>
      </c>
      <c r="J143" s="151" t="b">
        <f xml:space="preserve"> _xlfn.IFNA(MATCH( ITSecondTable[[#This Row],[Tag]], StorageTable[Tag], 0)  &gt; -1, FALSE)</f>
        <v>0</v>
      </c>
      <c r="K143" s="168" t="b">
        <f>COUNTIFS(ITEquipmentTable[Serial], ITEquipmentTable[[#This Row],[Serial]], ITEquipmentTable[Serial], "&lt;&gt;N/A") &gt; 1</f>
        <v>0</v>
      </c>
      <c r="L143" s="168" t="b">
        <f>COUNTIFS(ITEquipmentTable[Name], ITEquipmentTable[[#This Row],[Name]], ITEquipmentTable[Name], "&lt;&gt;&lt;Unassigned&gt;",  ITEquipmentTable[Name], "&lt;&gt;N/A") &gt; 1</f>
        <v>0</v>
      </c>
      <c r="M143" s="168" t="b">
        <f>AND(COUNTIFS(ITEquipmentTable[IPv4 Address], ITEquipmentTable[[#This Row],[IPv4 Address]]) &gt; 1, ITEquipmentTable[[#This Row],[IPv4 Address]] &lt;&gt; "DHCP",  ITEquipmentTable[[#This Row],[IPv4 Address]] &lt;&gt; "N/A")</f>
        <v>0</v>
      </c>
    </row>
    <row r="144" spans="1:13" x14ac:dyDescent="0.2">
      <c r="A144" s="168">
        <f>IF(LEN(ITSecondTable[[#This Row],[Tag]]) &gt; 0, _xlfn.XLOOKUP(ITSecondTable[[#This Row],[Tag]],StorageTable[Tag], StorageTable[In Storage - Count Total], "Err", 0, 1), 0)</f>
        <v>0</v>
      </c>
      <c r="B144" s="1">
        <f>_xlfn.LET(_xlpm.loc, ITEquipmentTable[Storage Location],
COUNTIFS(ITSecondTable[Tag], ITSecondTable[[#This Row],[Tag]], _xlpm.loc, "&lt;&gt;In Use", _xlpm.loc, "&lt;&gt;",  _xlpm.loc, "&lt;&gt;E-Waste", _xlpm.loc, "&lt;&gt;Virtual",  _xlpm.loc, "&lt;&gt;Assigned to Employee", _xlpm.loc, "&lt;&gt;Decommisioned", _xlpm.loc, "&lt;&gt;Missing")
)</f>
        <v>0</v>
      </c>
      <c r="C144" s="1">
        <f>_xlfn.LET(_xlpm.loc, ITEquipmentTable[Storage Location],
COUNTIFS(ITSecondTable[Tag], ITSecondTable[[#This Row],[Tag]], _xlpm.loc, "&lt;&gt;E-Waste", _xlpm.loc, "&lt;&gt;Virtual", _xlpm.loc, "&lt;&gt;Decommisioned")
)</f>
        <v>29</v>
      </c>
      <c r="D144" s="168">
        <f>_xlfn.LET(_xlpm.loc, ITEquipmentTable[Storage Location],
COUNTIFS(ITSecondTable[Tag], ITSecondTable[[#This Row],[Tag]], _xlpm.loc, "Missing")
)</f>
        <v>0</v>
      </c>
      <c r="E144" s="168">
        <f>_xlfn.LET(_xlpm.loc, ITEquipmentTable[Storage Location],
COUNTIFS(ITSecondTable[Tag], ITSecondTable[[#This Row],[Tag]], _xlpm.loc, "In Use") + COUNTIFS(ITSecondTable[Tag], ITSecondTable[[#This Row],[Tag]], _xlpm.loc, "Assigned to Employee")
)</f>
        <v>3</v>
      </c>
      <c r="F144" s="168">
        <f>_xlfn.LET(_xlpm.loc, ITEquipmentTable[Storage Location],
COUNTIFS(ITSecondTable[Tag], ITSecondTable[[#This Row],[Tag]], _xlpm.loc, "")
)</f>
        <v>26</v>
      </c>
      <c r="G144" s="168">
        <f>MAX(ITSecondTable[[#This Row],[SQty]] - ITSecondTable[[#This Row],[IQty]], 0)</f>
        <v>0</v>
      </c>
      <c r="H144" s="168">
        <f>MAX(ITSecondTable[[#This Row],[IQty]]-ITSecondTable[[#This Row],[SQty]], 0)</f>
        <v>0</v>
      </c>
      <c r="I144" s="151" t="str">
        <f>IFERROR(_xlfn.TEXTJOIN("~", TRUE, ITEquipmentTable[[#This Row],[Type]],ITEquipmentTable[[#This Row],[Brand]],ITEquipmentTable[[#This Row],[Model]]), "")</f>
        <v>Laptop~HP~HP ProBook 650 G2</v>
      </c>
      <c r="J144" s="151" t="b">
        <f xml:space="preserve"> _xlfn.IFNA(MATCH( ITSecondTable[[#This Row],[Tag]], StorageTable[Tag], 0)  &gt; -1, FALSE)</f>
        <v>0</v>
      </c>
      <c r="K144" s="168" t="b">
        <f>COUNTIFS(ITEquipmentTable[Serial], ITEquipmentTable[[#This Row],[Serial]], ITEquipmentTable[Serial], "&lt;&gt;N/A") &gt; 1</f>
        <v>0</v>
      </c>
      <c r="L144" s="168" t="b">
        <f>COUNTIFS(ITEquipmentTable[Name], ITEquipmentTable[[#This Row],[Name]], ITEquipmentTable[Name], "&lt;&gt;&lt;Unassigned&gt;",  ITEquipmentTable[Name], "&lt;&gt;N/A") &gt; 1</f>
        <v>0</v>
      </c>
      <c r="M144" s="168" t="b">
        <f>AND(COUNTIFS(ITEquipmentTable[IPv4 Address], ITEquipmentTable[[#This Row],[IPv4 Address]]) &gt; 1, ITEquipmentTable[[#This Row],[IPv4 Address]] &lt;&gt; "DHCP",  ITEquipmentTable[[#This Row],[IPv4 Address]] &lt;&gt; "N/A")</f>
        <v>0</v>
      </c>
    </row>
    <row r="145" spans="1:13" x14ac:dyDescent="0.2">
      <c r="A145" s="168">
        <f>IF(LEN(ITSecondTable[[#This Row],[Tag]]) &gt; 0, _xlfn.XLOOKUP(ITSecondTable[[#This Row],[Tag]],StorageTable[Tag], StorageTable[In Storage - Count Total], "Err", 0, 1), 0)</f>
        <v>0</v>
      </c>
      <c r="B145" s="1">
        <f>_xlfn.LET(_xlpm.loc, ITEquipmentTable[Storage Location],
COUNTIFS(ITSecondTable[Tag], ITSecondTable[[#This Row],[Tag]], _xlpm.loc, "&lt;&gt;In Use", _xlpm.loc, "&lt;&gt;",  _xlpm.loc, "&lt;&gt;E-Waste", _xlpm.loc, "&lt;&gt;Virtual",  _xlpm.loc, "&lt;&gt;Assigned to Employee", _xlpm.loc, "&lt;&gt;Decommisioned", _xlpm.loc, "&lt;&gt;Missing")
)</f>
        <v>0</v>
      </c>
      <c r="C145" s="1">
        <f>_xlfn.LET(_xlpm.loc, ITEquipmentTable[Storage Location],
COUNTIFS(ITSecondTable[Tag], ITSecondTable[[#This Row],[Tag]], _xlpm.loc, "&lt;&gt;E-Waste", _xlpm.loc, "&lt;&gt;Virtual", _xlpm.loc, "&lt;&gt;Decommisioned")
)</f>
        <v>78</v>
      </c>
      <c r="D145" s="168">
        <f>_xlfn.LET(_xlpm.loc, ITEquipmentTable[Storage Location],
COUNTIFS(ITSecondTable[Tag], ITSecondTable[[#This Row],[Tag]], _xlpm.loc, "Missing")
)</f>
        <v>0</v>
      </c>
      <c r="E145" s="168">
        <f>_xlfn.LET(_xlpm.loc, ITEquipmentTable[Storage Location],
COUNTIFS(ITSecondTable[Tag], ITSecondTable[[#This Row],[Tag]], _xlpm.loc, "In Use") + COUNTIFS(ITSecondTable[Tag], ITSecondTable[[#This Row],[Tag]], _xlpm.loc, "Assigned to Employee")
)</f>
        <v>44</v>
      </c>
      <c r="F145" s="168">
        <f>_xlfn.LET(_xlpm.loc, ITEquipmentTable[Storage Location],
COUNTIFS(ITSecondTable[Tag], ITSecondTable[[#This Row],[Tag]], _xlpm.loc, "")
)</f>
        <v>34</v>
      </c>
      <c r="G145" s="168">
        <f>MAX(ITSecondTable[[#This Row],[SQty]] - ITSecondTable[[#This Row],[IQty]], 0)</f>
        <v>0</v>
      </c>
      <c r="H145" s="168">
        <f>MAX(ITSecondTable[[#This Row],[IQty]]-ITSecondTable[[#This Row],[SQty]], 0)</f>
        <v>0</v>
      </c>
      <c r="I145" s="151" t="str">
        <f>IFERROR(_xlfn.TEXTJOIN("~", TRUE, ITEquipmentTable[[#This Row],[Type]],ITEquipmentTable[[#This Row],[Brand]],ITEquipmentTable[[#This Row],[Model]]), "")</f>
        <v>Laptop~HP</v>
      </c>
      <c r="J145" s="151" t="b">
        <f xml:space="preserve"> _xlfn.IFNA(MATCH( ITSecondTable[[#This Row],[Tag]], StorageTable[Tag], 0)  &gt; -1, FALSE)</f>
        <v>0</v>
      </c>
      <c r="K145" s="168" t="b">
        <f>COUNTIFS(ITEquipmentTable[Serial], ITEquipmentTable[[#This Row],[Serial]], ITEquipmentTable[Serial], "&lt;&gt;N/A") &gt; 1</f>
        <v>0</v>
      </c>
      <c r="L145" s="168" t="b">
        <f>COUNTIFS(ITEquipmentTable[Name], ITEquipmentTable[[#This Row],[Name]], ITEquipmentTable[Name], "&lt;&gt;&lt;Unassigned&gt;",  ITEquipmentTable[Name], "&lt;&gt;N/A") &gt; 1</f>
        <v>0</v>
      </c>
      <c r="M145" s="168" t="b">
        <f>AND(COUNTIFS(ITEquipmentTable[IPv4 Address], ITEquipmentTable[[#This Row],[IPv4 Address]]) &gt; 1, ITEquipmentTable[[#This Row],[IPv4 Address]] &lt;&gt; "DHCP",  ITEquipmentTable[[#This Row],[IPv4 Address]] &lt;&gt; "N/A")</f>
        <v>0</v>
      </c>
    </row>
    <row r="146" spans="1:13" x14ac:dyDescent="0.2">
      <c r="A146" s="168">
        <f>IF(LEN(ITSecondTable[[#This Row],[Tag]]) &gt; 0, _xlfn.XLOOKUP(ITSecondTable[[#This Row],[Tag]],StorageTable[Tag], StorageTable[In Storage - Count Total], "Err", 0, 1), 0)</f>
        <v>0</v>
      </c>
      <c r="B146" s="1">
        <f>_xlfn.LET(_xlpm.loc, ITEquipmentTable[Storage Location],
COUNTIFS(ITSecondTable[Tag], ITSecondTable[[#This Row],[Tag]], _xlpm.loc, "&lt;&gt;In Use", _xlpm.loc, "&lt;&gt;",  _xlpm.loc, "&lt;&gt;E-Waste", _xlpm.loc, "&lt;&gt;Virtual",  _xlpm.loc, "&lt;&gt;Assigned to Employee", _xlpm.loc, "&lt;&gt;Decommisioned", _xlpm.loc, "&lt;&gt;Missing")
)</f>
        <v>2</v>
      </c>
      <c r="C146" s="1">
        <f>_xlfn.LET(_xlpm.loc, ITEquipmentTable[Storage Location],
COUNTIFS(ITSecondTable[Tag], ITSecondTable[[#This Row],[Tag]], _xlpm.loc, "&lt;&gt;E-Waste", _xlpm.loc, "&lt;&gt;Virtual", _xlpm.loc, "&lt;&gt;Decommisioned")
)</f>
        <v>13</v>
      </c>
      <c r="D146" s="168">
        <f>_xlfn.LET(_xlpm.loc, ITEquipmentTable[Storage Location],
COUNTIFS(ITSecondTable[Tag], ITSecondTable[[#This Row],[Tag]], _xlpm.loc, "Missing")
)</f>
        <v>0</v>
      </c>
      <c r="E146" s="168">
        <f>_xlfn.LET(_xlpm.loc, ITEquipmentTable[Storage Location],
COUNTIFS(ITSecondTable[Tag], ITSecondTable[[#This Row],[Tag]], _xlpm.loc, "In Use") + COUNTIFS(ITSecondTable[Tag], ITSecondTable[[#This Row],[Tag]], _xlpm.loc, "Assigned to Employee")
)</f>
        <v>1</v>
      </c>
      <c r="F146" s="168">
        <f>_xlfn.LET(_xlpm.loc, ITEquipmentTable[Storage Location],
COUNTIFS(ITSecondTable[Tag], ITSecondTable[[#This Row],[Tag]], _xlpm.loc, "")
)</f>
        <v>10</v>
      </c>
      <c r="G146" s="168">
        <f>MAX(ITSecondTable[[#This Row],[SQty]] - ITSecondTable[[#This Row],[IQty]], 0)</f>
        <v>2</v>
      </c>
      <c r="H146" s="168">
        <f>MAX(ITSecondTable[[#This Row],[IQty]]-ITSecondTable[[#This Row],[SQty]], 0)</f>
        <v>0</v>
      </c>
      <c r="I146" s="151" t="str">
        <f>IFERROR(_xlfn.TEXTJOIN("~", TRUE, ITEquipmentTable[[#This Row],[Type]],ITEquipmentTable[[#This Row],[Brand]],ITEquipmentTable[[#This Row],[Model]]), "")</f>
        <v>Laptop~HP~HP ProBook 650 G1</v>
      </c>
      <c r="J146" s="151" t="b">
        <f xml:space="preserve"> _xlfn.IFNA(MATCH( ITSecondTable[[#This Row],[Tag]], StorageTable[Tag], 0)  &gt; -1, FALSE)</f>
        <v>0</v>
      </c>
      <c r="K146" s="168" t="b">
        <f>COUNTIFS(ITEquipmentTable[Serial], ITEquipmentTable[[#This Row],[Serial]], ITEquipmentTable[Serial], "&lt;&gt;N/A") &gt; 1</f>
        <v>0</v>
      </c>
      <c r="L146" s="168" t="b">
        <f>COUNTIFS(ITEquipmentTable[Name], ITEquipmentTable[[#This Row],[Name]], ITEquipmentTable[Name], "&lt;&gt;&lt;Unassigned&gt;",  ITEquipmentTable[Name], "&lt;&gt;N/A") &gt; 1</f>
        <v>0</v>
      </c>
      <c r="M146" s="168" t="b">
        <f>AND(COUNTIFS(ITEquipmentTable[IPv4 Address], ITEquipmentTable[[#This Row],[IPv4 Address]]) &gt; 1, ITEquipmentTable[[#This Row],[IPv4 Address]] &lt;&gt; "DHCP",  ITEquipmentTable[[#This Row],[IPv4 Address]] &lt;&gt; "N/A")</f>
        <v>0</v>
      </c>
    </row>
    <row r="147" spans="1:13" x14ac:dyDescent="0.2">
      <c r="A147" s="168">
        <f>IF(LEN(ITSecondTable[[#This Row],[Tag]]) &gt; 0, _xlfn.XLOOKUP(ITSecondTable[[#This Row],[Tag]],StorageTable[Tag], StorageTable[In Storage - Count Total], "Err", 0, 1), 0)</f>
        <v>0</v>
      </c>
      <c r="B147" s="1">
        <f>_xlfn.LET(_xlpm.loc, ITEquipmentTable[Storage Location],
COUNTIFS(ITSecondTable[Tag], ITSecondTable[[#This Row],[Tag]], _xlpm.loc, "&lt;&gt;In Use", _xlpm.loc, "&lt;&gt;",  _xlpm.loc, "&lt;&gt;E-Waste", _xlpm.loc, "&lt;&gt;Virtual",  _xlpm.loc, "&lt;&gt;Assigned to Employee", _xlpm.loc, "&lt;&gt;Decommisioned", _xlpm.loc, "&lt;&gt;Missing")
)</f>
        <v>0</v>
      </c>
      <c r="C147" s="1">
        <f>_xlfn.LET(_xlpm.loc, ITEquipmentTable[Storage Location],
COUNTIFS(ITSecondTable[Tag], ITSecondTable[[#This Row],[Tag]], _xlpm.loc, "&lt;&gt;E-Waste", _xlpm.loc, "&lt;&gt;Virtual", _xlpm.loc, "&lt;&gt;Decommisioned")
)</f>
        <v>78</v>
      </c>
      <c r="D147" s="168">
        <f>_xlfn.LET(_xlpm.loc, ITEquipmentTable[Storage Location],
COUNTIFS(ITSecondTable[Tag], ITSecondTable[[#This Row],[Tag]], _xlpm.loc, "Missing")
)</f>
        <v>0</v>
      </c>
      <c r="E147" s="168">
        <f>_xlfn.LET(_xlpm.loc, ITEquipmentTable[Storage Location],
COUNTIFS(ITSecondTable[Tag], ITSecondTable[[#This Row],[Tag]], _xlpm.loc, "In Use") + COUNTIFS(ITSecondTable[Tag], ITSecondTable[[#This Row],[Tag]], _xlpm.loc, "Assigned to Employee")
)</f>
        <v>44</v>
      </c>
      <c r="F147" s="168">
        <f>_xlfn.LET(_xlpm.loc, ITEquipmentTable[Storage Location],
COUNTIFS(ITSecondTable[Tag], ITSecondTable[[#This Row],[Tag]], _xlpm.loc, "")
)</f>
        <v>34</v>
      </c>
      <c r="G147" s="168">
        <f>MAX(ITSecondTable[[#This Row],[SQty]] - ITSecondTable[[#This Row],[IQty]], 0)</f>
        <v>0</v>
      </c>
      <c r="H147" s="168">
        <f>MAX(ITSecondTable[[#This Row],[IQty]]-ITSecondTable[[#This Row],[SQty]], 0)</f>
        <v>0</v>
      </c>
      <c r="I147" s="151" t="str">
        <f>IFERROR(_xlfn.TEXTJOIN("~", TRUE, ITEquipmentTable[[#This Row],[Type]],ITEquipmentTable[[#This Row],[Brand]],ITEquipmentTable[[#This Row],[Model]]), "")</f>
        <v>Laptop~HP</v>
      </c>
      <c r="J147" s="151" t="b">
        <f xml:space="preserve"> _xlfn.IFNA(MATCH( ITSecondTable[[#This Row],[Tag]], StorageTable[Tag], 0)  &gt; -1, FALSE)</f>
        <v>0</v>
      </c>
      <c r="K147" s="168" t="b">
        <f>COUNTIFS(ITEquipmentTable[Serial], ITEquipmentTable[[#This Row],[Serial]], ITEquipmentTable[Serial], "&lt;&gt;N/A") &gt; 1</f>
        <v>0</v>
      </c>
      <c r="L147" s="168" t="b">
        <f>COUNTIFS(ITEquipmentTable[Name], ITEquipmentTable[[#This Row],[Name]], ITEquipmentTable[Name], "&lt;&gt;&lt;Unassigned&gt;",  ITEquipmentTable[Name], "&lt;&gt;N/A") &gt; 1</f>
        <v>0</v>
      </c>
      <c r="M147" s="168" t="b">
        <f>AND(COUNTIFS(ITEquipmentTable[IPv4 Address], ITEquipmentTable[[#This Row],[IPv4 Address]]) &gt; 1, ITEquipmentTable[[#This Row],[IPv4 Address]] &lt;&gt; "DHCP",  ITEquipmentTable[[#This Row],[IPv4 Address]] &lt;&gt; "N/A")</f>
        <v>0</v>
      </c>
    </row>
    <row r="148" spans="1:13" x14ac:dyDescent="0.2">
      <c r="A148" s="168">
        <f>IF(LEN(ITSecondTable[[#This Row],[Tag]]) &gt; 0, _xlfn.XLOOKUP(ITSecondTable[[#This Row],[Tag]],StorageTable[Tag], StorageTable[In Storage - Count Total], "Err", 0, 1), 0)</f>
        <v>0</v>
      </c>
      <c r="B148" s="1">
        <f>_xlfn.LET(_xlpm.loc, ITEquipmentTable[Storage Location],
COUNTIFS(ITSecondTable[Tag], ITSecondTable[[#This Row],[Tag]], _xlpm.loc, "&lt;&gt;In Use", _xlpm.loc, "&lt;&gt;",  _xlpm.loc, "&lt;&gt;E-Waste", _xlpm.loc, "&lt;&gt;Virtual",  _xlpm.loc, "&lt;&gt;Assigned to Employee", _xlpm.loc, "&lt;&gt;Decommisioned", _xlpm.loc, "&lt;&gt;Missing")
)</f>
        <v>0</v>
      </c>
      <c r="C148" s="1">
        <f>_xlfn.LET(_xlpm.loc, ITEquipmentTable[Storage Location],
COUNTIFS(ITSecondTable[Tag], ITSecondTable[[#This Row],[Tag]], _xlpm.loc, "&lt;&gt;E-Waste", _xlpm.loc, "&lt;&gt;Virtual", _xlpm.loc, "&lt;&gt;Decommisioned")
)</f>
        <v>78</v>
      </c>
      <c r="D148" s="168">
        <f>_xlfn.LET(_xlpm.loc, ITEquipmentTable[Storage Location],
COUNTIFS(ITSecondTable[Tag], ITSecondTable[[#This Row],[Tag]], _xlpm.loc, "Missing")
)</f>
        <v>0</v>
      </c>
      <c r="E148" s="168">
        <f>_xlfn.LET(_xlpm.loc, ITEquipmentTable[Storage Location],
COUNTIFS(ITSecondTable[Tag], ITSecondTable[[#This Row],[Tag]], _xlpm.loc, "In Use") + COUNTIFS(ITSecondTable[Tag], ITSecondTable[[#This Row],[Tag]], _xlpm.loc, "Assigned to Employee")
)</f>
        <v>44</v>
      </c>
      <c r="F148" s="168">
        <f>_xlfn.LET(_xlpm.loc, ITEquipmentTable[Storage Location],
COUNTIFS(ITSecondTable[Tag], ITSecondTable[[#This Row],[Tag]], _xlpm.loc, "")
)</f>
        <v>34</v>
      </c>
      <c r="G148" s="168">
        <f>MAX(ITSecondTable[[#This Row],[SQty]] - ITSecondTable[[#This Row],[IQty]], 0)</f>
        <v>0</v>
      </c>
      <c r="H148" s="168">
        <f>MAX(ITSecondTable[[#This Row],[IQty]]-ITSecondTable[[#This Row],[SQty]], 0)</f>
        <v>0</v>
      </c>
      <c r="I148" s="151" t="str">
        <f>IFERROR(_xlfn.TEXTJOIN("~", TRUE, ITEquipmentTable[[#This Row],[Type]],ITEquipmentTable[[#This Row],[Brand]],ITEquipmentTable[[#This Row],[Model]]), "")</f>
        <v>Laptop~HP</v>
      </c>
      <c r="J148" s="151" t="b">
        <f xml:space="preserve"> _xlfn.IFNA(MATCH( ITSecondTable[[#This Row],[Tag]], StorageTable[Tag], 0)  &gt; -1, FALSE)</f>
        <v>0</v>
      </c>
      <c r="K148" s="168" t="b">
        <f>COUNTIFS(ITEquipmentTable[Serial], ITEquipmentTable[[#This Row],[Serial]], ITEquipmentTable[Serial], "&lt;&gt;N/A") &gt; 1</f>
        <v>0</v>
      </c>
      <c r="L148" s="168" t="b">
        <f>COUNTIFS(ITEquipmentTable[Name], ITEquipmentTable[[#This Row],[Name]], ITEquipmentTable[Name], "&lt;&gt;&lt;Unassigned&gt;",  ITEquipmentTable[Name], "&lt;&gt;N/A") &gt; 1</f>
        <v>0</v>
      </c>
      <c r="M148" s="168" t="b">
        <f>AND(COUNTIFS(ITEquipmentTable[IPv4 Address], ITEquipmentTable[[#This Row],[IPv4 Address]]) &gt; 1, ITEquipmentTable[[#This Row],[IPv4 Address]] &lt;&gt; "DHCP",  ITEquipmentTable[[#This Row],[IPv4 Address]] &lt;&gt; "N/A")</f>
        <v>0</v>
      </c>
    </row>
    <row r="149" spans="1:13" x14ac:dyDescent="0.2">
      <c r="A149" s="168">
        <f>IF(LEN(ITSecondTable[[#This Row],[Tag]]) &gt; 0, _xlfn.XLOOKUP(ITSecondTable[[#This Row],[Tag]],StorageTable[Tag], StorageTable[In Storage - Count Total], "Err", 0, 1), 0)</f>
        <v>0</v>
      </c>
      <c r="B149" s="1">
        <f>_xlfn.LET(_xlpm.loc, ITEquipmentTable[Storage Location],
COUNTIFS(ITSecondTable[Tag], ITSecondTable[[#This Row],[Tag]], _xlpm.loc, "&lt;&gt;In Use", _xlpm.loc, "&lt;&gt;",  _xlpm.loc, "&lt;&gt;E-Waste", _xlpm.loc, "&lt;&gt;Virtual",  _xlpm.loc, "&lt;&gt;Assigned to Employee", _xlpm.loc, "&lt;&gt;Decommisioned", _xlpm.loc, "&lt;&gt;Missing")
)</f>
        <v>0</v>
      </c>
      <c r="C149" s="1">
        <f>_xlfn.LET(_xlpm.loc, ITEquipmentTable[Storage Location],
COUNTIFS(ITSecondTable[Tag], ITSecondTable[[#This Row],[Tag]], _xlpm.loc, "&lt;&gt;E-Waste", _xlpm.loc, "&lt;&gt;Virtual", _xlpm.loc, "&lt;&gt;Decommisioned")
)</f>
        <v>78</v>
      </c>
      <c r="D149" s="168">
        <f>_xlfn.LET(_xlpm.loc, ITEquipmentTable[Storage Location],
COUNTIFS(ITSecondTable[Tag], ITSecondTable[[#This Row],[Tag]], _xlpm.loc, "Missing")
)</f>
        <v>0</v>
      </c>
      <c r="E149" s="168">
        <f>_xlfn.LET(_xlpm.loc, ITEquipmentTable[Storage Location],
COUNTIFS(ITSecondTable[Tag], ITSecondTable[[#This Row],[Tag]], _xlpm.loc, "In Use") + COUNTIFS(ITSecondTable[Tag], ITSecondTable[[#This Row],[Tag]], _xlpm.loc, "Assigned to Employee")
)</f>
        <v>44</v>
      </c>
      <c r="F149" s="168">
        <f>_xlfn.LET(_xlpm.loc, ITEquipmentTable[Storage Location],
COUNTIFS(ITSecondTable[Tag], ITSecondTable[[#This Row],[Tag]], _xlpm.loc, "")
)</f>
        <v>34</v>
      </c>
      <c r="G149" s="168">
        <f>MAX(ITSecondTable[[#This Row],[SQty]] - ITSecondTable[[#This Row],[IQty]], 0)</f>
        <v>0</v>
      </c>
      <c r="H149" s="168">
        <f>MAX(ITSecondTable[[#This Row],[IQty]]-ITSecondTable[[#This Row],[SQty]], 0)</f>
        <v>0</v>
      </c>
      <c r="I149" s="151" t="str">
        <f>IFERROR(_xlfn.TEXTJOIN("~", TRUE, ITEquipmentTable[[#This Row],[Type]],ITEquipmentTable[[#This Row],[Brand]],ITEquipmentTable[[#This Row],[Model]]), "")</f>
        <v>Laptop~HP</v>
      </c>
      <c r="J149" s="151" t="b">
        <f xml:space="preserve"> _xlfn.IFNA(MATCH( ITSecondTable[[#This Row],[Tag]], StorageTable[Tag], 0)  &gt; -1, FALSE)</f>
        <v>0</v>
      </c>
      <c r="K149" s="168" t="b">
        <f>COUNTIFS(ITEquipmentTable[Serial], ITEquipmentTable[[#This Row],[Serial]], ITEquipmentTable[Serial], "&lt;&gt;N/A") &gt; 1</f>
        <v>0</v>
      </c>
      <c r="L149" s="168" t="b">
        <f>COUNTIFS(ITEquipmentTable[Name], ITEquipmentTable[[#This Row],[Name]], ITEquipmentTable[Name], "&lt;&gt;&lt;Unassigned&gt;",  ITEquipmentTable[Name], "&lt;&gt;N/A") &gt; 1</f>
        <v>0</v>
      </c>
      <c r="M149" s="168" t="b">
        <f>AND(COUNTIFS(ITEquipmentTable[IPv4 Address], ITEquipmentTable[[#This Row],[IPv4 Address]]) &gt; 1, ITEquipmentTable[[#This Row],[IPv4 Address]] &lt;&gt; "DHCP",  ITEquipmentTable[[#This Row],[IPv4 Address]] &lt;&gt; "N/A")</f>
        <v>0</v>
      </c>
    </row>
    <row r="150" spans="1:13" x14ac:dyDescent="0.2">
      <c r="A150" s="168">
        <f>IF(LEN(ITSecondTable[[#This Row],[Tag]]) &gt; 0, _xlfn.XLOOKUP(ITSecondTable[[#This Row],[Tag]],StorageTable[Tag], StorageTable[In Storage - Count Total], "Err", 0, 1), 0)</f>
        <v>0</v>
      </c>
      <c r="B150" s="1">
        <f>_xlfn.LET(_xlpm.loc, ITEquipmentTable[Storage Location],
COUNTIFS(ITSecondTable[Tag], ITSecondTable[[#This Row],[Tag]], _xlpm.loc, "&lt;&gt;In Use", _xlpm.loc, "&lt;&gt;",  _xlpm.loc, "&lt;&gt;E-Waste", _xlpm.loc, "&lt;&gt;Virtual",  _xlpm.loc, "&lt;&gt;Assigned to Employee", _xlpm.loc, "&lt;&gt;Decommisioned", _xlpm.loc, "&lt;&gt;Missing")
)</f>
        <v>2</v>
      </c>
      <c r="C150" s="1">
        <f>_xlfn.LET(_xlpm.loc, ITEquipmentTable[Storage Location],
COUNTIFS(ITSecondTable[Tag], ITSecondTable[[#This Row],[Tag]], _xlpm.loc, "&lt;&gt;E-Waste", _xlpm.loc, "&lt;&gt;Virtual", _xlpm.loc, "&lt;&gt;Decommisioned")
)</f>
        <v>17</v>
      </c>
      <c r="D150" s="168">
        <f>_xlfn.LET(_xlpm.loc, ITEquipmentTable[Storage Location],
COUNTIFS(ITSecondTable[Tag], ITSecondTable[[#This Row],[Tag]], _xlpm.loc, "Missing")
)</f>
        <v>0</v>
      </c>
      <c r="E150" s="168">
        <f>_xlfn.LET(_xlpm.loc, ITEquipmentTable[Storage Location],
COUNTIFS(ITSecondTable[Tag], ITSecondTable[[#This Row],[Tag]], _xlpm.loc, "In Use") + COUNTIFS(ITSecondTable[Tag], ITSecondTable[[#This Row],[Tag]], _xlpm.loc, "Assigned to Employee")
)</f>
        <v>5</v>
      </c>
      <c r="F150" s="168">
        <f>_xlfn.LET(_xlpm.loc, ITEquipmentTable[Storage Location],
COUNTIFS(ITSecondTable[Tag], ITSecondTable[[#This Row],[Tag]], _xlpm.loc, "")
)</f>
        <v>10</v>
      </c>
      <c r="G150" s="168">
        <f>MAX(ITSecondTable[[#This Row],[SQty]] - ITSecondTable[[#This Row],[IQty]], 0)</f>
        <v>2</v>
      </c>
      <c r="H150" s="168">
        <f>MAX(ITSecondTable[[#This Row],[IQty]]-ITSecondTable[[#This Row],[SQty]], 0)</f>
        <v>0</v>
      </c>
      <c r="I150" s="151" t="str">
        <f>IFERROR(_xlfn.TEXTJOIN("~", TRUE, ITEquipmentTable[[#This Row],[Type]],ITEquipmentTable[[#This Row],[Brand]],ITEquipmentTable[[#This Row],[Model]]), "")</f>
        <v>Laptop~HP~HP ProBook 640 G3</v>
      </c>
      <c r="J150" s="151" t="b">
        <f xml:space="preserve"> _xlfn.IFNA(MATCH( ITSecondTable[[#This Row],[Tag]], StorageTable[Tag], 0)  &gt; -1, FALSE)</f>
        <v>0</v>
      </c>
      <c r="K150" s="168" t="b">
        <f>COUNTIFS(ITEquipmentTable[Serial], ITEquipmentTable[[#This Row],[Serial]], ITEquipmentTable[Serial], "&lt;&gt;N/A") &gt; 1</f>
        <v>0</v>
      </c>
      <c r="L150" s="168" t="b">
        <f>COUNTIFS(ITEquipmentTable[Name], ITEquipmentTable[[#This Row],[Name]], ITEquipmentTable[Name], "&lt;&gt;&lt;Unassigned&gt;",  ITEquipmentTable[Name], "&lt;&gt;N/A") &gt; 1</f>
        <v>0</v>
      </c>
      <c r="M150" s="168" t="b">
        <f>AND(COUNTIFS(ITEquipmentTable[IPv4 Address], ITEquipmentTable[[#This Row],[IPv4 Address]]) &gt; 1, ITEquipmentTable[[#This Row],[IPv4 Address]] &lt;&gt; "DHCP",  ITEquipmentTable[[#This Row],[IPv4 Address]] &lt;&gt; "N/A")</f>
        <v>0</v>
      </c>
    </row>
    <row r="151" spans="1:13" x14ac:dyDescent="0.2">
      <c r="A151" s="168">
        <f>IF(LEN(ITSecondTable[[#This Row],[Tag]]) &gt; 0, _xlfn.XLOOKUP(ITSecondTable[[#This Row],[Tag]],StorageTable[Tag], StorageTable[In Storage - Count Total], "Err", 0, 1), 0)</f>
        <v>0</v>
      </c>
      <c r="B151" s="1">
        <f>_xlfn.LET(_xlpm.loc, ITEquipmentTable[Storage Location],
COUNTIFS(ITSecondTable[Tag], ITSecondTable[[#This Row],[Tag]], _xlpm.loc, "&lt;&gt;In Use", _xlpm.loc, "&lt;&gt;",  _xlpm.loc, "&lt;&gt;E-Waste", _xlpm.loc, "&lt;&gt;Virtual",  _xlpm.loc, "&lt;&gt;Assigned to Employee", _xlpm.loc, "&lt;&gt;Decommisioned", _xlpm.loc, "&lt;&gt;Missing")
)</f>
        <v>0</v>
      </c>
      <c r="C151" s="1">
        <f>_xlfn.LET(_xlpm.loc, ITEquipmentTable[Storage Location],
COUNTIFS(ITSecondTable[Tag], ITSecondTable[[#This Row],[Tag]], _xlpm.loc, "&lt;&gt;E-Waste", _xlpm.loc, "&lt;&gt;Virtual", _xlpm.loc, "&lt;&gt;Decommisioned")
)</f>
        <v>78</v>
      </c>
      <c r="D151" s="168">
        <f>_xlfn.LET(_xlpm.loc, ITEquipmentTable[Storage Location],
COUNTIFS(ITSecondTable[Tag], ITSecondTable[[#This Row],[Tag]], _xlpm.loc, "Missing")
)</f>
        <v>0</v>
      </c>
      <c r="E151" s="168">
        <f>_xlfn.LET(_xlpm.loc, ITEquipmentTable[Storage Location],
COUNTIFS(ITSecondTable[Tag], ITSecondTable[[#This Row],[Tag]], _xlpm.loc, "In Use") + COUNTIFS(ITSecondTable[Tag], ITSecondTable[[#This Row],[Tag]], _xlpm.loc, "Assigned to Employee")
)</f>
        <v>44</v>
      </c>
      <c r="F151" s="168">
        <f>_xlfn.LET(_xlpm.loc, ITEquipmentTable[Storage Location],
COUNTIFS(ITSecondTable[Tag], ITSecondTable[[#This Row],[Tag]], _xlpm.loc, "")
)</f>
        <v>34</v>
      </c>
      <c r="G151" s="168">
        <f>MAX(ITSecondTable[[#This Row],[SQty]] - ITSecondTable[[#This Row],[IQty]], 0)</f>
        <v>0</v>
      </c>
      <c r="H151" s="168">
        <f>MAX(ITSecondTable[[#This Row],[IQty]]-ITSecondTable[[#This Row],[SQty]], 0)</f>
        <v>0</v>
      </c>
      <c r="I151" s="151" t="str">
        <f>IFERROR(_xlfn.TEXTJOIN("~", TRUE, ITEquipmentTable[[#This Row],[Type]],ITEquipmentTable[[#This Row],[Brand]],ITEquipmentTable[[#This Row],[Model]]), "")</f>
        <v>Laptop~HP</v>
      </c>
      <c r="J151" s="151" t="b">
        <f xml:space="preserve"> _xlfn.IFNA(MATCH( ITSecondTable[[#This Row],[Tag]], StorageTable[Tag], 0)  &gt; -1, FALSE)</f>
        <v>0</v>
      </c>
      <c r="K151" s="168" t="b">
        <f>COUNTIFS(ITEquipmentTable[Serial], ITEquipmentTable[[#This Row],[Serial]], ITEquipmentTable[Serial], "&lt;&gt;N/A") &gt; 1</f>
        <v>0</v>
      </c>
      <c r="L151" s="168" t="b">
        <f>COUNTIFS(ITEquipmentTable[Name], ITEquipmentTable[[#This Row],[Name]], ITEquipmentTable[Name], "&lt;&gt;&lt;Unassigned&gt;",  ITEquipmentTable[Name], "&lt;&gt;N/A") &gt; 1</f>
        <v>0</v>
      </c>
      <c r="M151" s="168" t="b">
        <f>AND(COUNTIFS(ITEquipmentTable[IPv4 Address], ITEquipmentTable[[#This Row],[IPv4 Address]]) &gt; 1, ITEquipmentTable[[#This Row],[IPv4 Address]] &lt;&gt; "DHCP",  ITEquipmentTable[[#This Row],[IPv4 Address]] &lt;&gt; "N/A")</f>
        <v>0</v>
      </c>
    </row>
    <row r="152" spans="1:13" x14ac:dyDescent="0.2">
      <c r="A152" s="168">
        <f>IF(LEN(ITSecondTable[[#This Row],[Tag]]) &gt; 0, _xlfn.XLOOKUP(ITSecondTable[[#This Row],[Tag]],StorageTable[Tag], StorageTable[In Storage - Count Total], "Err", 0, 1), 0)</f>
        <v>0</v>
      </c>
      <c r="B152" s="1">
        <f>_xlfn.LET(_xlpm.loc, ITEquipmentTable[Storage Location],
COUNTIFS(ITSecondTable[Tag], ITSecondTable[[#This Row],[Tag]], _xlpm.loc, "&lt;&gt;In Use", _xlpm.loc, "&lt;&gt;",  _xlpm.loc, "&lt;&gt;E-Waste", _xlpm.loc, "&lt;&gt;Virtual",  _xlpm.loc, "&lt;&gt;Assigned to Employee", _xlpm.loc, "&lt;&gt;Decommisioned", _xlpm.loc, "&lt;&gt;Missing")
)</f>
        <v>0</v>
      </c>
      <c r="C152" s="1">
        <f>_xlfn.LET(_xlpm.loc, ITEquipmentTable[Storage Location],
COUNTIFS(ITSecondTable[Tag], ITSecondTable[[#This Row],[Tag]], _xlpm.loc, "&lt;&gt;E-Waste", _xlpm.loc, "&lt;&gt;Virtual", _xlpm.loc, "&lt;&gt;Decommisioned")
)</f>
        <v>29</v>
      </c>
      <c r="D152" s="168">
        <f>_xlfn.LET(_xlpm.loc, ITEquipmentTable[Storage Location],
COUNTIFS(ITSecondTable[Tag], ITSecondTable[[#This Row],[Tag]], _xlpm.loc, "Missing")
)</f>
        <v>0</v>
      </c>
      <c r="E152" s="168">
        <f>_xlfn.LET(_xlpm.loc, ITEquipmentTable[Storage Location],
COUNTIFS(ITSecondTable[Tag], ITSecondTable[[#This Row],[Tag]], _xlpm.loc, "In Use") + COUNTIFS(ITSecondTable[Tag], ITSecondTable[[#This Row],[Tag]], _xlpm.loc, "Assigned to Employee")
)</f>
        <v>3</v>
      </c>
      <c r="F152" s="168">
        <f>_xlfn.LET(_xlpm.loc, ITEquipmentTable[Storage Location],
COUNTIFS(ITSecondTable[Tag], ITSecondTable[[#This Row],[Tag]], _xlpm.loc, "")
)</f>
        <v>26</v>
      </c>
      <c r="G152" s="168">
        <f>MAX(ITSecondTable[[#This Row],[SQty]] - ITSecondTable[[#This Row],[IQty]], 0)</f>
        <v>0</v>
      </c>
      <c r="H152" s="168">
        <f>MAX(ITSecondTable[[#This Row],[IQty]]-ITSecondTable[[#This Row],[SQty]], 0)</f>
        <v>0</v>
      </c>
      <c r="I152" s="151" t="str">
        <f>IFERROR(_xlfn.TEXTJOIN("~", TRUE, ITEquipmentTable[[#This Row],[Type]],ITEquipmentTable[[#This Row],[Brand]],ITEquipmentTable[[#This Row],[Model]]), "")</f>
        <v>Laptop~HP~HP ProBook 650 G2</v>
      </c>
      <c r="J152" s="151" t="b">
        <f xml:space="preserve"> _xlfn.IFNA(MATCH( ITSecondTable[[#This Row],[Tag]], StorageTable[Tag], 0)  &gt; -1, FALSE)</f>
        <v>0</v>
      </c>
      <c r="K152" s="168" t="b">
        <f>COUNTIFS(ITEquipmentTable[Serial], ITEquipmentTable[[#This Row],[Serial]], ITEquipmentTable[Serial], "&lt;&gt;N/A") &gt; 1</f>
        <v>0</v>
      </c>
      <c r="L152" s="168" t="b">
        <f>COUNTIFS(ITEquipmentTable[Name], ITEquipmentTable[[#This Row],[Name]], ITEquipmentTable[Name], "&lt;&gt;&lt;Unassigned&gt;",  ITEquipmentTable[Name], "&lt;&gt;N/A") &gt; 1</f>
        <v>0</v>
      </c>
      <c r="M152" s="168" t="b">
        <f>AND(COUNTIFS(ITEquipmentTable[IPv4 Address], ITEquipmentTable[[#This Row],[IPv4 Address]]) &gt; 1, ITEquipmentTable[[#This Row],[IPv4 Address]] &lt;&gt; "DHCP",  ITEquipmentTable[[#This Row],[IPv4 Address]] &lt;&gt; "N/A")</f>
        <v>0</v>
      </c>
    </row>
    <row r="153" spans="1:13" x14ac:dyDescent="0.2">
      <c r="A153" s="168">
        <f>IF(LEN(ITSecondTable[[#This Row],[Tag]]) &gt; 0, _xlfn.XLOOKUP(ITSecondTable[[#This Row],[Tag]],StorageTable[Tag], StorageTable[In Storage - Count Total], "Err", 0, 1), 0)</f>
        <v>0</v>
      </c>
      <c r="B153" s="1">
        <f>_xlfn.LET(_xlpm.loc, ITEquipmentTable[Storage Location],
COUNTIFS(ITSecondTable[Tag], ITSecondTable[[#This Row],[Tag]], _xlpm.loc, "&lt;&gt;In Use", _xlpm.loc, "&lt;&gt;",  _xlpm.loc, "&lt;&gt;E-Waste", _xlpm.loc, "&lt;&gt;Virtual",  _xlpm.loc, "&lt;&gt;Assigned to Employee", _xlpm.loc, "&lt;&gt;Decommisioned", _xlpm.loc, "&lt;&gt;Missing")
)</f>
        <v>0</v>
      </c>
      <c r="C153" s="1">
        <f>_xlfn.LET(_xlpm.loc, ITEquipmentTable[Storage Location],
COUNTIFS(ITSecondTable[Tag], ITSecondTable[[#This Row],[Tag]], _xlpm.loc, "&lt;&gt;E-Waste", _xlpm.loc, "&lt;&gt;Virtual", _xlpm.loc, "&lt;&gt;Decommisioned")
)</f>
        <v>1</v>
      </c>
      <c r="D153" s="168">
        <f>_xlfn.LET(_xlpm.loc, ITEquipmentTable[Storage Location],
COUNTIFS(ITSecondTable[Tag], ITSecondTable[[#This Row],[Tag]], _xlpm.loc, "Missing")
)</f>
        <v>0</v>
      </c>
      <c r="E153" s="168">
        <f>_xlfn.LET(_xlpm.loc, ITEquipmentTable[Storage Location],
COUNTIFS(ITSecondTable[Tag], ITSecondTable[[#This Row],[Tag]], _xlpm.loc, "In Use") + COUNTIFS(ITSecondTable[Tag], ITSecondTable[[#This Row],[Tag]], _xlpm.loc, "Assigned to Employee")
)</f>
        <v>1</v>
      </c>
      <c r="F153" s="168">
        <f>_xlfn.LET(_xlpm.loc, ITEquipmentTable[Storage Location],
COUNTIFS(ITSecondTable[Tag], ITSecondTable[[#This Row],[Tag]], _xlpm.loc, "")
)</f>
        <v>0</v>
      </c>
      <c r="G153" s="168">
        <f>MAX(ITSecondTable[[#This Row],[SQty]] - ITSecondTable[[#This Row],[IQty]], 0)</f>
        <v>0</v>
      </c>
      <c r="H153" s="168">
        <f>MAX(ITSecondTable[[#This Row],[IQty]]-ITSecondTable[[#This Row],[SQty]], 0)</f>
        <v>0</v>
      </c>
      <c r="I153" s="151" t="str">
        <f>IFERROR(_xlfn.TEXTJOIN("~", TRUE, ITEquipmentTable[[#This Row],[Type]],ITEquipmentTable[[#This Row],[Brand]],ITEquipmentTable[[#This Row],[Model]]), "")</f>
        <v>Laptop~HP~HP EliteBook 650 G9</v>
      </c>
      <c r="J153" s="151" t="b">
        <f xml:space="preserve"> _xlfn.IFNA(MATCH( ITSecondTable[[#This Row],[Tag]], StorageTable[Tag], 0)  &gt; -1, FALSE)</f>
        <v>0</v>
      </c>
      <c r="K153" s="168" t="b">
        <f>COUNTIFS(ITEquipmentTable[Serial], ITEquipmentTable[[#This Row],[Serial]], ITEquipmentTable[Serial], "&lt;&gt;N/A") &gt; 1</f>
        <v>0</v>
      </c>
      <c r="L153" s="168" t="b">
        <f>COUNTIFS(ITEquipmentTable[Name], ITEquipmentTable[[#This Row],[Name]], ITEquipmentTable[Name], "&lt;&gt;&lt;Unassigned&gt;",  ITEquipmentTable[Name], "&lt;&gt;N/A") &gt; 1</f>
        <v>0</v>
      </c>
      <c r="M153" s="168" t="b">
        <f>AND(COUNTIFS(ITEquipmentTable[IPv4 Address], ITEquipmentTable[[#This Row],[IPv4 Address]]) &gt; 1, ITEquipmentTable[[#This Row],[IPv4 Address]] &lt;&gt; "DHCP",  ITEquipmentTable[[#This Row],[IPv4 Address]] &lt;&gt; "N/A")</f>
        <v>0</v>
      </c>
    </row>
    <row r="154" spans="1:13" x14ac:dyDescent="0.2">
      <c r="A154" s="168">
        <f>IF(LEN(ITSecondTable[[#This Row],[Tag]]) &gt; 0, _xlfn.XLOOKUP(ITSecondTable[[#This Row],[Tag]],StorageTable[Tag], StorageTable[In Storage - Count Total], "Err", 0, 1), 0)</f>
        <v>0</v>
      </c>
      <c r="B154" s="1">
        <f>_xlfn.LET(_xlpm.loc, ITEquipmentTable[Storage Location],
COUNTIFS(ITSecondTable[Tag], ITSecondTable[[#This Row],[Tag]], _xlpm.loc, "&lt;&gt;In Use", _xlpm.loc, "&lt;&gt;",  _xlpm.loc, "&lt;&gt;E-Waste", _xlpm.loc, "&lt;&gt;Virtual",  _xlpm.loc, "&lt;&gt;Assigned to Employee", _xlpm.loc, "&lt;&gt;Decommisioned", _xlpm.loc, "&lt;&gt;Missing")
)</f>
        <v>2</v>
      </c>
      <c r="C154" s="1">
        <f>_xlfn.LET(_xlpm.loc, ITEquipmentTable[Storage Location],
COUNTIFS(ITSecondTable[Tag], ITSecondTable[[#This Row],[Tag]], _xlpm.loc, "&lt;&gt;E-Waste", _xlpm.loc, "&lt;&gt;Virtual", _xlpm.loc, "&lt;&gt;Decommisioned")
)</f>
        <v>17</v>
      </c>
      <c r="D154" s="168">
        <f>_xlfn.LET(_xlpm.loc, ITEquipmentTable[Storage Location],
COUNTIFS(ITSecondTable[Tag], ITSecondTable[[#This Row],[Tag]], _xlpm.loc, "Missing")
)</f>
        <v>0</v>
      </c>
      <c r="E154" s="168">
        <f>_xlfn.LET(_xlpm.loc, ITEquipmentTable[Storage Location],
COUNTIFS(ITSecondTable[Tag], ITSecondTable[[#This Row],[Tag]], _xlpm.loc, "In Use") + COUNTIFS(ITSecondTable[Tag], ITSecondTable[[#This Row],[Tag]], _xlpm.loc, "Assigned to Employee")
)</f>
        <v>5</v>
      </c>
      <c r="F154" s="168">
        <f>_xlfn.LET(_xlpm.loc, ITEquipmentTable[Storage Location],
COUNTIFS(ITSecondTable[Tag], ITSecondTable[[#This Row],[Tag]], _xlpm.loc, "")
)</f>
        <v>10</v>
      </c>
      <c r="G154" s="168">
        <f>MAX(ITSecondTable[[#This Row],[SQty]] - ITSecondTable[[#This Row],[IQty]], 0)</f>
        <v>2</v>
      </c>
      <c r="H154" s="168">
        <f>MAX(ITSecondTable[[#This Row],[IQty]]-ITSecondTable[[#This Row],[SQty]], 0)</f>
        <v>0</v>
      </c>
      <c r="I154" s="151" t="str">
        <f>IFERROR(_xlfn.TEXTJOIN("~", TRUE, ITEquipmentTable[[#This Row],[Type]],ITEquipmentTable[[#This Row],[Brand]],ITEquipmentTable[[#This Row],[Model]]), "")</f>
        <v>Laptop~HP~HP ProBook 640 G3</v>
      </c>
      <c r="J154" s="151" t="b">
        <f xml:space="preserve"> _xlfn.IFNA(MATCH( ITSecondTable[[#This Row],[Tag]], StorageTable[Tag], 0)  &gt; -1, FALSE)</f>
        <v>0</v>
      </c>
      <c r="K154" s="168" t="b">
        <f>COUNTIFS(ITEquipmentTable[Serial], ITEquipmentTable[[#This Row],[Serial]], ITEquipmentTable[Serial], "&lt;&gt;N/A") &gt; 1</f>
        <v>0</v>
      </c>
      <c r="L154" s="168" t="b">
        <f>COUNTIFS(ITEquipmentTable[Name], ITEquipmentTable[[#This Row],[Name]], ITEquipmentTable[Name], "&lt;&gt;&lt;Unassigned&gt;",  ITEquipmentTable[Name], "&lt;&gt;N/A") &gt; 1</f>
        <v>0</v>
      </c>
      <c r="M154" s="168" t="b">
        <f>AND(COUNTIFS(ITEquipmentTable[IPv4 Address], ITEquipmentTable[[#This Row],[IPv4 Address]]) &gt; 1, ITEquipmentTable[[#This Row],[IPv4 Address]] &lt;&gt; "DHCP",  ITEquipmentTable[[#This Row],[IPv4 Address]] &lt;&gt; "N/A")</f>
        <v>0</v>
      </c>
    </row>
    <row r="155" spans="1:13" x14ac:dyDescent="0.2">
      <c r="A155" s="168">
        <f>IF(LEN(ITSecondTable[[#This Row],[Tag]]) &gt; 0, _xlfn.XLOOKUP(ITSecondTable[[#This Row],[Tag]],StorageTable[Tag], StorageTable[In Storage - Count Total], "Err", 0, 1), 0)</f>
        <v>1</v>
      </c>
      <c r="B155" s="1">
        <f>_xlfn.LET(_xlpm.loc, ITEquipmentTable[Storage Location],
COUNTIFS(ITSecondTable[Tag], ITSecondTable[[#This Row],[Tag]], _xlpm.loc, "&lt;&gt;In Use", _xlpm.loc, "&lt;&gt;",  _xlpm.loc, "&lt;&gt;E-Waste", _xlpm.loc, "&lt;&gt;Virtual",  _xlpm.loc, "&lt;&gt;Assigned to Employee", _xlpm.loc, "&lt;&gt;Decommisioned", _xlpm.loc, "&lt;&gt;Missing")
)</f>
        <v>2</v>
      </c>
      <c r="C155" s="1">
        <f>_xlfn.LET(_xlpm.loc, ITEquipmentTable[Storage Location],
COUNTIFS(ITSecondTable[Tag], ITSecondTable[[#This Row],[Tag]], _xlpm.loc, "&lt;&gt;E-Waste", _xlpm.loc, "&lt;&gt;Virtual", _xlpm.loc, "&lt;&gt;Decommisioned")
)</f>
        <v>7</v>
      </c>
      <c r="D155" s="168">
        <f>_xlfn.LET(_xlpm.loc, ITEquipmentTable[Storage Location],
COUNTIFS(ITSecondTable[Tag], ITSecondTable[[#This Row],[Tag]], _xlpm.loc, "Missing")
)</f>
        <v>0</v>
      </c>
      <c r="E155" s="168">
        <f>_xlfn.LET(_xlpm.loc, ITEquipmentTable[Storage Location],
COUNTIFS(ITSecondTable[Tag], ITSecondTable[[#This Row],[Tag]], _xlpm.loc, "In Use") + COUNTIFS(ITSecondTable[Tag], ITSecondTable[[#This Row],[Tag]], _xlpm.loc, "Assigned to Employee")
)</f>
        <v>0</v>
      </c>
      <c r="F155" s="168">
        <f>_xlfn.LET(_xlpm.loc, ITEquipmentTable[Storage Location],
COUNTIFS(ITSecondTable[Tag], ITSecondTable[[#This Row],[Tag]], _xlpm.loc, "")
)</f>
        <v>5</v>
      </c>
      <c r="G155" s="168">
        <f>MAX(ITSecondTable[[#This Row],[SQty]] - ITSecondTable[[#This Row],[IQty]], 0)</f>
        <v>1</v>
      </c>
      <c r="H155" s="168">
        <f>MAX(ITSecondTable[[#This Row],[IQty]]-ITSecondTable[[#This Row],[SQty]], 0)</f>
        <v>0</v>
      </c>
      <c r="I155" s="151" t="str">
        <f>IFERROR(_xlfn.TEXTJOIN("~", TRUE, ITEquipmentTable[[#This Row],[Type]],ITEquipmentTable[[#This Row],[Brand]],ITEquipmentTable[[#This Row],[Model]]), "")</f>
        <v>Laptop~HP~HP ProBook 640 G2</v>
      </c>
      <c r="J155" s="151" t="b">
        <f xml:space="preserve"> _xlfn.IFNA(MATCH( ITSecondTable[[#This Row],[Tag]], StorageTable[Tag], 0)  &gt; -1, FALSE)</f>
        <v>0</v>
      </c>
      <c r="K155" s="168" t="b">
        <f>COUNTIFS(ITEquipmentTable[Serial], ITEquipmentTable[[#This Row],[Serial]], ITEquipmentTable[Serial], "&lt;&gt;N/A") &gt; 1</f>
        <v>0</v>
      </c>
      <c r="L155" s="168" t="b">
        <f>COUNTIFS(ITEquipmentTable[Name], ITEquipmentTable[[#This Row],[Name]], ITEquipmentTable[Name], "&lt;&gt;&lt;Unassigned&gt;",  ITEquipmentTable[Name], "&lt;&gt;N/A") &gt; 1</f>
        <v>0</v>
      </c>
      <c r="M155" s="168" t="b">
        <f>AND(COUNTIFS(ITEquipmentTable[IPv4 Address], ITEquipmentTable[[#This Row],[IPv4 Address]]) &gt; 1, ITEquipmentTable[[#This Row],[IPv4 Address]] &lt;&gt; "DHCP",  ITEquipmentTable[[#This Row],[IPv4 Address]] &lt;&gt; "N/A")</f>
        <v>0</v>
      </c>
    </row>
    <row r="156" spans="1:13" x14ac:dyDescent="0.2">
      <c r="A156" s="168">
        <f>IF(LEN(ITSecondTable[[#This Row],[Tag]]) &gt; 0, _xlfn.XLOOKUP(ITSecondTable[[#This Row],[Tag]],StorageTable[Tag], StorageTable[In Storage - Count Total], "Err", 0, 1), 0)</f>
        <v>0</v>
      </c>
      <c r="B156" s="1">
        <f>_xlfn.LET(_xlpm.loc, ITEquipmentTable[Storage Location],
COUNTIFS(ITSecondTable[Tag], ITSecondTable[[#This Row],[Tag]], _xlpm.loc, "&lt;&gt;In Use", _xlpm.loc, "&lt;&gt;",  _xlpm.loc, "&lt;&gt;E-Waste", _xlpm.loc, "&lt;&gt;Virtual",  _xlpm.loc, "&lt;&gt;Assigned to Employee", _xlpm.loc, "&lt;&gt;Decommisioned", _xlpm.loc, "&lt;&gt;Missing")
)</f>
        <v>2</v>
      </c>
      <c r="C156" s="1">
        <f>_xlfn.LET(_xlpm.loc, ITEquipmentTable[Storage Location],
COUNTIFS(ITSecondTable[Tag], ITSecondTable[[#This Row],[Tag]], _xlpm.loc, "&lt;&gt;E-Waste", _xlpm.loc, "&lt;&gt;Virtual", _xlpm.loc, "&lt;&gt;Decommisioned")
)</f>
        <v>17</v>
      </c>
      <c r="D156" s="168">
        <f>_xlfn.LET(_xlpm.loc, ITEquipmentTable[Storage Location],
COUNTIFS(ITSecondTable[Tag], ITSecondTable[[#This Row],[Tag]], _xlpm.loc, "Missing")
)</f>
        <v>0</v>
      </c>
      <c r="E156" s="168">
        <f>_xlfn.LET(_xlpm.loc, ITEquipmentTable[Storage Location],
COUNTIFS(ITSecondTable[Tag], ITSecondTable[[#This Row],[Tag]], _xlpm.loc, "In Use") + COUNTIFS(ITSecondTable[Tag], ITSecondTable[[#This Row],[Tag]], _xlpm.loc, "Assigned to Employee")
)</f>
        <v>5</v>
      </c>
      <c r="F156" s="168">
        <f>_xlfn.LET(_xlpm.loc, ITEquipmentTable[Storage Location],
COUNTIFS(ITSecondTable[Tag], ITSecondTable[[#This Row],[Tag]], _xlpm.loc, "")
)</f>
        <v>10</v>
      </c>
      <c r="G156" s="168">
        <f>MAX(ITSecondTable[[#This Row],[SQty]] - ITSecondTable[[#This Row],[IQty]], 0)</f>
        <v>2</v>
      </c>
      <c r="H156" s="168">
        <f>MAX(ITSecondTable[[#This Row],[IQty]]-ITSecondTable[[#This Row],[SQty]], 0)</f>
        <v>0</v>
      </c>
      <c r="I156" s="151" t="str">
        <f>IFERROR(_xlfn.TEXTJOIN("~", TRUE, ITEquipmentTable[[#This Row],[Type]],ITEquipmentTable[[#This Row],[Brand]],ITEquipmentTable[[#This Row],[Model]]), "")</f>
        <v>Laptop~HP~HP ProBook 640 G3</v>
      </c>
      <c r="J156" s="151" t="b">
        <f xml:space="preserve"> _xlfn.IFNA(MATCH( ITSecondTable[[#This Row],[Tag]], StorageTable[Tag], 0)  &gt; -1, FALSE)</f>
        <v>0</v>
      </c>
      <c r="K156" s="168" t="b">
        <f>COUNTIFS(ITEquipmentTable[Serial], ITEquipmentTable[[#This Row],[Serial]], ITEquipmentTable[Serial], "&lt;&gt;N/A") &gt; 1</f>
        <v>0</v>
      </c>
      <c r="L156" s="168" t="b">
        <f>COUNTIFS(ITEquipmentTable[Name], ITEquipmentTable[[#This Row],[Name]], ITEquipmentTable[Name], "&lt;&gt;&lt;Unassigned&gt;",  ITEquipmentTable[Name], "&lt;&gt;N/A") &gt; 1</f>
        <v>0</v>
      </c>
      <c r="M156" s="168" t="b">
        <f>AND(COUNTIFS(ITEquipmentTable[IPv4 Address], ITEquipmentTable[[#This Row],[IPv4 Address]]) &gt; 1, ITEquipmentTable[[#This Row],[IPv4 Address]] &lt;&gt; "DHCP",  ITEquipmentTable[[#This Row],[IPv4 Address]] &lt;&gt; "N/A")</f>
        <v>0</v>
      </c>
    </row>
    <row r="157" spans="1:13" x14ac:dyDescent="0.2">
      <c r="A157" s="168">
        <f>IF(LEN(ITSecondTable[[#This Row],[Tag]]) &gt; 0, _xlfn.XLOOKUP(ITSecondTable[[#This Row],[Tag]],StorageTable[Tag], StorageTable[In Storage - Count Total], "Err", 0, 1), 0)</f>
        <v>0</v>
      </c>
      <c r="B157" s="1">
        <f>_xlfn.LET(_xlpm.loc, ITEquipmentTable[Storage Location],
COUNTIFS(ITSecondTable[Tag], ITSecondTable[[#This Row],[Tag]], _xlpm.loc, "&lt;&gt;In Use", _xlpm.loc, "&lt;&gt;",  _xlpm.loc, "&lt;&gt;E-Waste", _xlpm.loc, "&lt;&gt;Virtual",  _xlpm.loc, "&lt;&gt;Assigned to Employee", _xlpm.loc, "&lt;&gt;Decommisioned", _xlpm.loc, "&lt;&gt;Missing")
)</f>
        <v>0</v>
      </c>
      <c r="C157" s="1">
        <f>_xlfn.LET(_xlpm.loc, ITEquipmentTable[Storage Location],
COUNTIFS(ITSecondTable[Tag], ITSecondTable[[#This Row],[Tag]], _xlpm.loc, "&lt;&gt;E-Waste", _xlpm.loc, "&lt;&gt;Virtual", _xlpm.loc, "&lt;&gt;Decommisioned")
)</f>
        <v>78</v>
      </c>
      <c r="D157" s="168">
        <f>_xlfn.LET(_xlpm.loc, ITEquipmentTable[Storage Location],
COUNTIFS(ITSecondTable[Tag], ITSecondTable[[#This Row],[Tag]], _xlpm.loc, "Missing")
)</f>
        <v>0</v>
      </c>
      <c r="E157" s="168">
        <f>_xlfn.LET(_xlpm.loc, ITEquipmentTable[Storage Location],
COUNTIFS(ITSecondTable[Tag], ITSecondTable[[#This Row],[Tag]], _xlpm.loc, "In Use") + COUNTIFS(ITSecondTable[Tag], ITSecondTable[[#This Row],[Tag]], _xlpm.loc, "Assigned to Employee")
)</f>
        <v>44</v>
      </c>
      <c r="F157" s="168">
        <f>_xlfn.LET(_xlpm.loc, ITEquipmentTable[Storage Location],
COUNTIFS(ITSecondTable[Tag], ITSecondTable[[#This Row],[Tag]], _xlpm.loc, "")
)</f>
        <v>34</v>
      </c>
      <c r="G157" s="168">
        <f>MAX(ITSecondTable[[#This Row],[SQty]] - ITSecondTable[[#This Row],[IQty]], 0)</f>
        <v>0</v>
      </c>
      <c r="H157" s="168">
        <f>MAX(ITSecondTable[[#This Row],[IQty]]-ITSecondTable[[#This Row],[SQty]], 0)</f>
        <v>0</v>
      </c>
      <c r="I157" s="151" t="str">
        <f>IFERROR(_xlfn.TEXTJOIN("~", TRUE, ITEquipmentTable[[#This Row],[Type]],ITEquipmentTable[[#This Row],[Brand]],ITEquipmentTable[[#This Row],[Model]]), "")</f>
        <v>Laptop~HP</v>
      </c>
      <c r="J157" s="151" t="b">
        <f xml:space="preserve"> _xlfn.IFNA(MATCH( ITSecondTable[[#This Row],[Tag]], StorageTable[Tag], 0)  &gt; -1, FALSE)</f>
        <v>0</v>
      </c>
      <c r="K157" s="168" t="b">
        <f>COUNTIFS(ITEquipmentTable[Serial], ITEquipmentTable[[#This Row],[Serial]], ITEquipmentTable[Serial], "&lt;&gt;N/A") &gt; 1</f>
        <v>0</v>
      </c>
      <c r="L157" s="168" t="b">
        <f>COUNTIFS(ITEquipmentTable[Name], ITEquipmentTable[[#This Row],[Name]], ITEquipmentTable[Name], "&lt;&gt;&lt;Unassigned&gt;",  ITEquipmentTable[Name], "&lt;&gt;N/A") &gt; 1</f>
        <v>0</v>
      </c>
      <c r="M157" s="168" t="b">
        <f>AND(COUNTIFS(ITEquipmentTable[IPv4 Address], ITEquipmentTable[[#This Row],[IPv4 Address]]) &gt; 1, ITEquipmentTable[[#This Row],[IPv4 Address]] &lt;&gt; "DHCP",  ITEquipmentTable[[#This Row],[IPv4 Address]] &lt;&gt; "N/A")</f>
        <v>0</v>
      </c>
    </row>
    <row r="158" spans="1:13" x14ac:dyDescent="0.2">
      <c r="A158" s="168">
        <f>IF(LEN(ITSecondTable[[#This Row],[Tag]]) &gt; 0, _xlfn.XLOOKUP(ITSecondTable[[#This Row],[Tag]],StorageTable[Tag], StorageTable[In Storage - Count Total], "Err", 0, 1), 0)</f>
        <v>0</v>
      </c>
      <c r="B158" s="1">
        <f>_xlfn.LET(_xlpm.loc, ITEquipmentTable[Storage Location],
COUNTIFS(ITSecondTable[Tag], ITSecondTable[[#This Row],[Tag]], _xlpm.loc, "&lt;&gt;In Use", _xlpm.loc, "&lt;&gt;",  _xlpm.loc, "&lt;&gt;E-Waste", _xlpm.loc, "&lt;&gt;Virtual",  _xlpm.loc, "&lt;&gt;Assigned to Employee", _xlpm.loc, "&lt;&gt;Decommisioned", _xlpm.loc, "&lt;&gt;Missing")
)</f>
        <v>0</v>
      </c>
      <c r="C158" s="1">
        <f>_xlfn.LET(_xlpm.loc, ITEquipmentTable[Storage Location],
COUNTIFS(ITSecondTable[Tag], ITSecondTable[[#This Row],[Tag]], _xlpm.loc, "&lt;&gt;E-Waste", _xlpm.loc, "&lt;&gt;Virtual", _xlpm.loc, "&lt;&gt;Decommisioned")
)</f>
        <v>29</v>
      </c>
      <c r="D158" s="168">
        <f>_xlfn.LET(_xlpm.loc, ITEquipmentTable[Storage Location],
COUNTIFS(ITSecondTable[Tag], ITSecondTable[[#This Row],[Tag]], _xlpm.loc, "Missing")
)</f>
        <v>0</v>
      </c>
      <c r="E158" s="168">
        <f>_xlfn.LET(_xlpm.loc, ITEquipmentTable[Storage Location],
COUNTIFS(ITSecondTable[Tag], ITSecondTable[[#This Row],[Tag]], _xlpm.loc, "In Use") + COUNTIFS(ITSecondTable[Tag], ITSecondTable[[#This Row],[Tag]], _xlpm.loc, "Assigned to Employee")
)</f>
        <v>3</v>
      </c>
      <c r="F158" s="168">
        <f>_xlfn.LET(_xlpm.loc, ITEquipmentTable[Storage Location],
COUNTIFS(ITSecondTable[Tag], ITSecondTable[[#This Row],[Tag]], _xlpm.loc, "")
)</f>
        <v>26</v>
      </c>
      <c r="G158" s="168">
        <f>MAX(ITSecondTable[[#This Row],[SQty]] - ITSecondTable[[#This Row],[IQty]], 0)</f>
        <v>0</v>
      </c>
      <c r="H158" s="168">
        <f>MAX(ITSecondTable[[#This Row],[IQty]]-ITSecondTable[[#This Row],[SQty]], 0)</f>
        <v>0</v>
      </c>
      <c r="I158" s="151" t="str">
        <f>IFERROR(_xlfn.TEXTJOIN("~", TRUE, ITEquipmentTable[[#This Row],[Type]],ITEquipmentTable[[#This Row],[Brand]],ITEquipmentTable[[#This Row],[Model]]), "")</f>
        <v>Laptop~HP~HP ProBook 650 G2</v>
      </c>
      <c r="J158" s="151" t="b">
        <f xml:space="preserve"> _xlfn.IFNA(MATCH( ITSecondTable[[#This Row],[Tag]], StorageTable[Tag], 0)  &gt; -1, FALSE)</f>
        <v>0</v>
      </c>
      <c r="K158" s="168" t="b">
        <f>COUNTIFS(ITEquipmentTable[Serial], ITEquipmentTable[[#This Row],[Serial]], ITEquipmentTable[Serial], "&lt;&gt;N/A") &gt; 1</f>
        <v>0</v>
      </c>
      <c r="L158" s="168" t="b">
        <f>COUNTIFS(ITEquipmentTable[Name], ITEquipmentTable[[#This Row],[Name]], ITEquipmentTable[Name], "&lt;&gt;&lt;Unassigned&gt;",  ITEquipmentTable[Name], "&lt;&gt;N/A") &gt; 1</f>
        <v>0</v>
      </c>
      <c r="M158" s="168" t="b">
        <f>AND(COUNTIFS(ITEquipmentTable[IPv4 Address], ITEquipmentTable[[#This Row],[IPv4 Address]]) &gt; 1, ITEquipmentTable[[#This Row],[IPv4 Address]] &lt;&gt; "DHCP",  ITEquipmentTable[[#This Row],[IPv4 Address]] &lt;&gt; "N/A")</f>
        <v>0</v>
      </c>
    </row>
    <row r="159" spans="1:13" x14ac:dyDescent="0.2">
      <c r="A159" s="168">
        <f>IF(LEN(ITSecondTable[[#This Row],[Tag]]) &gt; 0, _xlfn.XLOOKUP(ITSecondTable[[#This Row],[Tag]],StorageTable[Tag], StorageTable[In Storage - Count Total], "Err", 0, 1), 0)</f>
        <v>0</v>
      </c>
      <c r="B159" s="1">
        <f>_xlfn.LET(_xlpm.loc, ITEquipmentTable[Storage Location],
COUNTIFS(ITSecondTable[Tag], ITSecondTable[[#This Row],[Tag]], _xlpm.loc, "&lt;&gt;In Use", _xlpm.loc, "&lt;&gt;",  _xlpm.loc, "&lt;&gt;E-Waste", _xlpm.loc, "&lt;&gt;Virtual",  _xlpm.loc, "&lt;&gt;Assigned to Employee", _xlpm.loc, "&lt;&gt;Decommisioned", _xlpm.loc, "&lt;&gt;Missing")
)</f>
        <v>2</v>
      </c>
      <c r="C159" s="1">
        <f>_xlfn.LET(_xlpm.loc, ITEquipmentTable[Storage Location],
COUNTIFS(ITSecondTable[Tag], ITSecondTable[[#This Row],[Tag]], _xlpm.loc, "&lt;&gt;E-Waste", _xlpm.loc, "&lt;&gt;Virtual", _xlpm.loc, "&lt;&gt;Decommisioned")
)</f>
        <v>13</v>
      </c>
      <c r="D159" s="168">
        <f>_xlfn.LET(_xlpm.loc, ITEquipmentTable[Storage Location],
COUNTIFS(ITSecondTable[Tag], ITSecondTable[[#This Row],[Tag]], _xlpm.loc, "Missing")
)</f>
        <v>0</v>
      </c>
      <c r="E159" s="168">
        <f>_xlfn.LET(_xlpm.loc, ITEquipmentTable[Storage Location],
COUNTIFS(ITSecondTable[Tag], ITSecondTable[[#This Row],[Tag]], _xlpm.loc, "In Use") + COUNTIFS(ITSecondTable[Tag], ITSecondTable[[#This Row],[Tag]], _xlpm.loc, "Assigned to Employee")
)</f>
        <v>1</v>
      </c>
      <c r="F159" s="168">
        <f>_xlfn.LET(_xlpm.loc, ITEquipmentTable[Storage Location],
COUNTIFS(ITSecondTable[Tag], ITSecondTable[[#This Row],[Tag]], _xlpm.loc, "")
)</f>
        <v>10</v>
      </c>
      <c r="G159" s="168">
        <f>MAX(ITSecondTable[[#This Row],[SQty]] - ITSecondTable[[#This Row],[IQty]], 0)</f>
        <v>2</v>
      </c>
      <c r="H159" s="168">
        <f>MAX(ITSecondTable[[#This Row],[IQty]]-ITSecondTable[[#This Row],[SQty]], 0)</f>
        <v>0</v>
      </c>
      <c r="I159" s="151" t="str">
        <f>IFERROR(_xlfn.TEXTJOIN("~", TRUE, ITEquipmentTable[[#This Row],[Type]],ITEquipmentTable[[#This Row],[Brand]],ITEquipmentTable[[#This Row],[Model]]), "")</f>
        <v>Laptop~HP~HP ProBook 650 G1</v>
      </c>
      <c r="J159" s="151" t="b">
        <f xml:space="preserve"> _xlfn.IFNA(MATCH( ITSecondTable[[#This Row],[Tag]], StorageTable[Tag], 0)  &gt; -1, FALSE)</f>
        <v>0</v>
      </c>
      <c r="K159" s="168" t="b">
        <f>COUNTIFS(ITEquipmentTable[Serial], ITEquipmentTable[[#This Row],[Serial]], ITEquipmentTable[Serial], "&lt;&gt;N/A") &gt; 1</f>
        <v>0</v>
      </c>
      <c r="L159" s="168" t="b">
        <f>COUNTIFS(ITEquipmentTable[Name], ITEquipmentTable[[#This Row],[Name]], ITEquipmentTable[Name], "&lt;&gt;&lt;Unassigned&gt;",  ITEquipmentTable[Name], "&lt;&gt;N/A") &gt; 1</f>
        <v>0</v>
      </c>
      <c r="M159" s="168" t="b">
        <f>AND(COUNTIFS(ITEquipmentTable[IPv4 Address], ITEquipmentTable[[#This Row],[IPv4 Address]]) &gt; 1, ITEquipmentTable[[#This Row],[IPv4 Address]] &lt;&gt; "DHCP",  ITEquipmentTable[[#This Row],[IPv4 Address]] &lt;&gt; "N/A")</f>
        <v>0</v>
      </c>
    </row>
    <row r="160" spans="1:13" x14ac:dyDescent="0.2">
      <c r="A160" s="168">
        <f>IF(LEN(ITSecondTable[[#This Row],[Tag]]) &gt; 0, _xlfn.XLOOKUP(ITSecondTable[[#This Row],[Tag]],StorageTable[Tag], StorageTable[In Storage - Count Total], "Err", 0, 1), 0)</f>
        <v>0</v>
      </c>
      <c r="B160" s="1">
        <f>_xlfn.LET(_xlpm.loc, ITEquipmentTable[Storage Location],
COUNTIFS(ITSecondTable[Tag], ITSecondTable[[#This Row],[Tag]], _xlpm.loc, "&lt;&gt;In Use", _xlpm.loc, "&lt;&gt;",  _xlpm.loc, "&lt;&gt;E-Waste", _xlpm.loc, "&lt;&gt;Virtual",  _xlpm.loc, "&lt;&gt;Assigned to Employee", _xlpm.loc, "&lt;&gt;Decommisioned", _xlpm.loc, "&lt;&gt;Missing")
)</f>
        <v>0</v>
      </c>
      <c r="C160" s="1">
        <f>_xlfn.LET(_xlpm.loc, ITEquipmentTable[Storage Location],
COUNTIFS(ITSecondTable[Tag], ITSecondTable[[#This Row],[Tag]], _xlpm.loc, "&lt;&gt;E-Waste", _xlpm.loc, "&lt;&gt;Virtual", _xlpm.loc, "&lt;&gt;Decommisioned")
)</f>
        <v>29</v>
      </c>
      <c r="D160" s="168">
        <f>_xlfn.LET(_xlpm.loc, ITEquipmentTable[Storage Location],
COUNTIFS(ITSecondTable[Tag], ITSecondTable[[#This Row],[Tag]], _xlpm.loc, "Missing")
)</f>
        <v>0</v>
      </c>
      <c r="E160" s="168">
        <f>_xlfn.LET(_xlpm.loc, ITEquipmentTable[Storage Location],
COUNTIFS(ITSecondTable[Tag], ITSecondTable[[#This Row],[Tag]], _xlpm.loc, "In Use") + COUNTIFS(ITSecondTable[Tag], ITSecondTable[[#This Row],[Tag]], _xlpm.loc, "Assigned to Employee")
)</f>
        <v>3</v>
      </c>
      <c r="F160" s="168">
        <f>_xlfn.LET(_xlpm.loc, ITEquipmentTable[Storage Location],
COUNTIFS(ITSecondTable[Tag], ITSecondTable[[#This Row],[Tag]], _xlpm.loc, "")
)</f>
        <v>26</v>
      </c>
      <c r="G160" s="168">
        <f>MAX(ITSecondTable[[#This Row],[SQty]] - ITSecondTable[[#This Row],[IQty]], 0)</f>
        <v>0</v>
      </c>
      <c r="H160" s="168">
        <f>MAX(ITSecondTable[[#This Row],[IQty]]-ITSecondTable[[#This Row],[SQty]], 0)</f>
        <v>0</v>
      </c>
      <c r="I160" s="151" t="str">
        <f>IFERROR(_xlfn.TEXTJOIN("~", TRUE, ITEquipmentTable[[#This Row],[Type]],ITEquipmentTable[[#This Row],[Brand]],ITEquipmentTable[[#This Row],[Model]]), "")</f>
        <v>Laptop~HP~HP ProBook 650 G2</v>
      </c>
      <c r="J160" s="151" t="b">
        <f xml:space="preserve"> _xlfn.IFNA(MATCH( ITSecondTable[[#This Row],[Tag]], StorageTable[Tag], 0)  &gt; -1, FALSE)</f>
        <v>0</v>
      </c>
      <c r="K160" s="168" t="b">
        <f>COUNTIFS(ITEquipmentTable[Serial], ITEquipmentTable[[#This Row],[Serial]], ITEquipmentTable[Serial], "&lt;&gt;N/A") &gt; 1</f>
        <v>0</v>
      </c>
      <c r="L160" s="168" t="b">
        <f>COUNTIFS(ITEquipmentTable[Name], ITEquipmentTable[[#This Row],[Name]], ITEquipmentTable[Name], "&lt;&gt;&lt;Unassigned&gt;",  ITEquipmentTable[Name], "&lt;&gt;N/A") &gt; 1</f>
        <v>0</v>
      </c>
      <c r="M160" s="168" t="b">
        <f>AND(COUNTIFS(ITEquipmentTable[IPv4 Address], ITEquipmentTable[[#This Row],[IPv4 Address]]) &gt; 1, ITEquipmentTable[[#This Row],[IPv4 Address]] &lt;&gt; "DHCP",  ITEquipmentTable[[#This Row],[IPv4 Address]] &lt;&gt; "N/A")</f>
        <v>0</v>
      </c>
    </row>
    <row r="161" spans="1:13" x14ac:dyDescent="0.2">
      <c r="A161" s="168">
        <f>IF(LEN(ITSecondTable[[#This Row],[Tag]]) &gt; 0, _xlfn.XLOOKUP(ITSecondTable[[#This Row],[Tag]],StorageTable[Tag], StorageTable[In Storage - Count Total], "Err", 0, 1), 0)</f>
        <v>0</v>
      </c>
      <c r="B161" s="1">
        <f>_xlfn.LET(_xlpm.loc, ITEquipmentTable[Storage Location],
COUNTIFS(ITSecondTable[Tag], ITSecondTable[[#This Row],[Tag]], _xlpm.loc, "&lt;&gt;In Use", _xlpm.loc, "&lt;&gt;",  _xlpm.loc, "&lt;&gt;E-Waste", _xlpm.loc, "&lt;&gt;Virtual",  _xlpm.loc, "&lt;&gt;Assigned to Employee", _xlpm.loc, "&lt;&gt;Decommisioned", _xlpm.loc, "&lt;&gt;Missing")
)</f>
        <v>2</v>
      </c>
      <c r="C161" s="1">
        <f>_xlfn.LET(_xlpm.loc, ITEquipmentTable[Storage Location],
COUNTIFS(ITSecondTable[Tag], ITSecondTable[[#This Row],[Tag]], _xlpm.loc, "&lt;&gt;E-Waste", _xlpm.loc, "&lt;&gt;Virtual", _xlpm.loc, "&lt;&gt;Decommisioned")
)</f>
        <v>17</v>
      </c>
      <c r="D161" s="168">
        <f>_xlfn.LET(_xlpm.loc, ITEquipmentTable[Storage Location],
COUNTIFS(ITSecondTable[Tag], ITSecondTable[[#This Row],[Tag]], _xlpm.loc, "Missing")
)</f>
        <v>0</v>
      </c>
      <c r="E161" s="168">
        <f>_xlfn.LET(_xlpm.loc, ITEquipmentTable[Storage Location],
COUNTIFS(ITSecondTable[Tag], ITSecondTable[[#This Row],[Tag]], _xlpm.loc, "In Use") + COUNTIFS(ITSecondTable[Tag], ITSecondTable[[#This Row],[Tag]], _xlpm.loc, "Assigned to Employee")
)</f>
        <v>5</v>
      </c>
      <c r="F161" s="168">
        <f>_xlfn.LET(_xlpm.loc, ITEquipmentTable[Storage Location],
COUNTIFS(ITSecondTable[Tag], ITSecondTable[[#This Row],[Tag]], _xlpm.loc, "")
)</f>
        <v>10</v>
      </c>
      <c r="G161" s="168">
        <f>MAX(ITSecondTable[[#This Row],[SQty]] - ITSecondTable[[#This Row],[IQty]], 0)</f>
        <v>2</v>
      </c>
      <c r="H161" s="168">
        <f>MAX(ITSecondTable[[#This Row],[IQty]]-ITSecondTable[[#This Row],[SQty]], 0)</f>
        <v>0</v>
      </c>
      <c r="I161" s="151" t="str">
        <f>IFERROR(_xlfn.TEXTJOIN("~", TRUE, ITEquipmentTable[[#This Row],[Type]],ITEquipmentTable[[#This Row],[Brand]],ITEquipmentTable[[#This Row],[Model]]), "")</f>
        <v>Laptop~HP~HP ProBook 640 G3</v>
      </c>
      <c r="J161" s="151" t="b">
        <f xml:space="preserve"> _xlfn.IFNA(MATCH( ITSecondTable[[#This Row],[Tag]], StorageTable[Tag], 0)  &gt; -1, FALSE)</f>
        <v>0</v>
      </c>
      <c r="K161" s="168" t="b">
        <f>COUNTIFS(ITEquipmentTable[Serial], ITEquipmentTable[[#This Row],[Serial]], ITEquipmentTable[Serial], "&lt;&gt;N/A") &gt; 1</f>
        <v>0</v>
      </c>
      <c r="L161" s="168" t="b">
        <f>COUNTIFS(ITEquipmentTable[Name], ITEquipmentTable[[#This Row],[Name]], ITEquipmentTable[Name], "&lt;&gt;&lt;Unassigned&gt;",  ITEquipmentTable[Name], "&lt;&gt;N/A") &gt; 1</f>
        <v>0</v>
      </c>
      <c r="M161" s="168" t="b">
        <f>AND(COUNTIFS(ITEquipmentTable[IPv4 Address], ITEquipmentTable[[#This Row],[IPv4 Address]]) &gt; 1, ITEquipmentTable[[#This Row],[IPv4 Address]] &lt;&gt; "DHCP",  ITEquipmentTable[[#This Row],[IPv4 Address]] &lt;&gt; "N/A")</f>
        <v>0</v>
      </c>
    </row>
    <row r="162" spans="1:13" x14ac:dyDescent="0.2">
      <c r="A162" s="168">
        <f>IF(LEN(ITSecondTable[[#This Row],[Tag]]) &gt; 0, _xlfn.XLOOKUP(ITSecondTable[[#This Row],[Tag]],StorageTable[Tag], StorageTable[In Storage - Count Total], "Err", 0, 1), 0)</f>
        <v>0</v>
      </c>
      <c r="B162" s="1">
        <f>_xlfn.LET(_xlpm.loc, ITEquipmentTable[Storage Location],
COUNTIFS(ITSecondTable[Tag], ITSecondTable[[#This Row],[Tag]], _xlpm.loc, "&lt;&gt;In Use", _xlpm.loc, "&lt;&gt;",  _xlpm.loc, "&lt;&gt;E-Waste", _xlpm.loc, "&lt;&gt;Virtual",  _xlpm.loc, "&lt;&gt;Assigned to Employee", _xlpm.loc, "&lt;&gt;Decommisioned", _xlpm.loc, "&lt;&gt;Missing")
)</f>
        <v>0</v>
      </c>
      <c r="C162" s="1">
        <f>_xlfn.LET(_xlpm.loc, ITEquipmentTable[Storage Location],
COUNTIFS(ITSecondTable[Tag], ITSecondTable[[#This Row],[Tag]], _xlpm.loc, "&lt;&gt;E-Waste", _xlpm.loc, "&lt;&gt;Virtual", _xlpm.loc, "&lt;&gt;Decommisioned")
)</f>
        <v>12</v>
      </c>
      <c r="D162" s="168">
        <f>_xlfn.LET(_xlpm.loc, ITEquipmentTable[Storage Location],
COUNTIFS(ITSecondTable[Tag], ITSecondTable[[#This Row],[Tag]], _xlpm.loc, "Missing")
)</f>
        <v>0</v>
      </c>
      <c r="E162" s="168">
        <f>_xlfn.LET(_xlpm.loc, ITEquipmentTable[Storage Location],
COUNTIFS(ITSecondTable[Tag], ITSecondTable[[#This Row],[Tag]], _xlpm.loc, "In Use") + COUNTIFS(ITSecondTable[Tag], ITSecondTable[[#This Row],[Tag]], _xlpm.loc, "Assigned to Employee")
)</f>
        <v>8</v>
      </c>
      <c r="F162" s="168">
        <f>_xlfn.LET(_xlpm.loc, ITEquipmentTable[Storage Location],
COUNTIFS(ITSecondTable[Tag], ITSecondTable[[#This Row],[Tag]], _xlpm.loc, "")
)</f>
        <v>4</v>
      </c>
      <c r="G162" s="168">
        <f>MAX(ITSecondTable[[#This Row],[SQty]] - ITSecondTable[[#This Row],[IQty]], 0)</f>
        <v>0</v>
      </c>
      <c r="H162" s="168">
        <f>MAX(ITSecondTable[[#This Row],[IQty]]-ITSecondTable[[#This Row],[SQty]], 0)</f>
        <v>0</v>
      </c>
      <c r="I162" s="151" t="str">
        <f>IFERROR(_xlfn.TEXTJOIN("~", TRUE, ITEquipmentTable[[#This Row],[Type]],ITEquipmentTable[[#This Row],[Brand]],ITEquipmentTable[[#This Row],[Model]]), "")</f>
        <v>Tablet~Microsoft~Surface Pro</v>
      </c>
      <c r="J162" s="151" t="b">
        <f xml:space="preserve"> _xlfn.IFNA(MATCH( ITSecondTable[[#This Row],[Tag]], StorageTable[Tag], 0)  &gt; -1, FALSE)</f>
        <v>0</v>
      </c>
      <c r="K162" s="168" t="b">
        <f>COUNTIFS(ITEquipmentTable[Serial], ITEquipmentTable[[#This Row],[Serial]], ITEquipmentTable[Serial], "&lt;&gt;N/A") &gt; 1</f>
        <v>0</v>
      </c>
      <c r="L162" s="168" t="b">
        <f>COUNTIFS(ITEquipmentTable[Name], ITEquipmentTable[[#This Row],[Name]], ITEquipmentTable[Name], "&lt;&gt;&lt;Unassigned&gt;",  ITEquipmentTable[Name], "&lt;&gt;N/A") &gt; 1</f>
        <v>0</v>
      </c>
      <c r="M162" s="168" t="b">
        <f>AND(COUNTIFS(ITEquipmentTable[IPv4 Address], ITEquipmentTable[[#This Row],[IPv4 Address]]) &gt; 1, ITEquipmentTable[[#This Row],[IPv4 Address]] &lt;&gt; "DHCP",  ITEquipmentTable[[#This Row],[IPv4 Address]] &lt;&gt; "N/A")</f>
        <v>0</v>
      </c>
    </row>
    <row r="163" spans="1:13" x14ac:dyDescent="0.2">
      <c r="A163" s="168">
        <f>IF(LEN(ITSecondTable[[#This Row],[Tag]]) &gt; 0, _xlfn.XLOOKUP(ITSecondTable[[#This Row],[Tag]],StorageTable[Tag], StorageTable[In Storage - Count Total], "Err", 0, 1), 0)</f>
        <v>0</v>
      </c>
      <c r="B163" s="1">
        <f>_xlfn.LET(_xlpm.loc, ITEquipmentTable[Storage Location],
COUNTIFS(ITSecondTable[Tag], ITSecondTable[[#This Row],[Tag]], _xlpm.loc, "&lt;&gt;In Use", _xlpm.loc, "&lt;&gt;",  _xlpm.loc, "&lt;&gt;E-Waste", _xlpm.loc, "&lt;&gt;Virtual",  _xlpm.loc, "&lt;&gt;Assigned to Employee", _xlpm.loc, "&lt;&gt;Decommisioned", _xlpm.loc, "&lt;&gt;Missing")
)</f>
        <v>0</v>
      </c>
      <c r="C163" s="1">
        <f>_xlfn.LET(_xlpm.loc, ITEquipmentTable[Storage Location],
COUNTIFS(ITSecondTable[Tag], ITSecondTable[[#This Row],[Tag]], _xlpm.loc, "&lt;&gt;E-Waste", _xlpm.loc, "&lt;&gt;Virtual", _xlpm.loc, "&lt;&gt;Decommisioned")
)</f>
        <v>12</v>
      </c>
      <c r="D163" s="168">
        <f>_xlfn.LET(_xlpm.loc, ITEquipmentTable[Storage Location],
COUNTIFS(ITSecondTable[Tag], ITSecondTable[[#This Row],[Tag]], _xlpm.loc, "Missing")
)</f>
        <v>0</v>
      </c>
      <c r="E163" s="168">
        <f>_xlfn.LET(_xlpm.loc, ITEquipmentTable[Storage Location],
COUNTIFS(ITSecondTable[Tag], ITSecondTable[[#This Row],[Tag]], _xlpm.loc, "In Use") + COUNTIFS(ITSecondTable[Tag], ITSecondTable[[#This Row],[Tag]], _xlpm.loc, "Assigned to Employee")
)</f>
        <v>8</v>
      </c>
      <c r="F163" s="168">
        <f>_xlfn.LET(_xlpm.loc, ITEquipmentTable[Storage Location],
COUNTIFS(ITSecondTable[Tag], ITSecondTable[[#This Row],[Tag]], _xlpm.loc, "")
)</f>
        <v>4</v>
      </c>
      <c r="G163" s="168">
        <f>MAX(ITSecondTable[[#This Row],[SQty]] - ITSecondTable[[#This Row],[IQty]], 0)</f>
        <v>0</v>
      </c>
      <c r="H163" s="168">
        <f>MAX(ITSecondTable[[#This Row],[IQty]]-ITSecondTable[[#This Row],[SQty]], 0)</f>
        <v>0</v>
      </c>
      <c r="I163" s="151" t="str">
        <f>IFERROR(_xlfn.TEXTJOIN("~", TRUE, ITEquipmentTable[[#This Row],[Type]],ITEquipmentTable[[#This Row],[Brand]],ITEquipmentTable[[#This Row],[Model]]), "")</f>
        <v>Tablet~Microsoft~Surface Pro</v>
      </c>
      <c r="J163" s="151" t="b">
        <f xml:space="preserve"> _xlfn.IFNA(MATCH( ITSecondTable[[#This Row],[Tag]], StorageTable[Tag], 0)  &gt; -1, FALSE)</f>
        <v>0</v>
      </c>
      <c r="K163" s="168" t="b">
        <f>COUNTIFS(ITEquipmentTable[Serial], ITEquipmentTable[[#This Row],[Serial]], ITEquipmentTable[Serial], "&lt;&gt;N/A") &gt; 1</f>
        <v>0</v>
      </c>
      <c r="L163" s="168" t="b">
        <f>COUNTIFS(ITEquipmentTable[Name], ITEquipmentTable[[#This Row],[Name]], ITEquipmentTable[Name], "&lt;&gt;&lt;Unassigned&gt;",  ITEquipmentTable[Name], "&lt;&gt;N/A") &gt; 1</f>
        <v>0</v>
      </c>
      <c r="M163" s="168" t="b">
        <f>AND(COUNTIFS(ITEquipmentTable[IPv4 Address], ITEquipmentTable[[#This Row],[IPv4 Address]]) &gt; 1, ITEquipmentTable[[#This Row],[IPv4 Address]] &lt;&gt; "DHCP",  ITEquipmentTable[[#This Row],[IPv4 Address]] &lt;&gt; "N/A")</f>
        <v>0</v>
      </c>
    </row>
    <row r="164" spans="1:13" x14ac:dyDescent="0.2">
      <c r="A164" s="168">
        <f>IF(LEN(ITSecondTable[[#This Row],[Tag]]) &gt; 0, _xlfn.XLOOKUP(ITSecondTable[[#This Row],[Tag]],StorageTable[Tag], StorageTable[In Storage - Count Total], "Err", 0, 1), 0)</f>
        <v>0</v>
      </c>
      <c r="B164" s="1">
        <f>_xlfn.LET(_xlpm.loc, ITEquipmentTable[Storage Location],
COUNTIFS(ITSecondTable[Tag], ITSecondTable[[#This Row],[Tag]], _xlpm.loc, "&lt;&gt;In Use", _xlpm.loc, "&lt;&gt;",  _xlpm.loc, "&lt;&gt;E-Waste", _xlpm.loc, "&lt;&gt;Virtual",  _xlpm.loc, "&lt;&gt;Assigned to Employee", _xlpm.loc, "&lt;&gt;Decommisioned", _xlpm.loc, "&lt;&gt;Missing")
)</f>
        <v>0</v>
      </c>
      <c r="C164" s="1">
        <f>_xlfn.LET(_xlpm.loc, ITEquipmentTable[Storage Location],
COUNTIFS(ITSecondTable[Tag], ITSecondTable[[#This Row],[Tag]], _xlpm.loc, "&lt;&gt;E-Waste", _xlpm.loc, "&lt;&gt;Virtual", _xlpm.loc, "&lt;&gt;Decommisioned")
)</f>
        <v>12</v>
      </c>
      <c r="D164" s="168">
        <f>_xlfn.LET(_xlpm.loc, ITEquipmentTable[Storage Location],
COUNTIFS(ITSecondTable[Tag], ITSecondTable[[#This Row],[Tag]], _xlpm.loc, "Missing")
)</f>
        <v>0</v>
      </c>
      <c r="E164" s="168">
        <f>_xlfn.LET(_xlpm.loc, ITEquipmentTable[Storage Location],
COUNTIFS(ITSecondTable[Tag], ITSecondTable[[#This Row],[Tag]], _xlpm.loc, "In Use") + COUNTIFS(ITSecondTable[Tag], ITSecondTable[[#This Row],[Tag]], _xlpm.loc, "Assigned to Employee")
)</f>
        <v>8</v>
      </c>
      <c r="F164" s="168">
        <f>_xlfn.LET(_xlpm.loc, ITEquipmentTable[Storage Location],
COUNTIFS(ITSecondTable[Tag], ITSecondTable[[#This Row],[Tag]], _xlpm.loc, "")
)</f>
        <v>4</v>
      </c>
      <c r="G164" s="168">
        <f>MAX(ITSecondTable[[#This Row],[SQty]] - ITSecondTable[[#This Row],[IQty]], 0)</f>
        <v>0</v>
      </c>
      <c r="H164" s="168">
        <f>MAX(ITSecondTable[[#This Row],[IQty]]-ITSecondTable[[#This Row],[SQty]], 0)</f>
        <v>0</v>
      </c>
      <c r="I164" s="151" t="str">
        <f>IFERROR(_xlfn.TEXTJOIN("~", TRUE, ITEquipmentTable[[#This Row],[Type]],ITEquipmentTable[[#This Row],[Brand]],ITEquipmentTable[[#This Row],[Model]]), "")</f>
        <v>Tablet~Microsoft~Surface Pro</v>
      </c>
      <c r="J164" s="151" t="b">
        <f xml:space="preserve"> _xlfn.IFNA(MATCH( ITSecondTable[[#This Row],[Tag]], StorageTable[Tag], 0)  &gt; -1, FALSE)</f>
        <v>0</v>
      </c>
      <c r="K164" s="168" t="b">
        <f>COUNTIFS(ITEquipmentTable[Serial], ITEquipmentTable[[#This Row],[Serial]], ITEquipmentTable[Serial], "&lt;&gt;N/A") &gt; 1</f>
        <v>0</v>
      </c>
      <c r="L164" s="168" t="b">
        <f>COUNTIFS(ITEquipmentTable[Name], ITEquipmentTable[[#This Row],[Name]], ITEquipmentTable[Name], "&lt;&gt;&lt;Unassigned&gt;",  ITEquipmentTable[Name], "&lt;&gt;N/A") &gt; 1</f>
        <v>0</v>
      </c>
      <c r="M164" s="168" t="b">
        <f>AND(COUNTIFS(ITEquipmentTable[IPv4 Address], ITEquipmentTable[[#This Row],[IPv4 Address]]) &gt; 1, ITEquipmentTable[[#This Row],[IPv4 Address]] &lt;&gt; "DHCP",  ITEquipmentTable[[#This Row],[IPv4 Address]] &lt;&gt; "N/A")</f>
        <v>0</v>
      </c>
    </row>
    <row r="165" spans="1:13" x14ac:dyDescent="0.2">
      <c r="A165" s="168">
        <f>IF(LEN(ITSecondTable[[#This Row],[Tag]]) &gt; 0, _xlfn.XLOOKUP(ITSecondTable[[#This Row],[Tag]],StorageTable[Tag], StorageTable[In Storage - Count Total], "Err", 0, 1), 0)</f>
        <v>0</v>
      </c>
      <c r="B165" s="1">
        <f>_xlfn.LET(_xlpm.loc, ITEquipmentTable[Storage Location],
COUNTIFS(ITSecondTable[Tag], ITSecondTable[[#This Row],[Tag]], _xlpm.loc, "&lt;&gt;In Use", _xlpm.loc, "&lt;&gt;",  _xlpm.loc, "&lt;&gt;E-Waste", _xlpm.loc, "&lt;&gt;Virtual",  _xlpm.loc, "&lt;&gt;Assigned to Employee", _xlpm.loc, "&lt;&gt;Decommisioned", _xlpm.loc, "&lt;&gt;Missing")
)</f>
        <v>0</v>
      </c>
      <c r="C165" s="1">
        <f>_xlfn.LET(_xlpm.loc, ITEquipmentTable[Storage Location],
COUNTIFS(ITSecondTable[Tag], ITSecondTable[[#This Row],[Tag]], _xlpm.loc, "&lt;&gt;E-Waste", _xlpm.loc, "&lt;&gt;Virtual", _xlpm.loc, "&lt;&gt;Decommisioned")
)</f>
        <v>12</v>
      </c>
      <c r="D165" s="168">
        <f>_xlfn.LET(_xlpm.loc, ITEquipmentTable[Storage Location],
COUNTIFS(ITSecondTable[Tag], ITSecondTable[[#This Row],[Tag]], _xlpm.loc, "Missing")
)</f>
        <v>0</v>
      </c>
      <c r="E165" s="168">
        <f>_xlfn.LET(_xlpm.loc, ITEquipmentTable[Storage Location],
COUNTIFS(ITSecondTable[Tag], ITSecondTable[[#This Row],[Tag]], _xlpm.loc, "In Use") + COUNTIFS(ITSecondTable[Tag], ITSecondTable[[#This Row],[Tag]], _xlpm.loc, "Assigned to Employee")
)</f>
        <v>8</v>
      </c>
      <c r="F165" s="168">
        <f>_xlfn.LET(_xlpm.loc, ITEquipmentTable[Storage Location],
COUNTIFS(ITSecondTable[Tag], ITSecondTable[[#This Row],[Tag]], _xlpm.loc, "")
)</f>
        <v>4</v>
      </c>
      <c r="G165" s="168">
        <f>MAX(ITSecondTable[[#This Row],[SQty]] - ITSecondTable[[#This Row],[IQty]], 0)</f>
        <v>0</v>
      </c>
      <c r="H165" s="168">
        <f>MAX(ITSecondTable[[#This Row],[IQty]]-ITSecondTable[[#This Row],[SQty]], 0)</f>
        <v>0</v>
      </c>
      <c r="I165" s="151" t="str">
        <f>IFERROR(_xlfn.TEXTJOIN("~", TRUE, ITEquipmentTable[[#This Row],[Type]],ITEquipmentTable[[#This Row],[Brand]],ITEquipmentTable[[#This Row],[Model]]), "")</f>
        <v>Tablet~Microsoft~Surface Pro</v>
      </c>
      <c r="J165" s="151" t="b">
        <f xml:space="preserve"> _xlfn.IFNA(MATCH( ITSecondTable[[#This Row],[Tag]], StorageTable[Tag], 0)  &gt; -1, FALSE)</f>
        <v>0</v>
      </c>
      <c r="K165" s="168" t="b">
        <f>COUNTIFS(ITEquipmentTable[Serial], ITEquipmentTable[[#This Row],[Serial]], ITEquipmentTable[Serial], "&lt;&gt;N/A") &gt; 1</f>
        <v>0</v>
      </c>
      <c r="L165" s="168" t="b">
        <f>COUNTIFS(ITEquipmentTable[Name], ITEquipmentTable[[#This Row],[Name]], ITEquipmentTable[Name], "&lt;&gt;&lt;Unassigned&gt;",  ITEquipmentTable[Name], "&lt;&gt;N/A") &gt; 1</f>
        <v>0</v>
      </c>
      <c r="M165" s="168" t="b">
        <f>AND(COUNTIFS(ITEquipmentTable[IPv4 Address], ITEquipmentTable[[#This Row],[IPv4 Address]]) &gt; 1, ITEquipmentTable[[#This Row],[IPv4 Address]] &lt;&gt; "DHCP",  ITEquipmentTable[[#This Row],[IPv4 Address]] &lt;&gt; "N/A")</f>
        <v>0</v>
      </c>
    </row>
    <row r="166" spans="1:13" x14ac:dyDescent="0.2">
      <c r="A166" s="168">
        <f>IF(LEN(ITSecondTable[[#This Row],[Tag]]) &gt; 0, _xlfn.XLOOKUP(ITSecondTable[[#This Row],[Tag]],StorageTable[Tag], StorageTable[In Storage - Count Total], "Err", 0, 1), 0)</f>
        <v>1</v>
      </c>
      <c r="B166" s="1">
        <f>_xlfn.LET(_xlpm.loc, ITEquipmentTable[Storage Location],
COUNTIFS(ITSecondTable[Tag], ITSecondTable[[#This Row],[Tag]], _xlpm.loc, "&lt;&gt;In Use", _xlpm.loc, "&lt;&gt;",  _xlpm.loc, "&lt;&gt;E-Waste", _xlpm.loc, "&lt;&gt;Virtual",  _xlpm.loc, "&lt;&gt;Assigned to Employee", _xlpm.loc, "&lt;&gt;Decommisioned", _xlpm.loc, "&lt;&gt;Missing")
)</f>
        <v>1</v>
      </c>
      <c r="C166" s="1">
        <f>_xlfn.LET(_xlpm.loc, ITEquipmentTable[Storage Location],
COUNTIFS(ITSecondTable[Tag], ITSecondTable[[#This Row],[Tag]], _xlpm.loc, "&lt;&gt;E-Waste", _xlpm.loc, "&lt;&gt;Virtual", _xlpm.loc, "&lt;&gt;Decommisioned")
)</f>
        <v>1</v>
      </c>
      <c r="D166" s="168">
        <f>_xlfn.LET(_xlpm.loc, ITEquipmentTable[Storage Location],
COUNTIFS(ITSecondTable[Tag], ITSecondTable[[#This Row],[Tag]], _xlpm.loc, "Missing")
)</f>
        <v>0</v>
      </c>
      <c r="E166" s="168">
        <f>_xlfn.LET(_xlpm.loc, ITEquipmentTable[Storage Location],
COUNTIFS(ITSecondTable[Tag], ITSecondTable[[#This Row],[Tag]], _xlpm.loc, "In Use") + COUNTIFS(ITSecondTable[Tag], ITSecondTable[[#This Row],[Tag]], _xlpm.loc, "Assigned to Employee")
)</f>
        <v>0</v>
      </c>
      <c r="F166" s="168">
        <f>_xlfn.LET(_xlpm.loc, ITEquipmentTable[Storage Location],
COUNTIFS(ITSecondTable[Tag], ITSecondTable[[#This Row],[Tag]], _xlpm.loc, "")
)</f>
        <v>0</v>
      </c>
      <c r="G166" s="168">
        <f>MAX(ITSecondTable[[#This Row],[SQty]] - ITSecondTable[[#This Row],[IQty]], 0)</f>
        <v>0</v>
      </c>
      <c r="H166" s="168">
        <f>MAX(ITSecondTable[[#This Row],[IQty]]-ITSecondTable[[#This Row],[SQty]], 0)</f>
        <v>0</v>
      </c>
      <c r="I166" s="151" t="str">
        <f>IFERROR(_xlfn.TEXTJOIN("~", TRUE, ITEquipmentTable[[#This Row],[Type]],ITEquipmentTable[[#This Row],[Brand]],ITEquipmentTable[[#This Row],[Model]]), "")</f>
        <v>Tablet~Microsoft~Surface Pro Model 1796</v>
      </c>
      <c r="J166" s="151" t="b">
        <f xml:space="preserve"> _xlfn.IFNA(MATCH( ITSecondTable[[#This Row],[Tag]], StorageTable[Tag], 0)  &gt; -1, FALSE)</f>
        <v>0</v>
      </c>
      <c r="K166" s="168" t="b">
        <f>COUNTIFS(ITEquipmentTable[Serial], ITEquipmentTable[[#This Row],[Serial]], ITEquipmentTable[Serial], "&lt;&gt;N/A") &gt; 1</f>
        <v>0</v>
      </c>
      <c r="L166" s="168" t="b">
        <f>COUNTIFS(ITEquipmentTable[Name], ITEquipmentTable[[#This Row],[Name]], ITEquipmentTable[Name], "&lt;&gt;&lt;Unassigned&gt;",  ITEquipmentTable[Name], "&lt;&gt;N/A") &gt; 1</f>
        <v>0</v>
      </c>
      <c r="M166" s="168" t="b">
        <f>AND(COUNTIFS(ITEquipmentTable[IPv4 Address], ITEquipmentTable[[#This Row],[IPv4 Address]]) &gt; 1, ITEquipmentTable[[#This Row],[IPv4 Address]] &lt;&gt; "DHCP",  ITEquipmentTable[[#This Row],[IPv4 Address]] &lt;&gt; "N/A")</f>
        <v>0</v>
      </c>
    </row>
    <row r="167" spans="1:13" x14ac:dyDescent="0.2">
      <c r="A167" s="168">
        <f>IF(LEN(ITSecondTable[[#This Row],[Tag]]) &gt; 0, _xlfn.XLOOKUP(ITSecondTable[[#This Row],[Tag]],StorageTable[Tag], StorageTable[In Storage - Count Total], "Err", 0, 1), 0)</f>
        <v>0</v>
      </c>
      <c r="B167" s="1">
        <f>_xlfn.LET(_xlpm.loc, ITEquipmentTable[Storage Location],
COUNTIFS(ITSecondTable[Tag], ITSecondTable[[#This Row],[Tag]], _xlpm.loc, "&lt;&gt;In Use", _xlpm.loc, "&lt;&gt;",  _xlpm.loc, "&lt;&gt;E-Waste", _xlpm.loc, "&lt;&gt;Virtual",  _xlpm.loc, "&lt;&gt;Assigned to Employee", _xlpm.loc, "&lt;&gt;Decommisioned", _xlpm.loc, "&lt;&gt;Missing")
)</f>
        <v>0</v>
      </c>
      <c r="C167" s="1">
        <f>_xlfn.LET(_xlpm.loc, ITEquipmentTable[Storage Location],
COUNTIFS(ITSecondTable[Tag], ITSecondTable[[#This Row],[Tag]], _xlpm.loc, "&lt;&gt;E-Waste", _xlpm.loc, "&lt;&gt;Virtual", _xlpm.loc, "&lt;&gt;Decommisioned")
)</f>
        <v>21</v>
      </c>
      <c r="D167" s="168">
        <f>_xlfn.LET(_xlpm.loc, ITEquipmentTable[Storage Location],
COUNTIFS(ITSecondTable[Tag], ITSecondTable[[#This Row],[Tag]], _xlpm.loc, "Missing")
)</f>
        <v>0</v>
      </c>
      <c r="E167" s="168">
        <f>_xlfn.LET(_xlpm.loc, ITEquipmentTable[Storage Location],
COUNTIFS(ITSecondTable[Tag], ITSecondTable[[#This Row],[Tag]], _xlpm.loc, "In Use") + COUNTIFS(ITSecondTable[Tag], ITSecondTable[[#This Row],[Tag]], _xlpm.loc, "Assigned to Employee")
)</f>
        <v>3</v>
      </c>
      <c r="F167" s="168">
        <f>_xlfn.LET(_xlpm.loc, ITEquipmentTable[Storage Location],
COUNTIFS(ITSecondTable[Tag], ITSecondTable[[#This Row],[Tag]], _xlpm.loc, "")
)</f>
        <v>18</v>
      </c>
      <c r="G167" s="168">
        <f>MAX(ITSecondTable[[#This Row],[SQty]] - ITSecondTable[[#This Row],[IQty]], 0)</f>
        <v>0</v>
      </c>
      <c r="H167" s="168">
        <f>MAX(ITSecondTable[[#This Row],[IQty]]-ITSecondTable[[#This Row],[SQty]], 0)</f>
        <v>0</v>
      </c>
      <c r="I167" s="151" t="str">
        <f>IFERROR(_xlfn.TEXTJOIN("~", TRUE, ITEquipmentTable[[#This Row],[Type]],ITEquipmentTable[[#This Row],[Brand]],ITEquipmentTable[[#This Row],[Model]]), "")</f>
        <v/>
      </c>
      <c r="J167" s="151" t="b">
        <f xml:space="preserve"> _xlfn.IFNA(MATCH( ITSecondTable[[#This Row],[Tag]], StorageTable[Tag], 0)  &gt; -1, FALSE)</f>
        <v>0</v>
      </c>
      <c r="K167" s="168" t="b">
        <f>COUNTIFS(ITEquipmentTable[Serial], ITEquipmentTable[[#This Row],[Serial]], ITEquipmentTable[Serial], "&lt;&gt;N/A") &gt; 1</f>
        <v>0</v>
      </c>
      <c r="L167" s="168" t="b">
        <f>COUNTIFS(ITEquipmentTable[Name], ITEquipmentTable[[#This Row],[Name]], ITEquipmentTable[Name], "&lt;&gt;&lt;Unassigned&gt;",  ITEquipmentTable[Name], "&lt;&gt;N/A") &gt; 1</f>
        <v>0</v>
      </c>
      <c r="M167" s="168" t="b">
        <f>AND(COUNTIFS(ITEquipmentTable[IPv4 Address], ITEquipmentTable[[#This Row],[IPv4 Address]]) &gt; 1, ITEquipmentTable[[#This Row],[IPv4 Address]] &lt;&gt; "DHCP",  ITEquipmentTable[[#This Row],[IPv4 Address]] &lt;&gt; "N/A")</f>
        <v>0</v>
      </c>
    </row>
    <row r="168" spans="1:13" x14ac:dyDescent="0.2">
      <c r="A168" s="168">
        <f>IF(LEN(ITSecondTable[[#This Row],[Tag]]) &gt; 0, _xlfn.XLOOKUP(ITSecondTable[[#This Row],[Tag]],StorageTable[Tag], StorageTable[In Storage - Count Total], "Err", 0, 1), 0)</f>
        <v>0</v>
      </c>
      <c r="B168" s="1">
        <f>_xlfn.LET(_xlpm.loc, ITEquipmentTable[Storage Location],
COUNTIFS(ITSecondTable[Tag], ITSecondTable[[#This Row],[Tag]], _xlpm.loc, "&lt;&gt;In Use", _xlpm.loc, "&lt;&gt;",  _xlpm.loc, "&lt;&gt;E-Waste", _xlpm.loc, "&lt;&gt;Virtual",  _xlpm.loc, "&lt;&gt;Assigned to Employee", _xlpm.loc, "&lt;&gt;Decommisioned", _xlpm.loc, "&lt;&gt;Missing")
)</f>
        <v>2</v>
      </c>
      <c r="C168" s="1">
        <f>_xlfn.LET(_xlpm.loc, ITEquipmentTable[Storage Location],
COUNTIFS(ITSecondTable[Tag], ITSecondTable[[#This Row],[Tag]], _xlpm.loc, "&lt;&gt;E-Waste", _xlpm.loc, "&lt;&gt;Virtual", _xlpm.loc, "&lt;&gt;Decommisioned")
)</f>
        <v>17</v>
      </c>
      <c r="D168" s="168">
        <f>_xlfn.LET(_xlpm.loc, ITEquipmentTable[Storage Location],
COUNTIFS(ITSecondTable[Tag], ITSecondTable[[#This Row],[Tag]], _xlpm.loc, "Missing")
)</f>
        <v>0</v>
      </c>
      <c r="E168" s="168">
        <f>_xlfn.LET(_xlpm.loc, ITEquipmentTable[Storage Location],
COUNTIFS(ITSecondTable[Tag], ITSecondTable[[#This Row],[Tag]], _xlpm.loc, "In Use") + COUNTIFS(ITSecondTable[Tag], ITSecondTable[[#This Row],[Tag]], _xlpm.loc, "Assigned to Employee")
)</f>
        <v>5</v>
      </c>
      <c r="F168" s="168">
        <f>_xlfn.LET(_xlpm.loc, ITEquipmentTable[Storage Location],
COUNTIFS(ITSecondTable[Tag], ITSecondTable[[#This Row],[Tag]], _xlpm.loc, "")
)</f>
        <v>10</v>
      </c>
      <c r="G168" s="168">
        <f>MAX(ITSecondTable[[#This Row],[SQty]] - ITSecondTable[[#This Row],[IQty]], 0)</f>
        <v>2</v>
      </c>
      <c r="H168" s="168">
        <f>MAX(ITSecondTable[[#This Row],[IQty]]-ITSecondTable[[#This Row],[SQty]], 0)</f>
        <v>0</v>
      </c>
      <c r="I168" s="151" t="str">
        <f>IFERROR(_xlfn.TEXTJOIN("~", TRUE, ITEquipmentTable[[#This Row],[Type]],ITEquipmentTable[[#This Row],[Brand]],ITEquipmentTable[[#This Row],[Model]]), "")</f>
        <v>Laptop~HP~HP ProBook 640 G3</v>
      </c>
      <c r="J168" s="151" t="b">
        <f xml:space="preserve"> _xlfn.IFNA(MATCH( ITSecondTable[[#This Row],[Tag]], StorageTable[Tag], 0)  &gt; -1, FALSE)</f>
        <v>0</v>
      </c>
      <c r="K168" s="168" t="b">
        <f>COUNTIFS(ITEquipmentTable[Serial], ITEquipmentTable[[#This Row],[Serial]], ITEquipmentTable[Serial], "&lt;&gt;N/A") &gt; 1</f>
        <v>0</v>
      </c>
      <c r="L168" s="168" t="b">
        <f>COUNTIFS(ITEquipmentTable[Name], ITEquipmentTable[[#This Row],[Name]], ITEquipmentTable[Name], "&lt;&gt;&lt;Unassigned&gt;",  ITEquipmentTable[Name], "&lt;&gt;N/A") &gt; 1</f>
        <v>0</v>
      </c>
      <c r="M168" s="168" t="b">
        <f>AND(COUNTIFS(ITEquipmentTable[IPv4 Address], ITEquipmentTable[[#This Row],[IPv4 Address]]) &gt; 1, ITEquipmentTable[[#This Row],[IPv4 Address]] &lt;&gt; "DHCP",  ITEquipmentTable[[#This Row],[IPv4 Address]] &lt;&gt; "N/A")</f>
        <v>0</v>
      </c>
    </row>
    <row r="169" spans="1:13" x14ac:dyDescent="0.2">
      <c r="A169" s="168">
        <f>IF(LEN(ITSecondTable[[#This Row],[Tag]]) &gt; 0, _xlfn.XLOOKUP(ITSecondTable[[#This Row],[Tag]],StorageTable[Tag], StorageTable[In Storage - Count Total], "Err", 0, 1), 0)</f>
        <v>0</v>
      </c>
      <c r="B169" s="1">
        <f>_xlfn.LET(_xlpm.loc, ITEquipmentTable[Storage Location],
COUNTIFS(ITSecondTable[Tag], ITSecondTable[[#This Row],[Tag]], _xlpm.loc, "&lt;&gt;In Use", _xlpm.loc, "&lt;&gt;",  _xlpm.loc, "&lt;&gt;E-Waste", _xlpm.loc, "&lt;&gt;Virtual",  _xlpm.loc, "&lt;&gt;Assigned to Employee", _xlpm.loc, "&lt;&gt;Decommisioned", _xlpm.loc, "&lt;&gt;Missing")
)</f>
        <v>0</v>
      </c>
      <c r="C169" s="1">
        <f>_xlfn.LET(_xlpm.loc, ITEquipmentTable[Storage Location],
COUNTIFS(ITSecondTable[Tag], ITSecondTable[[#This Row],[Tag]], _xlpm.loc, "&lt;&gt;E-Waste", _xlpm.loc, "&lt;&gt;Virtual", _xlpm.loc, "&lt;&gt;Decommisioned")
)</f>
        <v>15</v>
      </c>
      <c r="D169" s="168">
        <f>_xlfn.LET(_xlpm.loc, ITEquipmentTable[Storage Location],
COUNTIFS(ITSecondTable[Tag], ITSecondTable[[#This Row],[Tag]], _xlpm.loc, "Missing")
)</f>
        <v>0</v>
      </c>
      <c r="E169" s="168">
        <f>_xlfn.LET(_xlpm.loc, ITEquipmentTable[Storage Location],
COUNTIFS(ITSecondTable[Tag], ITSecondTable[[#This Row],[Tag]], _xlpm.loc, "In Use") + COUNTIFS(ITSecondTable[Tag], ITSecondTable[[#This Row],[Tag]], _xlpm.loc, "Assigned to Employee")
)</f>
        <v>2</v>
      </c>
      <c r="F169" s="168">
        <f>_xlfn.LET(_xlpm.loc, ITEquipmentTable[Storage Location],
COUNTIFS(ITSecondTable[Tag], ITSecondTable[[#This Row],[Tag]], _xlpm.loc, "")
)</f>
        <v>13</v>
      </c>
      <c r="G169" s="168">
        <f>MAX(ITSecondTable[[#This Row],[SQty]] - ITSecondTable[[#This Row],[IQty]], 0)</f>
        <v>0</v>
      </c>
      <c r="H169" s="168">
        <f>MAX(ITSecondTable[[#This Row],[IQty]]-ITSecondTable[[#This Row],[SQty]], 0)</f>
        <v>0</v>
      </c>
      <c r="I169" s="151" t="str">
        <f>IFERROR(_xlfn.TEXTJOIN("~", TRUE, ITEquipmentTable[[#This Row],[Type]],ITEquipmentTable[[#This Row],[Brand]],ITEquipmentTable[[#This Row],[Model]]), "")</f>
        <v>Tablet</v>
      </c>
      <c r="J169" s="151" t="b">
        <f xml:space="preserve"> _xlfn.IFNA(MATCH( ITSecondTable[[#This Row],[Tag]], StorageTable[Tag], 0)  &gt; -1, FALSE)</f>
        <v>1</v>
      </c>
      <c r="K169" s="168" t="b">
        <f>COUNTIFS(ITEquipmentTable[Serial], ITEquipmentTable[[#This Row],[Serial]], ITEquipmentTable[Serial], "&lt;&gt;N/A") &gt; 1</f>
        <v>0</v>
      </c>
      <c r="L169" s="168" t="b">
        <f>COUNTIFS(ITEquipmentTable[Name], ITEquipmentTable[[#This Row],[Name]], ITEquipmentTable[Name], "&lt;&gt;&lt;Unassigned&gt;",  ITEquipmentTable[Name], "&lt;&gt;N/A") &gt; 1</f>
        <v>0</v>
      </c>
      <c r="M169" s="168" t="b">
        <f>AND(COUNTIFS(ITEquipmentTable[IPv4 Address], ITEquipmentTable[[#This Row],[IPv4 Address]]) &gt; 1, ITEquipmentTable[[#This Row],[IPv4 Address]] &lt;&gt; "DHCP",  ITEquipmentTable[[#This Row],[IPv4 Address]] &lt;&gt; "N/A")</f>
        <v>0</v>
      </c>
    </row>
    <row r="170" spans="1:13" x14ac:dyDescent="0.2">
      <c r="A170" s="168">
        <f>IF(LEN(ITSecondTable[[#This Row],[Tag]]) &gt; 0, _xlfn.XLOOKUP(ITSecondTable[[#This Row],[Tag]],StorageTable[Tag], StorageTable[In Storage - Count Total], "Err", 0, 1), 0)</f>
        <v>0</v>
      </c>
      <c r="B170" s="1">
        <f>_xlfn.LET(_xlpm.loc, ITEquipmentTable[Storage Location],
COUNTIFS(ITSecondTable[Tag], ITSecondTable[[#This Row],[Tag]], _xlpm.loc, "&lt;&gt;In Use", _xlpm.loc, "&lt;&gt;",  _xlpm.loc, "&lt;&gt;E-Waste", _xlpm.loc, "&lt;&gt;Virtual",  _xlpm.loc, "&lt;&gt;Assigned to Employee", _xlpm.loc, "&lt;&gt;Decommisioned", _xlpm.loc, "&lt;&gt;Missing")
)</f>
        <v>0</v>
      </c>
      <c r="C170" s="1">
        <f>_xlfn.LET(_xlpm.loc, ITEquipmentTable[Storage Location],
COUNTIFS(ITSecondTable[Tag], ITSecondTable[[#This Row],[Tag]], _xlpm.loc, "&lt;&gt;E-Waste", _xlpm.loc, "&lt;&gt;Virtual", _xlpm.loc, "&lt;&gt;Decommisioned")
)</f>
        <v>29</v>
      </c>
      <c r="D170" s="168">
        <f>_xlfn.LET(_xlpm.loc, ITEquipmentTable[Storage Location],
COUNTIFS(ITSecondTable[Tag], ITSecondTable[[#This Row],[Tag]], _xlpm.loc, "Missing")
)</f>
        <v>0</v>
      </c>
      <c r="E170" s="168">
        <f>_xlfn.LET(_xlpm.loc, ITEquipmentTable[Storage Location],
COUNTIFS(ITSecondTable[Tag], ITSecondTable[[#This Row],[Tag]], _xlpm.loc, "In Use") + COUNTIFS(ITSecondTable[Tag], ITSecondTable[[#This Row],[Tag]], _xlpm.loc, "Assigned to Employee")
)</f>
        <v>3</v>
      </c>
      <c r="F170" s="168">
        <f>_xlfn.LET(_xlpm.loc, ITEquipmentTable[Storage Location],
COUNTIFS(ITSecondTable[Tag], ITSecondTable[[#This Row],[Tag]], _xlpm.loc, "")
)</f>
        <v>26</v>
      </c>
      <c r="G170" s="168">
        <f>MAX(ITSecondTable[[#This Row],[SQty]] - ITSecondTable[[#This Row],[IQty]], 0)</f>
        <v>0</v>
      </c>
      <c r="H170" s="168">
        <f>MAX(ITSecondTable[[#This Row],[IQty]]-ITSecondTable[[#This Row],[SQty]], 0)</f>
        <v>0</v>
      </c>
      <c r="I170" s="151" t="str">
        <f>IFERROR(_xlfn.TEXTJOIN("~", TRUE, ITEquipmentTable[[#This Row],[Type]],ITEquipmentTable[[#This Row],[Brand]],ITEquipmentTable[[#This Row],[Model]]), "")</f>
        <v>Laptop~HP~HP ProBook 650 G2</v>
      </c>
      <c r="J170" s="151" t="b">
        <f xml:space="preserve"> _xlfn.IFNA(MATCH( ITSecondTable[[#This Row],[Tag]], StorageTable[Tag], 0)  &gt; -1, FALSE)</f>
        <v>0</v>
      </c>
      <c r="K170" s="168" t="b">
        <f>COUNTIFS(ITEquipmentTable[Serial], ITEquipmentTable[[#This Row],[Serial]], ITEquipmentTable[Serial], "&lt;&gt;N/A") &gt; 1</f>
        <v>0</v>
      </c>
      <c r="L170" s="168" t="b">
        <f>COUNTIFS(ITEquipmentTable[Name], ITEquipmentTable[[#This Row],[Name]], ITEquipmentTable[Name], "&lt;&gt;&lt;Unassigned&gt;",  ITEquipmentTable[Name], "&lt;&gt;N/A") &gt; 1</f>
        <v>0</v>
      </c>
      <c r="M170" s="168" t="b">
        <f>AND(COUNTIFS(ITEquipmentTable[IPv4 Address], ITEquipmentTable[[#This Row],[IPv4 Address]]) &gt; 1, ITEquipmentTable[[#This Row],[IPv4 Address]] &lt;&gt; "DHCP",  ITEquipmentTable[[#This Row],[IPv4 Address]] &lt;&gt; "N/A")</f>
        <v>0</v>
      </c>
    </row>
    <row r="171" spans="1:13" x14ac:dyDescent="0.2">
      <c r="A171" s="168">
        <f>IF(LEN(ITSecondTable[[#This Row],[Tag]]) &gt; 0, _xlfn.XLOOKUP(ITSecondTable[[#This Row],[Tag]],StorageTable[Tag], StorageTable[In Storage - Count Total], "Err", 0, 1), 0)</f>
        <v>1</v>
      </c>
      <c r="B171" s="1">
        <f>_xlfn.LET(_xlpm.loc, ITEquipmentTable[Storage Location],
COUNTIFS(ITSecondTable[Tag], ITSecondTable[[#This Row],[Tag]], _xlpm.loc, "&lt;&gt;In Use", _xlpm.loc, "&lt;&gt;",  _xlpm.loc, "&lt;&gt;E-Waste", _xlpm.loc, "&lt;&gt;Virtual",  _xlpm.loc, "&lt;&gt;Assigned to Employee", _xlpm.loc, "&lt;&gt;Decommisioned", _xlpm.loc, "&lt;&gt;Missing")
)</f>
        <v>2</v>
      </c>
      <c r="C171" s="1">
        <f>_xlfn.LET(_xlpm.loc, ITEquipmentTable[Storage Location],
COUNTIFS(ITSecondTable[Tag], ITSecondTable[[#This Row],[Tag]], _xlpm.loc, "&lt;&gt;E-Waste", _xlpm.loc, "&lt;&gt;Virtual", _xlpm.loc, "&lt;&gt;Decommisioned")
)</f>
        <v>7</v>
      </c>
      <c r="D171" s="168">
        <f>_xlfn.LET(_xlpm.loc, ITEquipmentTable[Storage Location],
COUNTIFS(ITSecondTable[Tag], ITSecondTable[[#This Row],[Tag]], _xlpm.loc, "Missing")
)</f>
        <v>0</v>
      </c>
      <c r="E171" s="168">
        <f>_xlfn.LET(_xlpm.loc, ITEquipmentTable[Storage Location],
COUNTIFS(ITSecondTable[Tag], ITSecondTable[[#This Row],[Tag]], _xlpm.loc, "In Use") + COUNTIFS(ITSecondTable[Tag], ITSecondTable[[#This Row],[Tag]], _xlpm.loc, "Assigned to Employee")
)</f>
        <v>0</v>
      </c>
      <c r="F171" s="168">
        <f>_xlfn.LET(_xlpm.loc, ITEquipmentTable[Storage Location],
COUNTIFS(ITSecondTable[Tag], ITSecondTable[[#This Row],[Tag]], _xlpm.loc, "")
)</f>
        <v>5</v>
      </c>
      <c r="G171" s="168">
        <f>MAX(ITSecondTable[[#This Row],[SQty]] - ITSecondTable[[#This Row],[IQty]], 0)</f>
        <v>1</v>
      </c>
      <c r="H171" s="168">
        <f>MAX(ITSecondTable[[#This Row],[IQty]]-ITSecondTable[[#This Row],[SQty]], 0)</f>
        <v>0</v>
      </c>
      <c r="I171" s="151" t="str">
        <f>IFERROR(_xlfn.TEXTJOIN("~", TRUE, ITEquipmentTable[[#This Row],[Type]],ITEquipmentTable[[#This Row],[Brand]],ITEquipmentTable[[#This Row],[Model]]), "")</f>
        <v>Laptop~HP~HP ProBook 640 G2</v>
      </c>
      <c r="J171" s="151" t="b">
        <f xml:space="preserve"> _xlfn.IFNA(MATCH( ITSecondTable[[#This Row],[Tag]], StorageTable[Tag], 0)  &gt; -1, FALSE)</f>
        <v>0</v>
      </c>
      <c r="K171" s="168" t="b">
        <f>COUNTIFS(ITEquipmentTable[Serial], ITEquipmentTable[[#This Row],[Serial]], ITEquipmentTable[Serial], "&lt;&gt;N/A") &gt; 1</f>
        <v>0</v>
      </c>
      <c r="L171" s="168" t="b">
        <f>COUNTIFS(ITEquipmentTable[Name], ITEquipmentTable[[#This Row],[Name]], ITEquipmentTable[Name], "&lt;&gt;&lt;Unassigned&gt;",  ITEquipmentTable[Name], "&lt;&gt;N/A") &gt; 1</f>
        <v>0</v>
      </c>
      <c r="M171" s="168" t="b">
        <f>AND(COUNTIFS(ITEquipmentTable[IPv4 Address], ITEquipmentTable[[#This Row],[IPv4 Address]]) &gt; 1, ITEquipmentTable[[#This Row],[IPv4 Address]] &lt;&gt; "DHCP",  ITEquipmentTable[[#This Row],[IPv4 Address]] &lt;&gt; "N/A")</f>
        <v>0</v>
      </c>
    </row>
    <row r="172" spans="1:13" x14ac:dyDescent="0.2">
      <c r="A172" s="168">
        <f>IF(LEN(ITSecondTable[[#This Row],[Tag]]) &gt; 0, _xlfn.XLOOKUP(ITSecondTable[[#This Row],[Tag]],StorageTable[Tag], StorageTable[In Storage - Count Total], "Err", 0, 1), 0)</f>
        <v>0</v>
      </c>
      <c r="B172" s="1">
        <f>_xlfn.LET(_xlpm.loc, ITEquipmentTable[Storage Location],
COUNTIFS(ITSecondTable[Tag], ITSecondTable[[#This Row],[Tag]], _xlpm.loc, "&lt;&gt;In Use", _xlpm.loc, "&lt;&gt;",  _xlpm.loc, "&lt;&gt;E-Waste", _xlpm.loc, "&lt;&gt;Virtual",  _xlpm.loc, "&lt;&gt;Assigned to Employee", _xlpm.loc, "&lt;&gt;Decommisioned", _xlpm.loc, "&lt;&gt;Missing")
)</f>
        <v>0</v>
      </c>
      <c r="C172" s="1">
        <f>_xlfn.LET(_xlpm.loc, ITEquipmentTable[Storage Location],
COUNTIFS(ITSecondTable[Tag], ITSecondTable[[#This Row],[Tag]], _xlpm.loc, "&lt;&gt;E-Waste", _xlpm.loc, "&lt;&gt;Virtual", _xlpm.loc, "&lt;&gt;Decommisioned")
)</f>
        <v>78</v>
      </c>
      <c r="D172" s="168">
        <f>_xlfn.LET(_xlpm.loc, ITEquipmentTable[Storage Location],
COUNTIFS(ITSecondTable[Tag], ITSecondTable[[#This Row],[Tag]], _xlpm.loc, "Missing")
)</f>
        <v>0</v>
      </c>
      <c r="E172" s="168">
        <f>_xlfn.LET(_xlpm.loc, ITEquipmentTable[Storage Location],
COUNTIFS(ITSecondTable[Tag], ITSecondTable[[#This Row],[Tag]], _xlpm.loc, "In Use") + COUNTIFS(ITSecondTable[Tag], ITSecondTable[[#This Row],[Tag]], _xlpm.loc, "Assigned to Employee")
)</f>
        <v>44</v>
      </c>
      <c r="F172" s="168">
        <f>_xlfn.LET(_xlpm.loc, ITEquipmentTable[Storage Location],
COUNTIFS(ITSecondTable[Tag], ITSecondTable[[#This Row],[Tag]], _xlpm.loc, "")
)</f>
        <v>34</v>
      </c>
      <c r="G172" s="168">
        <f>MAX(ITSecondTable[[#This Row],[SQty]] - ITSecondTable[[#This Row],[IQty]], 0)</f>
        <v>0</v>
      </c>
      <c r="H172" s="168">
        <f>MAX(ITSecondTable[[#This Row],[IQty]]-ITSecondTable[[#This Row],[SQty]], 0)</f>
        <v>0</v>
      </c>
      <c r="I172" s="151" t="str">
        <f>IFERROR(_xlfn.TEXTJOIN("~", TRUE, ITEquipmentTable[[#This Row],[Type]],ITEquipmentTable[[#This Row],[Brand]],ITEquipmentTable[[#This Row],[Model]]), "")</f>
        <v>Laptop~HP</v>
      </c>
      <c r="J172" s="151" t="b">
        <f xml:space="preserve"> _xlfn.IFNA(MATCH( ITSecondTable[[#This Row],[Tag]], StorageTable[Tag], 0)  &gt; -1, FALSE)</f>
        <v>0</v>
      </c>
      <c r="K172" s="168" t="b">
        <f>COUNTIFS(ITEquipmentTable[Serial], ITEquipmentTable[[#This Row],[Serial]], ITEquipmentTable[Serial], "&lt;&gt;N/A") &gt; 1</f>
        <v>0</v>
      </c>
      <c r="L172" s="168" t="b">
        <f>COUNTIFS(ITEquipmentTable[Name], ITEquipmentTable[[#This Row],[Name]], ITEquipmentTable[Name], "&lt;&gt;&lt;Unassigned&gt;",  ITEquipmentTable[Name], "&lt;&gt;N/A") &gt; 1</f>
        <v>0</v>
      </c>
      <c r="M172" s="168" t="b">
        <f>AND(COUNTIFS(ITEquipmentTable[IPv4 Address], ITEquipmentTable[[#This Row],[IPv4 Address]]) &gt; 1, ITEquipmentTable[[#This Row],[IPv4 Address]] &lt;&gt; "DHCP",  ITEquipmentTable[[#This Row],[IPv4 Address]] &lt;&gt; "N/A")</f>
        <v>0</v>
      </c>
    </row>
    <row r="173" spans="1:13" x14ac:dyDescent="0.2">
      <c r="A173" s="168">
        <f>IF(LEN(ITSecondTable[[#This Row],[Tag]]) &gt; 0, _xlfn.XLOOKUP(ITSecondTable[[#This Row],[Tag]],StorageTable[Tag], StorageTable[In Storage - Count Total], "Err", 0, 1), 0)</f>
        <v>0</v>
      </c>
      <c r="B173" s="1">
        <f>_xlfn.LET(_xlpm.loc, ITEquipmentTable[Storage Location],
COUNTIFS(ITSecondTable[Tag], ITSecondTable[[#This Row],[Tag]], _xlpm.loc, "&lt;&gt;In Use", _xlpm.loc, "&lt;&gt;",  _xlpm.loc, "&lt;&gt;E-Waste", _xlpm.loc, "&lt;&gt;Virtual",  _xlpm.loc, "&lt;&gt;Assigned to Employee", _xlpm.loc, "&lt;&gt;Decommisioned", _xlpm.loc, "&lt;&gt;Missing")
)</f>
        <v>0</v>
      </c>
      <c r="C173" s="1">
        <f>_xlfn.LET(_xlpm.loc, ITEquipmentTable[Storage Location],
COUNTIFS(ITSecondTable[Tag], ITSecondTable[[#This Row],[Tag]], _xlpm.loc, "&lt;&gt;E-Waste", _xlpm.loc, "&lt;&gt;Virtual", _xlpm.loc, "&lt;&gt;Decommisioned")
)</f>
        <v>6</v>
      </c>
      <c r="D173" s="168">
        <f>_xlfn.LET(_xlpm.loc, ITEquipmentTable[Storage Location],
COUNTIFS(ITSecondTable[Tag], ITSecondTable[[#This Row],[Tag]], _xlpm.loc, "Missing")
)</f>
        <v>0</v>
      </c>
      <c r="E173" s="168">
        <f>_xlfn.LET(_xlpm.loc, ITEquipmentTable[Storage Location],
COUNTIFS(ITSecondTable[Tag], ITSecondTable[[#This Row],[Tag]], _xlpm.loc, "In Use") + COUNTIFS(ITSecondTable[Tag], ITSecondTable[[#This Row],[Tag]], _xlpm.loc, "Assigned to Employee")
)</f>
        <v>0</v>
      </c>
      <c r="F173" s="168">
        <f>_xlfn.LET(_xlpm.loc, ITEquipmentTable[Storage Location],
COUNTIFS(ITSecondTable[Tag], ITSecondTable[[#This Row],[Tag]], _xlpm.loc, "")
)</f>
        <v>6</v>
      </c>
      <c r="G173" s="168">
        <f>MAX(ITSecondTable[[#This Row],[SQty]] - ITSecondTable[[#This Row],[IQty]], 0)</f>
        <v>0</v>
      </c>
      <c r="H173" s="168">
        <f>MAX(ITSecondTable[[#This Row],[IQty]]-ITSecondTable[[#This Row],[SQty]], 0)</f>
        <v>0</v>
      </c>
      <c r="I173" s="151" t="str">
        <f>IFERROR(_xlfn.TEXTJOIN("~", TRUE, ITEquipmentTable[[#This Row],[Type]],ITEquipmentTable[[#This Row],[Brand]],ITEquipmentTable[[#This Row],[Model]]), "")</f>
        <v>HDMI Stick~Azulle~Access3</v>
      </c>
      <c r="J173" s="151" t="b">
        <f xml:space="preserve"> _xlfn.IFNA(MATCH( ITSecondTable[[#This Row],[Tag]], StorageTable[Tag], 0)  &gt; -1, FALSE)</f>
        <v>0</v>
      </c>
      <c r="K173" s="168" t="b">
        <f>COUNTIFS(ITEquipmentTable[Serial], ITEquipmentTable[[#This Row],[Serial]], ITEquipmentTable[Serial], "&lt;&gt;N/A") &gt; 1</f>
        <v>0</v>
      </c>
      <c r="L173" s="168" t="b">
        <f>COUNTIFS(ITEquipmentTable[Name], ITEquipmentTable[[#This Row],[Name]], ITEquipmentTable[Name], "&lt;&gt;&lt;Unassigned&gt;",  ITEquipmentTable[Name], "&lt;&gt;N/A") &gt; 1</f>
        <v>0</v>
      </c>
      <c r="M173" s="168" t="b">
        <f>AND(COUNTIFS(ITEquipmentTable[IPv4 Address], ITEquipmentTable[[#This Row],[IPv4 Address]]) &gt; 1, ITEquipmentTable[[#This Row],[IPv4 Address]] &lt;&gt; "DHCP",  ITEquipmentTable[[#This Row],[IPv4 Address]] &lt;&gt; "N/A")</f>
        <v>0</v>
      </c>
    </row>
    <row r="174" spans="1:13" x14ac:dyDescent="0.2">
      <c r="A174" s="168">
        <f>IF(LEN(ITSecondTable[[#This Row],[Tag]]) &gt; 0, _xlfn.XLOOKUP(ITSecondTable[[#This Row],[Tag]],StorageTable[Tag], StorageTable[In Storage - Count Total], "Err", 0, 1), 0)</f>
        <v>0</v>
      </c>
      <c r="B174" s="1">
        <f>_xlfn.LET(_xlpm.loc, ITEquipmentTable[Storage Location],
COUNTIFS(ITSecondTable[Tag], ITSecondTable[[#This Row],[Tag]], _xlpm.loc, "&lt;&gt;In Use", _xlpm.loc, "&lt;&gt;",  _xlpm.loc, "&lt;&gt;E-Waste", _xlpm.loc, "&lt;&gt;Virtual",  _xlpm.loc, "&lt;&gt;Assigned to Employee", _xlpm.loc, "&lt;&gt;Decommisioned", _xlpm.loc, "&lt;&gt;Missing")
)</f>
        <v>0</v>
      </c>
      <c r="C174" s="1">
        <f>_xlfn.LET(_xlpm.loc, ITEquipmentTable[Storage Location],
COUNTIFS(ITSecondTable[Tag], ITSecondTable[[#This Row],[Tag]], _xlpm.loc, "&lt;&gt;E-Waste", _xlpm.loc, "&lt;&gt;Virtual", _xlpm.loc, "&lt;&gt;Decommisioned")
)</f>
        <v>6</v>
      </c>
      <c r="D174" s="168">
        <f>_xlfn.LET(_xlpm.loc, ITEquipmentTable[Storage Location],
COUNTIFS(ITSecondTable[Tag], ITSecondTable[[#This Row],[Tag]], _xlpm.loc, "Missing")
)</f>
        <v>0</v>
      </c>
      <c r="E174" s="168">
        <f>_xlfn.LET(_xlpm.loc, ITEquipmentTable[Storage Location],
COUNTIFS(ITSecondTable[Tag], ITSecondTable[[#This Row],[Tag]], _xlpm.loc, "In Use") + COUNTIFS(ITSecondTable[Tag], ITSecondTable[[#This Row],[Tag]], _xlpm.loc, "Assigned to Employee")
)</f>
        <v>0</v>
      </c>
      <c r="F174" s="168">
        <f>_xlfn.LET(_xlpm.loc, ITEquipmentTable[Storage Location],
COUNTIFS(ITSecondTable[Tag], ITSecondTable[[#This Row],[Tag]], _xlpm.loc, "")
)</f>
        <v>6</v>
      </c>
      <c r="G174" s="168">
        <f>MAX(ITSecondTable[[#This Row],[SQty]] - ITSecondTable[[#This Row],[IQty]], 0)</f>
        <v>0</v>
      </c>
      <c r="H174" s="168">
        <f>MAX(ITSecondTable[[#This Row],[IQty]]-ITSecondTable[[#This Row],[SQty]], 0)</f>
        <v>0</v>
      </c>
      <c r="I174" s="151" t="str">
        <f>IFERROR(_xlfn.TEXTJOIN("~", TRUE, ITEquipmentTable[[#This Row],[Type]],ITEquipmentTable[[#This Row],[Brand]],ITEquipmentTable[[#This Row],[Model]]), "")</f>
        <v>HDMI Stick~Azulle~Access3</v>
      </c>
      <c r="J174" s="151" t="b">
        <f xml:space="preserve"> _xlfn.IFNA(MATCH( ITSecondTable[[#This Row],[Tag]], StorageTable[Tag], 0)  &gt; -1, FALSE)</f>
        <v>0</v>
      </c>
      <c r="K174" s="168" t="b">
        <f>COUNTIFS(ITEquipmentTable[Serial], ITEquipmentTable[[#This Row],[Serial]], ITEquipmentTable[Serial], "&lt;&gt;N/A") &gt; 1</f>
        <v>0</v>
      </c>
      <c r="L174" s="168" t="b">
        <f>COUNTIFS(ITEquipmentTable[Name], ITEquipmentTable[[#This Row],[Name]], ITEquipmentTable[Name], "&lt;&gt;&lt;Unassigned&gt;",  ITEquipmentTable[Name], "&lt;&gt;N/A") &gt; 1</f>
        <v>0</v>
      </c>
      <c r="M174" s="168" t="b">
        <f>AND(COUNTIFS(ITEquipmentTable[IPv4 Address], ITEquipmentTable[[#This Row],[IPv4 Address]]) &gt; 1, ITEquipmentTable[[#This Row],[IPv4 Address]] &lt;&gt; "DHCP",  ITEquipmentTable[[#This Row],[IPv4 Address]] &lt;&gt; "N/A")</f>
        <v>0</v>
      </c>
    </row>
    <row r="175" spans="1:13" x14ac:dyDescent="0.2">
      <c r="A175" s="168">
        <f>IF(LEN(ITSecondTable[[#This Row],[Tag]]) &gt; 0, _xlfn.XLOOKUP(ITSecondTable[[#This Row],[Tag]],StorageTable[Tag], StorageTable[In Storage - Count Total], "Err", 0, 1), 0)</f>
        <v>0</v>
      </c>
      <c r="B175" s="1">
        <f>_xlfn.LET(_xlpm.loc, ITEquipmentTable[Storage Location],
COUNTIFS(ITSecondTable[Tag], ITSecondTable[[#This Row],[Tag]], _xlpm.loc, "&lt;&gt;In Use", _xlpm.loc, "&lt;&gt;",  _xlpm.loc, "&lt;&gt;E-Waste", _xlpm.loc, "&lt;&gt;Virtual",  _xlpm.loc, "&lt;&gt;Assigned to Employee", _xlpm.loc, "&lt;&gt;Decommisioned", _xlpm.loc, "&lt;&gt;Missing")
)</f>
        <v>0</v>
      </c>
      <c r="C175" s="1">
        <f>_xlfn.LET(_xlpm.loc, ITEquipmentTable[Storage Location],
COUNTIFS(ITSecondTable[Tag], ITSecondTable[[#This Row],[Tag]], _xlpm.loc, "&lt;&gt;E-Waste", _xlpm.loc, "&lt;&gt;Virtual", _xlpm.loc, "&lt;&gt;Decommisioned")
)</f>
        <v>2</v>
      </c>
      <c r="D175" s="168">
        <f>_xlfn.LET(_xlpm.loc, ITEquipmentTable[Storage Location],
COUNTIFS(ITSecondTable[Tag], ITSecondTable[[#This Row],[Tag]], _xlpm.loc, "Missing")
)</f>
        <v>0</v>
      </c>
      <c r="E175" s="168">
        <f>_xlfn.LET(_xlpm.loc, ITEquipmentTable[Storage Location],
COUNTIFS(ITSecondTable[Tag], ITSecondTable[[#This Row],[Tag]], _xlpm.loc, "In Use") + COUNTIFS(ITSecondTable[Tag], ITSecondTable[[#This Row],[Tag]], _xlpm.loc, "Assigned to Employee")
)</f>
        <v>1</v>
      </c>
      <c r="F175" s="168">
        <f>_xlfn.LET(_xlpm.loc, ITEquipmentTable[Storage Location],
COUNTIFS(ITSecondTable[Tag], ITSecondTable[[#This Row],[Tag]], _xlpm.loc, "")
)</f>
        <v>1</v>
      </c>
      <c r="G175" s="168">
        <f>MAX(ITSecondTable[[#This Row],[SQty]] - ITSecondTable[[#This Row],[IQty]], 0)</f>
        <v>0</v>
      </c>
      <c r="H175" s="168">
        <f>MAX(ITSecondTable[[#This Row],[IQty]]-ITSecondTable[[#This Row],[SQty]], 0)</f>
        <v>0</v>
      </c>
      <c r="I175" s="151" t="str">
        <f>IFERROR(_xlfn.TEXTJOIN("~", TRUE, ITEquipmentTable[[#This Row],[Type]],ITEquipmentTable[[#This Row],[Brand]],ITEquipmentTable[[#This Row],[Model]]), "")</f>
        <v>HDMI Stick~Azulle~A-1164-AA3-4</v>
      </c>
      <c r="J175" s="151" t="b">
        <f xml:space="preserve"> _xlfn.IFNA(MATCH( ITSecondTable[[#This Row],[Tag]], StorageTable[Tag], 0)  &gt; -1, FALSE)</f>
        <v>0</v>
      </c>
      <c r="K175" s="168" t="b">
        <f>COUNTIFS(ITEquipmentTable[Serial], ITEquipmentTable[[#This Row],[Serial]], ITEquipmentTable[Serial], "&lt;&gt;N/A") &gt; 1</f>
        <v>0</v>
      </c>
      <c r="L175" s="168" t="b">
        <f>COUNTIFS(ITEquipmentTable[Name], ITEquipmentTable[[#This Row],[Name]], ITEquipmentTable[Name], "&lt;&gt;&lt;Unassigned&gt;",  ITEquipmentTable[Name], "&lt;&gt;N/A") &gt; 1</f>
        <v>0</v>
      </c>
      <c r="M175" s="168" t="b">
        <f>AND(COUNTIFS(ITEquipmentTable[IPv4 Address], ITEquipmentTable[[#This Row],[IPv4 Address]]) &gt; 1, ITEquipmentTable[[#This Row],[IPv4 Address]] &lt;&gt; "DHCP",  ITEquipmentTable[[#This Row],[IPv4 Address]] &lt;&gt; "N/A")</f>
        <v>0</v>
      </c>
    </row>
    <row r="176" spans="1:13" x14ac:dyDescent="0.2">
      <c r="A176" s="168">
        <f>IF(LEN(ITSecondTable[[#This Row],[Tag]]) &gt; 0, _xlfn.XLOOKUP(ITSecondTable[[#This Row],[Tag]],StorageTable[Tag], StorageTable[In Storage - Count Total], "Err", 0, 1), 0)</f>
        <v>0</v>
      </c>
      <c r="B176" s="1">
        <f>_xlfn.LET(_xlpm.loc, ITEquipmentTable[Storage Location],
COUNTIFS(ITSecondTable[Tag], ITSecondTable[[#This Row],[Tag]], _xlpm.loc, "&lt;&gt;In Use", _xlpm.loc, "&lt;&gt;",  _xlpm.loc, "&lt;&gt;E-Waste", _xlpm.loc, "&lt;&gt;Virtual",  _xlpm.loc, "&lt;&gt;Assigned to Employee", _xlpm.loc, "&lt;&gt;Decommisioned", _xlpm.loc, "&lt;&gt;Missing")
)</f>
        <v>0</v>
      </c>
      <c r="C176" s="1">
        <f>_xlfn.LET(_xlpm.loc, ITEquipmentTable[Storage Location],
COUNTIFS(ITSecondTable[Tag], ITSecondTable[[#This Row],[Tag]], _xlpm.loc, "&lt;&gt;E-Waste", _xlpm.loc, "&lt;&gt;Virtual", _xlpm.loc, "&lt;&gt;Decommisioned")
)</f>
        <v>6</v>
      </c>
      <c r="D176" s="168">
        <f>_xlfn.LET(_xlpm.loc, ITEquipmentTable[Storage Location],
COUNTIFS(ITSecondTable[Tag], ITSecondTable[[#This Row],[Tag]], _xlpm.loc, "Missing")
)</f>
        <v>0</v>
      </c>
      <c r="E176" s="168">
        <f>_xlfn.LET(_xlpm.loc, ITEquipmentTable[Storage Location],
COUNTIFS(ITSecondTable[Tag], ITSecondTable[[#This Row],[Tag]], _xlpm.loc, "In Use") + COUNTIFS(ITSecondTable[Tag], ITSecondTable[[#This Row],[Tag]], _xlpm.loc, "Assigned to Employee")
)</f>
        <v>0</v>
      </c>
      <c r="F176" s="168">
        <f>_xlfn.LET(_xlpm.loc, ITEquipmentTable[Storage Location],
COUNTIFS(ITSecondTable[Tag], ITSecondTable[[#This Row],[Tag]], _xlpm.loc, "")
)</f>
        <v>6</v>
      </c>
      <c r="G176" s="168">
        <f>MAX(ITSecondTable[[#This Row],[SQty]] - ITSecondTable[[#This Row],[IQty]], 0)</f>
        <v>0</v>
      </c>
      <c r="H176" s="168">
        <f>MAX(ITSecondTable[[#This Row],[IQty]]-ITSecondTable[[#This Row],[SQty]], 0)</f>
        <v>0</v>
      </c>
      <c r="I176" s="151" t="str">
        <f>IFERROR(_xlfn.TEXTJOIN("~", TRUE, ITEquipmentTable[[#This Row],[Type]],ITEquipmentTable[[#This Row],[Brand]],ITEquipmentTable[[#This Row],[Model]]), "")</f>
        <v>HDMI Stick~Azulle~Access3</v>
      </c>
      <c r="J176" s="151" t="b">
        <f xml:space="preserve"> _xlfn.IFNA(MATCH( ITSecondTable[[#This Row],[Tag]], StorageTable[Tag], 0)  &gt; -1, FALSE)</f>
        <v>0</v>
      </c>
      <c r="K176" s="168" t="b">
        <f>COUNTIFS(ITEquipmentTable[Serial], ITEquipmentTable[[#This Row],[Serial]], ITEquipmentTable[Serial], "&lt;&gt;N/A") &gt; 1</f>
        <v>0</v>
      </c>
      <c r="L176" s="168" t="b">
        <f>COUNTIFS(ITEquipmentTable[Name], ITEquipmentTable[[#This Row],[Name]], ITEquipmentTable[Name], "&lt;&gt;&lt;Unassigned&gt;",  ITEquipmentTable[Name], "&lt;&gt;N/A") &gt; 1</f>
        <v>0</v>
      </c>
      <c r="M176" s="168" t="b">
        <f>AND(COUNTIFS(ITEquipmentTable[IPv4 Address], ITEquipmentTable[[#This Row],[IPv4 Address]]) &gt; 1, ITEquipmentTable[[#This Row],[IPv4 Address]] &lt;&gt; "DHCP",  ITEquipmentTable[[#This Row],[IPv4 Address]] &lt;&gt; "N/A")</f>
        <v>0</v>
      </c>
    </row>
    <row r="177" spans="1:13" x14ac:dyDescent="0.2">
      <c r="A177" s="168">
        <f>IF(LEN(ITSecondTable[[#This Row],[Tag]]) &gt; 0, _xlfn.XLOOKUP(ITSecondTable[[#This Row],[Tag]],StorageTable[Tag], StorageTable[In Storage - Count Total], "Err", 0, 1), 0)</f>
        <v>0</v>
      </c>
      <c r="B177" s="1">
        <f>_xlfn.LET(_xlpm.loc, ITEquipmentTable[Storage Location],
COUNTIFS(ITSecondTable[Tag], ITSecondTable[[#This Row],[Tag]], _xlpm.loc, "&lt;&gt;In Use", _xlpm.loc, "&lt;&gt;",  _xlpm.loc, "&lt;&gt;E-Waste", _xlpm.loc, "&lt;&gt;Virtual",  _xlpm.loc, "&lt;&gt;Assigned to Employee", _xlpm.loc, "&lt;&gt;Decommisioned", _xlpm.loc, "&lt;&gt;Missing")
)</f>
        <v>0</v>
      </c>
      <c r="C177" s="1">
        <f>_xlfn.LET(_xlpm.loc, ITEquipmentTable[Storage Location],
COUNTIFS(ITSecondTable[Tag], ITSecondTable[[#This Row],[Tag]], _xlpm.loc, "&lt;&gt;E-Waste", _xlpm.loc, "&lt;&gt;Virtual", _xlpm.loc, "&lt;&gt;Decommisioned")
)</f>
        <v>6</v>
      </c>
      <c r="D177" s="168">
        <f>_xlfn.LET(_xlpm.loc, ITEquipmentTable[Storage Location],
COUNTIFS(ITSecondTable[Tag], ITSecondTable[[#This Row],[Tag]], _xlpm.loc, "Missing")
)</f>
        <v>0</v>
      </c>
      <c r="E177" s="168">
        <f>_xlfn.LET(_xlpm.loc, ITEquipmentTable[Storage Location],
COUNTIFS(ITSecondTable[Tag], ITSecondTable[[#This Row],[Tag]], _xlpm.loc, "In Use") + COUNTIFS(ITSecondTable[Tag], ITSecondTable[[#This Row],[Tag]], _xlpm.loc, "Assigned to Employee")
)</f>
        <v>0</v>
      </c>
      <c r="F177" s="168">
        <f>_xlfn.LET(_xlpm.loc, ITEquipmentTable[Storage Location],
COUNTIFS(ITSecondTable[Tag], ITSecondTable[[#This Row],[Tag]], _xlpm.loc, "")
)</f>
        <v>6</v>
      </c>
      <c r="G177" s="168">
        <f>MAX(ITSecondTable[[#This Row],[SQty]] - ITSecondTable[[#This Row],[IQty]], 0)</f>
        <v>0</v>
      </c>
      <c r="H177" s="168">
        <f>MAX(ITSecondTable[[#This Row],[IQty]]-ITSecondTable[[#This Row],[SQty]], 0)</f>
        <v>0</v>
      </c>
      <c r="I177" s="151" t="str">
        <f>IFERROR(_xlfn.TEXTJOIN("~", TRUE, ITEquipmentTable[[#This Row],[Type]],ITEquipmentTable[[#This Row],[Brand]],ITEquipmentTable[[#This Row],[Model]]), "")</f>
        <v>HDMI Stick~Azulle~Access3</v>
      </c>
      <c r="J177" s="151" t="b">
        <f xml:space="preserve"> _xlfn.IFNA(MATCH( ITSecondTable[[#This Row],[Tag]], StorageTable[Tag], 0)  &gt; -1, FALSE)</f>
        <v>0</v>
      </c>
      <c r="K177" s="168" t="b">
        <f>COUNTIFS(ITEquipmentTable[Serial], ITEquipmentTable[[#This Row],[Serial]], ITEquipmentTable[Serial], "&lt;&gt;N/A") &gt; 1</f>
        <v>0</v>
      </c>
      <c r="L177" s="168" t="b">
        <f>COUNTIFS(ITEquipmentTable[Name], ITEquipmentTable[[#This Row],[Name]], ITEquipmentTable[Name], "&lt;&gt;&lt;Unassigned&gt;",  ITEquipmentTable[Name], "&lt;&gt;N/A") &gt; 1</f>
        <v>0</v>
      </c>
      <c r="M177" s="168" t="b">
        <f>AND(COUNTIFS(ITEquipmentTable[IPv4 Address], ITEquipmentTable[[#This Row],[IPv4 Address]]) &gt; 1, ITEquipmentTable[[#This Row],[IPv4 Address]] &lt;&gt; "DHCP",  ITEquipmentTable[[#This Row],[IPv4 Address]] &lt;&gt; "N/A")</f>
        <v>0</v>
      </c>
    </row>
    <row r="178" spans="1:13" x14ac:dyDescent="0.2">
      <c r="A178" s="168">
        <f>IF(LEN(ITSecondTable[[#This Row],[Tag]]) &gt; 0, _xlfn.XLOOKUP(ITSecondTable[[#This Row],[Tag]],StorageTable[Tag], StorageTable[In Storage - Count Total], "Err", 0, 1), 0)</f>
        <v>0</v>
      </c>
      <c r="B178" s="1">
        <f>_xlfn.LET(_xlpm.loc, ITEquipmentTable[Storage Location],
COUNTIFS(ITSecondTable[Tag], ITSecondTable[[#This Row],[Tag]], _xlpm.loc, "&lt;&gt;In Use", _xlpm.loc, "&lt;&gt;",  _xlpm.loc, "&lt;&gt;E-Waste", _xlpm.loc, "&lt;&gt;Virtual",  _xlpm.loc, "&lt;&gt;Assigned to Employee", _xlpm.loc, "&lt;&gt;Decommisioned", _xlpm.loc, "&lt;&gt;Missing")
)</f>
        <v>0</v>
      </c>
      <c r="C178" s="1">
        <f>_xlfn.LET(_xlpm.loc, ITEquipmentTable[Storage Location],
COUNTIFS(ITSecondTable[Tag], ITSecondTable[[#This Row],[Tag]], _xlpm.loc, "&lt;&gt;E-Waste", _xlpm.loc, "&lt;&gt;Virtual", _xlpm.loc, "&lt;&gt;Decommisioned")
)</f>
        <v>6</v>
      </c>
      <c r="D178" s="168">
        <f>_xlfn.LET(_xlpm.loc, ITEquipmentTable[Storage Location],
COUNTIFS(ITSecondTable[Tag], ITSecondTable[[#This Row],[Tag]], _xlpm.loc, "Missing")
)</f>
        <v>0</v>
      </c>
      <c r="E178" s="168">
        <f>_xlfn.LET(_xlpm.loc, ITEquipmentTable[Storage Location],
COUNTIFS(ITSecondTable[Tag], ITSecondTable[[#This Row],[Tag]], _xlpm.loc, "In Use") + COUNTIFS(ITSecondTable[Tag], ITSecondTable[[#This Row],[Tag]], _xlpm.loc, "Assigned to Employee")
)</f>
        <v>0</v>
      </c>
      <c r="F178" s="168">
        <f>_xlfn.LET(_xlpm.loc, ITEquipmentTable[Storage Location],
COUNTIFS(ITSecondTable[Tag], ITSecondTable[[#This Row],[Tag]], _xlpm.loc, "")
)</f>
        <v>6</v>
      </c>
      <c r="G178" s="168">
        <f>MAX(ITSecondTable[[#This Row],[SQty]] - ITSecondTable[[#This Row],[IQty]], 0)</f>
        <v>0</v>
      </c>
      <c r="H178" s="168">
        <f>MAX(ITSecondTable[[#This Row],[IQty]]-ITSecondTable[[#This Row],[SQty]], 0)</f>
        <v>0</v>
      </c>
      <c r="I178" s="151" t="str">
        <f>IFERROR(_xlfn.TEXTJOIN("~", TRUE, ITEquipmentTable[[#This Row],[Type]],ITEquipmentTable[[#This Row],[Brand]],ITEquipmentTable[[#This Row],[Model]]), "")</f>
        <v>HDMI Stick~Azulle~Access3</v>
      </c>
      <c r="J178" s="151" t="b">
        <f xml:space="preserve"> _xlfn.IFNA(MATCH( ITSecondTable[[#This Row],[Tag]], StorageTable[Tag], 0)  &gt; -1, FALSE)</f>
        <v>0</v>
      </c>
      <c r="K178" s="168" t="b">
        <f>COUNTIFS(ITEquipmentTable[Serial], ITEquipmentTable[[#This Row],[Serial]], ITEquipmentTable[Serial], "&lt;&gt;N/A") &gt; 1</f>
        <v>0</v>
      </c>
      <c r="L178" s="168" t="b">
        <f>COUNTIFS(ITEquipmentTable[Name], ITEquipmentTable[[#This Row],[Name]], ITEquipmentTable[Name], "&lt;&gt;&lt;Unassigned&gt;",  ITEquipmentTable[Name], "&lt;&gt;N/A") &gt; 1</f>
        <v>0</v>
      </c>
      <c r="M178" s="168" t="b">
        <f>AND(COUNTIFS(ITEquipmentTable[IPv4 Address], ITEquipmentTable[[#This Row],[IPv4 Address]]) &gt; 1, ITEquipmentTable[[#This Row],[IPv4 Address]] &lt;&gt; "DHCP",  ITEquipmentTable[[#This Row],[IPv4 Address]] &lt;&gt; "N/A")</f>
        <v>0</v>
      </c>
    </row>
    <row r="179" spans="1:13" x14ac:dyDescent="0.2">
      <c r="A179" s="168">
        <f>IF(LEN(ITSecondTable[[#This Row],[Tag]]) &gt; 0, _xlfn.XLOOKUP(ITSecondTable[[#This Row],[Tag]],StorageTable[Tag], StorageTable[In Storage - Count Total], "Err", 0, 1), 0)</f>
        <v>0</v>
      </c>
      <c r="B179" s="1">
        <f>_xlfn.LET(_xlpm.loc, ITEquipmentTable[Storage Location],
COUNTIFS(ITSecondTable[Tag], ITSecondTable[[#This Row],[Tag]], _xlpm.loc, "&lt;&gt;In Use", _xlpm.loc, "&lt;&gt;",  _xlpm.loc, "&lt;&gt;E-Waste", _xlpm.loc, "&lt;&gt;Virtual",  _xlpm.loc, "&lt;&gt;Assigned to Employee", _xlpm.loc, "&lt;&gt;Decommisioned", _xlpm.loc, "&lt;&gt;Missing")
)</f>
        <v>0</v>
      </c>
      <c r="C179" s="1">
        <f>_xlfn.LET(_xlpm.loc, ITEquipmentTable[Storage Location],
COUNTIFS(ITSecondTable[Tag], ITSecondTable[[#This Row],[Tag]], _xlpm.loc, "&lt;&gt;E-Waste", _xlpm.loc, "&lt;&gt;Virtual", _xlpm.loc, "&lt;&gt;Decommisioned")
)</f>
        <v>6</v>
      </c>
      <c r="D179" s="168">
        <f>_xlfn.LET(_xlpm.loc, ITEquipmentTable[Storage Location],
COUNTIFS(ITSecondTable[Tag], ITSecondTable[[#This Row],[Tag]], _xlpm.loc, "Missing")
)</f>
        <v>0</v>
      </c>
      <c r="E179" s="168">
        <f>_xlfn.LET(_xlpm.loc, ITEquipmentTable[Storage Location],
COUNTIFS(ITSecondTable[Tag], ITSecondTable[[#This Row],[Tag]], _xlpm.loc, "In Use") + COUNTIFS(ITSecondTable[Tag], ITSecondTable[[#This Row],[Tag]], _xlpm.loc, "Assigned to Employee")
)</f>
        <v>0</v>
      </c>
      <c r="F179" s="168">
        <f>_xlfn.LET(_xlpm.loc, ITEquipmentTable[Storage Location],
COUNTIFS(ITSecondTable[Tag], ITSecondTable[[#This Row],[Tag]], _xlpm.loc, "")
)</f>
        <v>6</v>
      </c>
      <c r="G179" s="168">
        <f>MAX(ITSecondTable[[#This Row],[SQty]] - ITSecondTable[[#This Row],[IQty]], 0)</f>
        <v>0</v>
      </c>
      <c r="H179" s="168">
        <f>MAX(ITSecondTable[[#This Row],[IQty]]-ITSecondTable[[#This Row],[SQty]], 0)</f>
        <v>0</v>
      </c>
      <c r="I179" s="151" t="str">
        <f>IFERROR(_xlfn.TEXTJOIN("~", TRUE, ITEquipmentTable[[#This Row],[Type]],ITEquipmentTable[[#This Row],[Brand]],ITEquipmentTable[[#This Row],[Model]]), "")</f>
        <v>HDMI Stick~Azulle~Access3</v>
      </c>
      <c r="J179" s="151" t="b">
        <f xml:space="preserve"> _xlfn.IFNA(MATCH( ITSecondTable[[#This Row],[Tag]], StorageTable[Tag], 0)  &gt; -1, FALSE)</f>
        <v>0</v>
      </c>
      <c r="K179" s="168" t="b">
        <f>COUNTIFS(ITEquipmentTable[Serial], ITEquipmentTable[[#This Row],[Serial]], ITEquipmentTable[Serial], "&lt;&gt;N/A") &gt; 1</f>
        <v>0</v>
      </c>
      <c r="L179" s="168" t="b">
        <f>COUNTIFS(ITEquipmentTable[Name], ITEquipmentTable[[#This Row],[Name]], ITEquipmentTable[Name], "&lt;&gt;&lt;Unassigned&gt;",  ITEquipmentTable[Name], "&lt;&gt;N/A") &gt; 1</f>
        <v>0</v>
      </c>
      <c r="M179" s="168" t="b">
        <f>AND(COUNTIFS(ITEquipmentTable[IPv4 Address], ITEquipmentTable[[#This Row],[IPv4 Address]]) &gt; 1, ITEquipmentTable[[#This Row],[IPv4 Address]] &lt;&gt; "DHCP",  ITEquipmentTable[[#This Row],[IPv4 Address]] &lt;&gt; "N/A")</f>
        <v>0</v>
      </c>
    </row>
    <row r="180" spans="1:13" x14ac:dyDescent="0.2">
      <c r="A180" s="168">
        <f>IF(LEN(ITSecondTable[[#This Row],[Tag]]) &gt; 0, _xlfn.XLOOKUP(ITSecondTable[[#This Row],[Tag]],StorageTable[Tag], StorageTable[In Storage - Count Total], "Err", 0, 1), 0)</f>
        <v>0</v>
      </c>
      <c r="B180" s="1">
        <f>_xlfn.LET(_xlpm.loc, ITEquipmentTable[Storage Location],
COUNTIFS(ITSecondTable[Tag], ITSecondTable[[#This Row],[Tag]], _xlpm.loc, "&lt;&gt;In Use", _xlpm.loc, "&lt;&gt;",  _xlpm.loc, "&lt;&gt;E-Waste", _xlpm.loc, "&lt;&gt;Virtual",  _xlpm.loc, "&lt;&gt;Assigned to Employee", _xlpm.loc, "&lt;&gt;Decommisioned", _xlpm.loc, "&lt;&gt;Missing")
)</f>
        <v>0</v>
      </c>
      <c r="C180" s="1">
        <f>_xlfn.LET(_xlpm.loc, ITEquipmentTable[Storage Location],
COUNTIFS(ITSecondTable[Tag], ITSecondTable[[#This Row],[Tag]], _xlpm.loc, "&lt;&gt;E-Waste", _xlpm.loc, "&lt;&gt;Virtual", _xlpm.loc, "&lt;&gt;Decommisioned")
)</f>
        <v>2</v>
      </c>
      <c r="D180" s="168">
        <f>_xlfn.LET(_xlpm.loc, ITEquipmentTable[Storage Location],
COUNTIFS(ITSecondTable[Tag], ITSecondTable[[#This Row],[Tag]], _xlpm.loc, "Missing")
)</f>
        <v>0</v>
      </c>
      <c r="E180" s="168">
        <f>_xlfn.LET(_xlpm.loc, ITEquipmentTable[Storage Location],
COUNTIFS(ITSecondTable[Tag], ITSecondTable[[#This Row],[Tag]], _xlpm.loc, "In Use") + COUNTIFS(ITSecondTable[Tag], ITSecondTable[[#This Row],[Tag]], _xlpm.loc, "Assigned to Employee")
)</f>
        <v>1</v>
      </c>
      <c r="F180" s="168">
        <f>_xlfn.LET(_xlpm.loc, ITEquipmentTable[Storage Location],
COUNTIFS(ITSecondTable[Tag], ITSecondTable[[#This Row],[Tag]], _xlpm.loc, "")
)</f>
        <v>1</v>
      </c>
      <c r="G180" s="168">
        <f>MAX(ITSecondTable[[#This Row],[SQty]] - ITSecondTable[[#This Row],[IQty]], 0)</f>
        <v>0</v>
      </c>
      <c r="H180" s="168">
        <f>MAX(ITSecondTable[[#This Row],[IQty]]-ITSecondTable[[#This Row],[SQty]], 0)</f>
        <v>0</v>
      </c>
      <c r="I180" s="151" t="str">
        <f>IFERROR(_xlfn.TEXTJOIN("~", TRUE, ITEquipmentTable[[#This Row],[Type]],ITEquipmentTable[[#This Row],[Brand]],ITEquipmentTable[[#This Row],[Model]]), "")</f>
        <v>HDMI Stick~Azulle~A-1164-AA3-4</v>
      </c>
      <c r="J180" s="151" t="b">
        <f xml:space="preserve"> _xlfn.IFNA(MATCH( ITSecondTable[[#This Row],[Tag]], StorageTable[Tag], 0)  &gt; -1, FALSE)</f>
        <v>0</v>
      </c>
      <c r="K180" s="168" t="b">
        <f>COUNTIFS(ITEquipmentTable[Serial], ITEquipmentTable[[#This Row],[Serial]], ITEquipmentTable[Serial], "&lt;&gt;N/A") &gt; 1</f>
        <v>0</v>
      </c>
      <c r="L180" s="168" t="b">
        <f>COUNTIFS(ITEquipmentTable[Name], ITEquipmentTable[[#This Row],[Name]], ITEquipmentTable[Name], "&lt;&gt;&lt;Unassigned&gt;",  ITEquipmentTable[Name], "&lt;&gt;N/A") &gt; 1</f>
        <v>0</v>
      </c>
      <c r="M180" s="168" t="b">
        <f>AND(COUNTIFS(ITEquipmentTable[IPv4 Address], ITEquipmentTable[[#This Row],[IPv4 Address]]) &gt; 1, ITEquipmentTable[[#This Row],[IPv4 Address]] &lt;&gt; "DHCP",  ITEquipmentTable[[#This Row],[IPv4 Address]] &lt;&gt; "N/A")</f>
        <v>0</v>
      </c>
    </row>
    <row r="181" spans="1:13" x14ac:dyDescent="0.2">
      <c r="A181" s="168">
        <f>IF(LEN(ITSecondTable[[#This Row],[Tag]]) &gt; 0, _xlfn.XLOOKUP(ITSecondTable[[#This Row],[Tag]],StorageTable[Tag], StorageTable[In Storage - Count Total], "Err", 0, 1), 0)</f>
        <v>0</v>
      </c>
      <c r="B181" s="1">
        <f>_xlfn.LET(_xlpm.loc, ITEquipmentTable[Storage Location],
COUNTIFS(ITSecondTable[Tag], ITSecondTable[[#This Row],[Tag]], _xlpm.loc, "&lt;&gt;In Use", _xlpm.loc, "&lt;&gt;",  _xlpm.loc, "&lt;&gt;E-Waste", _xlpm.loc, "&lt;&gt;Virtual",  _xlpm.loc, "&lt;&gt;Assigned to Employee", _xlpm.loc, "&lt;&gt;Decommisioned", _xlpm.loc, "&lt;&gt;Missing")
)</f>
        <v>0</v>
      </c>
      <c r="C181" s="1">
        <f>_xlfn.LET(_xlpm.loc, ITEquipmentTable[Storage Location],
COUNTIFS(ITSecondTable[Tag], ITSecondTable[[#This Row],[Tag]], _xlpm.loc, "&lt;&gt;E-Waste", _xlpm.loc, "&lt;&gt;Virtual", _xlpm.loc, "&lt;&gt;Decommisioned")
)</f>
        <v>1</v>
      </c>
      <c r="D181" s="168">
        <f>_xlfn.LET(_xlpm.loc, ITEquipmentTable[Storage Location],
COUNTIFS(ITSecondTable[Tag], ITSecondTable[[#This Row],[Tag]], _xlpm.loc, "Missing")
)</f>
        <v>0</v>
      </c>
      <c r="E181" s="168">
        <f>_xlfn.LET(_xlpm.loc, ITEquipmentTable[Storage Location],
COUNTIFS(ITSecondTable[Tag], ITSecondTable[[#This Row],[Tag]], _xlpm.loc, "In Use") + COUNTIFS(ITSecondTable[Tag], ITSecondTable[[#This Row],[Tag]], _xlpm.loc, "Assigned to Employee")
)</f>
        <v>1</v>
      </c>
      <c r="F181" s="168">
        <f>_xlfn.LET(_xlpm.loc, ITEquipmentTable[Storage Location],
COUNTIFS(ITSecondTable[Tag], ITSecondTable[[#This Row],[Tag]], _xlpm.loc, "")
)</f>
        <v>0</v>
      </c>
      <c r="G181" s="168">
        <f>MAX(ITSecondTable[[#This Row],[SQty]] - ITSecondTable[[#This Row],[IQty]], 0)</f>
        <v>0</v>
      </c>
      <c r="H181" s="168">
        <f>MAX(ITSecondTable[[#This Row],[IQty]]-ITSecondTable[[#This Row],[SQty]], 0)</f>
        <v>0</v>
      </c>
      <c r="I181" s="151" t="str">
        <f>IFERROR(_xlfn.TEXTJOIN("~", TRUE, ITEquipmentTable[[#This Row],[Type]],ITEquipmentTable[[#This Row],[Brand]],ITEquipmentTable[[#This Row],[Model]]), "")</f>
        <v>Laptop</v>
      </c>
      <c r="J181" s="151" t="b">
        <f xml:space="preserve"> _xlfn.IFNA(MATCH( ITSecondTable[[#This Row],[Tag]], StorageTable[Tag], 0)  &gt; -1, FALSE)</f>
        <v>1</v>
      </c>
      <c r="K181" s="168" t="b">
        <f>COUNTIFS(ITEquipmentTable[Serial], ITEquipmentTable[[#This Row],[Serial]], ITEquipmentTable[Serial], "&lt;&gt;N/A") &gt; 1</f>
        <v>0</v>
      </c>
      <c r="L181" s="168" t="b">
        <f>COUNTIFS(ITEquipmentTable[Name], ITEquipmentTable[[#This Row],[Name]], ITEquipmentTable[Name], "&lt;&gt;&lt;Unassigned&gt;",  ITEquipmentTable[Name], "&lt;&gt;N/A") &gt; 1</f>
        <v>0</v>
      </c>
      <c r="M181" s="168" t="b">
        <f>AND(COUNTIFS(ITEquipmentTable[IPv4 Address], ITEquipmentTable[[#This Row],[IPv4 Address]]) &gt; 1, ITEquipmentTable[[#This Row],[IPv4 Address]] &lt;&gt; "DHCP",  ITEquipmentTable[[#This Row],[IPv4 Address]] &lt;&gt; "N/A")</f>
        <v>0</v>
      </c>
    </row>
    <row r="182" spans="1:13" x14ac:dyDescent="0.2">
      <c r="A182" s="168">
        <f>IF(LEN(ITSecondTable[[#This Row],[Tag]]) &gt; 0, _xlfn.XLOOKUP(ITSecondTable[[#This Row],[Tag]],StorageTable[Tag], StorageTable[In Storage - Count Total], "Err", 0, 1), 0)</f>
        <v>1</v>
      </c>
      <c r="B182" s="1">
        <f>_xlfn.LET(_xlpm.loc, ITEquipmentTable[Storage Location],
COUNTIFS(ITSecondTable[Tag], ITSecondTable[[#This Row],[Tag]], _xlpm.loc, "&lt;&gt;In Use", _xlpm.loc, "&lt;&gt;",  _xlpm.loc, "&lt;&gt;E-Waste", _xlpm.loc, "&lt;&gt;Virtual",  _xlpm.loc, "&lt;&gt;Assigned to Employee", _xlpm.loc, "&lt;&gt;Decommisioned", _xlpm.loc, "&lt;&gt;Missing")
)</f>
        <v>0</v>
      </c>
      <c r="C182" s="1">
        <f>_xlfn.LET(_xlpm.loc, ITEquipmentTable[Storage Location],
COUNTIFS(ITSecondTable[Tag], ITSecondTable[[#This Row],[Tag]], _xlpm.loc, "&lt;&gt;E-Waste", _xlpm.loc, "&lt;&gt;Virtual", _xlpm.loc, "&lt;&gt;Decommisioned")
)</f>
        <v>3</v>
      </c>
      <c r="D182" s="168">
        <f>_xlfn.LET(_xlpm.loc, ITEquipmentTable[Storage Location],
COUNTIFS(ITSecondTable[Tag], ITSecondTable[[#This Row],[Tag]], _xlpm.loc, "Missing")
)</f>
        <v>0</v>
      </c>
      <c r="E182" s="168">
        <f>_xlfn.LET(_xlpm.loc, ITEquipmentTable[Storage Location],
COUNTIFS(ITSecondTable[Tag], ITSecondTable[[#This Row],[Tag]], _xlpm.loc, "In Use") + COUNTIFS(ITSecondTable[Tag], ITSecondTable[[#This Row],[Tag]], _xlpm.loc, "Assigned to Employee")
)</f>
        <v>2</v>
      </c>
      <c r="F182" s="168">
        <f>_xlfn.LET(_xlpm.loc, ITEquipmentTable[Storage Location],
COUNTIFS(ITSecondTable[Tag], ITSecondTable[[#This Row],[Tag]], _xlpm.loc, "")
)</f>
        <v>1</v>
      </c>
      <c r="G182" s="168">
        <f>MAX(ITSecondTable[[#This Row],[SQty]] - ITSecondTable[[#This Row],[IQty]], 0)</f>
        <v>0</v>
      </c>
      <c r="H182" s="168">
        <f>MAX(ITSecondTable[[#This Row],[IQty]]-ITSecondTable[[#This Row],[SQty]], 0)</f>
        <v>1</v>
      </c>
      <c r="I182" s="151" t="str">
        <f>IFERROR(_xlfn.TEXTJOIN("~", TRUE, ITEquipmentTable[[#This Row],[Type]],ITEquipmentTable[[#This Row],[Brand]],ITEquipmentTable[[#This Row],[Model]]), "")</f>
        <v>Desktop~HP~HP ProDesk 600 G4 SFF</v>
      </c>
      <c r="J182" s="151" t="b">
        <f xml:space="preserve"> _xlfn.IFNA(MATCH( ITSecondTable[[#This Row],[Tag]], StorageTable[Tag], 0)  &gt; -1, FALSE)</f>
        <v>0</v>
      </c>
      <c r="K182" s="168" t="b">
        <f>COUNTIFS(ITEquipmentTable[Serial], ITEquipmentTable[[#This Row],[Serial]], ITEquipmentTable[Serial], "&lt;&gt;N/A") &gt; 1</f>
        <v>0</v>
      </c>
      <c r="L182" s="168" t="b">
        <f>COUNTIFS(ITEquipmentTable[Name], ITEquipmentTable[[#This Row],[Name]], ITEquipmentTable[Name], "&lt;&gt;&lt;Unassigned&gt;",  ITEquipmentTable[Name], "&lt;&gt;N/A") &gt; 1</f>
        <v>0</v>
      </c>
      <c r="M182" s="168" t="b">
        <f>AND(COUNTIFS(ITEquipmentTable[IPv4 Address], ITEquipmentTable[[#This Row],[IPv4 Address]]) &gt; 1, ITEquipmentTable[[#This Row],[IPv4 Address]] &lt;&gt; "DHCP",  ITEquipmentTable[[#This Row],[IPv4 Address]] &lt;&gt; "N/A")</f>
        <v>0</v>
      </c>
    </row>
    <row r="183" spans="1:13" x14ac:dyDescent="0.2">
      <c r="A183" s="168">
        <f>IF(LEN(ITSecondTable[[#This Row],[Tag]]) &gt; 0, _xlfn.XLOOKUP(ITSecondTable[[#This Row],[Tag]],StorageTable[Tag], StorageTable[In Storage - Count Total], "Err", 0, 1), 0)</f>
        <v>0</v>
      </c>
      <c r="B183" s="1">
        <f>_xlfn.LET(_xlpm.loc, ITEquipmentTable[Storage Location],
COUNTIFS(ITSecondTable[Tag], ITSecondTable[[#This Row],[Tag]], _xlpm.loc, "&lt;&gt;In Use", _xlpm.loc, "&lt;&gt;",  _xlpm.loc, "&lt;&gt;E-Waste", _xlpm.loc, "&lt;&gt;Virtual",  _xlpm.loc, "&lt;&gt;Assigned to Employee", _xlpm.loc, "&lt;&gt;Decommisioned", _xlpm.loc, "&lt;&gt;Missing")
)</f>
        <v>0</v>
      </c>
      <c r="C183" s="1">
        <f>_xlfn.LET(_xlpm.loc, ITEquipmentTable[Storage Location],
COUNTIFS(ITSecondTable[Tag], ITSecondTable[[#This Row],[Tag]], _xlpm.loc, "&lt;&gt;E-Waste", _xlpm.loc, "&lt;&gt;Virtual", _xlpm.loc, "&lt;&gt;Decommisioned")
)</f>
        <v>29</v>
      </c>
      <c r="D183" s="168">
        <f>_xlfn.LET(_xlpm.loc, ITEquipmentTable[Storage Location],
COUNTIFS(ITSecondTable[Tag], ITSecondTable[[#This Row],[Tag]], _xlpm.loc, "Missing")
)</f>
        <v>0</v>
      </c>
      <c r="E183" s="168">
        <f>_xlfn.LET(_xlpm.loc, ITEquipmentTable[Storage Location],
COUNTIFS(ITSecondTable[Tag], ITSecondTable[[#This Row],[Tag]], _xlpm.loc, "In Use") + COUNTIFS(ITSecondTable[Tag], ITSecondTable[[#This Row],[Tag]], _xlpm.loc, "Assigned to Employee")
)</f>
        <v>3</v>
      </c>
      <c r="F183" s="168">
        <f>_xlfn.LET(_xlpm.loc, ITEquipmentTable[Storage Location],
COUNTIFS(ITSecondTable[Tag], ITSecondTable[[#This Row],[Tag]], _xlpm.loc, "")
)</f>
        <v>26</v>
      </c>
      <c r="G183" s="168">
        <f>MAX(ITSecondTable[[#This Row],[SQty]] - ITSecondTable[[#This Row],[IQty]], 0)</f>
        <v>0</v>
      </c>
      <c r="H183" s="168">
        <f>MAX(ITSecondTable[[#This Row],[IQty]]-ITSecondTable[[#This Row],[SQty]], 0)</f>
        <v>0</v>
      </c>
      <c r="I183" s="151" t="str">
        <f>IFERROR(_xlfn.TEXTJOIN("~", TRUE, ITEquipmentTable[[#This Row],[Type]],ITEquipmentTable[[#This Row],[Brand]],ITEquipmentTable[[#This Row],[Model]]), "")</f>
        <v>Laptop~HP~HP ProBook 650 G2</v>
      </c>
      <c r="J183" s="151" t="b">
        <f xml:space="preserve"> _xlfn.IFNA(MATCH( ITSecondTable[[#This Row],[Tag]], StorageTable[Tag], 0)  &gt; -1, FALSE)</f>
        <v>0</v>
      </c>
      <c r="K183" s="168" t="b">
        <f>COUNTIFS(ITEquipmentTable[Serial], ITEquipmentTable[[#This Row],[Serial]], ITEquipmentTable[Serial], "&lt;&gt;N/A") &gt; 1</f>
        <v>0</v>
      </c>
      <c r="L183" s="168" t="b">
        <f>COUNTIFS(ITEquipmentTable[Name], ITEquipmentTable[[#This Row],[Name]], ITEquipmentTable[Name], "&lt;&gt;&lt;Unassigned&gt;",  ITEquipmentTable[Name], "&lt;&gt;N/A") &gt; 1</f>
        <v>0</v>
      </c>
      <c r="M183" s="168" t="b">
        <f>AND(COUNTIFS(ITEquipmentTable[IPv4 Address], ITEquipmentTable[[#This Row],[IPv4 Address]]) &gt; 1, ITEquipmentTable[[#This Row],[IPv4 Address]] &lt;&gt; "DHCP",  ITEquipmentTable[[#This Row],[IPv4 Address]] &lt;&gt; "N/A")</f>
        <v>0</v>
      </c>
    </row>
    <row r="184" spans="1:13" x14ac:dyDescent="0.2">
      <c r="A184" s="168">
        <f>IF(LEN(ITSecondTable[[#This Row],[Tag]]) &gt; 0, _xlfn.XLOOKUP(ITSecondTable[[#This Row],[Tag]],StorageTable[Tag], StorageTable[In Storage - Count Total], "Err", 0, 1), 0)</f>
        <v>0</v>
      </c>
      <c r="B184" s="1">
        <f>_xlfn.LET(_xlpm.loc, ITEquipmentTable[Storage Location],
COUNTIFS(ITSecondTable[Tag], ITSecondTable[[#This Row],[Tag]], _xlpm.loc, "&lt;&gt;In Use", _xlpm.loc, "&lt;&gt;",  _xlpm.loc, "&lt;&gt;E-Waste", _xlpm.loc, "&lt;&gt;Virtual",  _xlpm.loc, "&lt;&gt;Assigned to Employee", _xlpm.loc, "&lt;&gt;Decommisioned", _xlpm.loc, "&lt;&gt;Missing")
)</f>
        <v>2</v>
      </c>
      <c r="C184" s="1">
        <f>_xlfn.LET(_xlpm.loc, ITEquipmentTable[Storage Location],
COUNTIFS(ITSecondTable[Tag], ITSecondTable[[#This Row],[Tag]], _xlpm.loc, "&lt;&gt;E-Waste", _xlpm.loc, "&lt;&gt;Virtual", _xlpm.loc, "&lt;&gt;Decommisioned")
)</f>
        <v>17</v>
      </c>
      <c r="D184" s="168">
        <f>_xlfn.LET(_xlpm.loc, ITEquipmentTable[Storage Location],
COUNTIFS(ITSecondTable[Tag], ITSecondTable[[#This Row],[Tag]], _xlpm.loc, "Missing")
)</f>
        <v>0</v>
      </c>
      <c r="E184" s="168">
        <f>_xlfn.LET(_xlpm.loc, ITEquipmentTable[Storage Location],
COUNTIFS(ITSecondTable[Tag], ITSecondTable[[#This Row],[Tag]], _xlpm.loc, "In Use") + COUNTIFS(ITSecondTable[Tag], ITSecondTable[[#This Row],[Tag]], _xlpm.loc, "Assigned to Employee")
)</f>
        <v>5</v>
      </c>
      <c r="F184" s="168">
        <f>_xlfn.LET(_xlpm.loc, ITEquipmentTable[Storage Location],
COUNTIFS(ITSecondTable[Tag], ITSecondTable[[#This Row],[Tag]], _xlpm.loc, "")
)</f>
        <v>10</v>
      </c>
      <c r="G184" s="168">
        <f>MAX(ITSecondTable[[#This Row],[SQty]] - ITSecondTable[[#This Row],[IQty]], 0)</f>
        <v>2</v>
      </c>
      <c r="H184" s="168">
        <f>MAX(ITSecondTable[[#This Row],[IQty]]-ITSecondTable[[#This Row],[SQty]], 0)</f>
        <v>0</v>
      </c>
      <c r="I184" s="151" t="str">
        <f>IFERROR(_xlfn.TEXTJOIN("~", TRUE, ITEquipmentTable[[#This Row],[Type]],ITEquipmentTable[[#This Row],[Brand]],ITEquipmentTable[[#This Row],[Model]]), "")</f>
        <v>Laptop~HP~HP ProBook 640 G3</v>
      </c>
      <c r="J184" s="151" t="b">
        <f xml:space="preserve"> _xlfn.IFNA(MATCH( ITSecondTable[[#This Row],[Tag]], StorageTable[Tag], 0)  &gt; -1, FALSE)</f>
        <v>0</v>
      </c>
      <c r="K184" s="168" t="b">
        <f>COUNTIFS(ITEquipmentTable[Serial], ITEquipmentTable[[#This Row],[Serial]], ITEquipmentTable[Serial], "&lt;&gt;N/A") &gt; 1</f>
        <v>0</v>
      </c>
      <c r="L184" s="168" t="b">
        <f>COUNTIFS(ITEquipmentTable[Name], ITEquipmentTable[[#This Row],[Name]], ITEquipmentTable[Name], "&lt;&gt;&lt;Unassigned&gt;",  ITEquipmentTable[Name], "&lt;&gt;N/A") &gt; 1</f>
        <v>0</v>
      </c>
      <c r="M184" s="168" t="b">
        <f>AND(COUNTIFS(ITEquipmentTable[IPv4 Address], ITEquipmentTable[[#This Row],[IPv4 Address]]) &gt; 1, ITEquipmentTable[[#This Row],[IPv4 Address]] &lt;&gt; "DHCP",  ITEquipmentTable[[#This Row],[IPv4 Address]] &lt;&gt; "N/A")</f>
        <v>0</v>
      </c>
    </row>
    <row r="185" spans="1:13" x14ac:dyDescent="0.2">
      <c r="A185" s="168">
        <f>IF(LEN(ITSecondTable[[#This Row],[Tag]]) &gt; 0, _xlfn.XLOOKUP(ITSecondTable[[#This Row],[Tag]],StorageTable[Tag], StorageTable[In Storage - Count Total], "Err", 0, 1), 0)</f>
        <v>0</v>
      </c>
      <c r="B185" s="1">
        <f>_xlfn.LET(_xlpm.loc, ITEquipmentTable[Storage Location],
COUNTIFS(ITSecondTable[Tag], ITSecondTable[[#This Row],[Tag]], _xlpm.loc, "&lt;&gt;In Use", _xlpm.loc, "&lt;&gt;",  _xlpm.loc, "&lt;&gt;E-Waste", _xlpm.loc, "&lt;&gt;Virtual",  _xlpm.loc, "&lt;&gt;Assigned to Employee", _xlpm.loc, "&lt;&gt;Decommisioned", _xlpm.loc, "&lt;&gt;Missing")
)</f>
        <v>0</v>
      </c>
      <c r="C185" s="1">
        <f>_xlfn.LET(_xlpm.loc, ITEquipmentTable[Storage Location],
COUNTIFS(ITSecondTable[Tag], ITSecondTable[[#This Row],[Tag]], _xlpm.loc, "&lt;&gt;E-Waste", _xlpm.loc, "&lt;&gt;Virtual", _xlpm.loc, "&lt;&gt;Decommisioned")
)</f>
        <v>78</v>
      </c>
      <c r="D185" s="168">
        <f>_xlfn.LET(_xlpm.loc, ITEquipmentTable[Storage Location],
COUNTIFS(ITSecondTable[Tag], ITSecondTable[[#This Row],[Tag]], _xlpm.loc, "Missing")
)</f>
        <v>0</v>
      </c>
      <c r="E185" s="168">
        <f>_xlfn.LET(_xlpm.loc, ITEquipmentTable[Storage Location],
COUNTIFS(ITSecondTable[Tag], ITSecondTable[[#This Row],[Tag]], _xlpm.loc, "In Use") + COUNTIFS(ITSecondTable[Tag], ITSecondTable[[#This Row],[Tag]], _xlpm.loc, "Assigned to Employee")
)</f>
        <v>44</v>
      </c>
      <c r="F185" s="168">
        <f>_xlfn.LET(_xlpm.loc, ITEquipmentTable[Storage Location],
COUNTIFS(ITSecondTable[Tag], ITSecondTable[[#This Row],[Tag]], _xlpm.loc, "")
)</f>
        <v>34</v>
      </c>
      <c r="G185" s="168">
        <f>MAX(ITSecondTable[[#This Row],[SQty]] - ITSecondTable[[#This Row],[IQty]], 0)</f>
        <v>0</v>
      </c>
      <c r="H185" s="168">
        <f>MAX(ITSecondTable[[#This Row],[IQty]]-ITSecondTable[[#This Row],[SQty]], 0)</f>
        <v>0</v>
      </c>
      <c r="I185" s="151" t="str">
        <f>IFERROR(_xlfn.TEXTJOIN("~", TRUE, ITEquipmentTable[[#This Row],[Type]],ITEquipmentTable[[#This Row],[Brand]],ITEquipmentTable[[#This Row],[Model]]), "")</f>
        <v>Laptop~HP</v>
      </c>
      <c r="J185" s="151" t="b">
        <f xml:space="preserve"> _xlfn.IFNA(MATCH( ITSecondTable[[#This Row],[Tag]], StorageTable[Tag], 0)  &gt; -1, FALSE)</f>
        <v>0</v>
      </c>
      <c r="K185" s="168" t="b">
        <f>COUNTIFS(ITEquipmentTable[Serial], ITEquipmentTable[[#This Row],[Serial]], ITEquipmentTable[Serial], "&lt;&gt;N/A") &gt; 1</f>
        <v>0</v>
      </c>
      <c r="L185" s="168" t="b">
        <f>COUNTIFS(ITEquipmentTable[Name], ITEquipmentTable[[#This Row],[Name]], ITEquipmentTable[Name], "&lt;&gt;&lt;Unassigned&gt;",  ITEquipmentTable[Name], "&lt;&gt;N/A") &gt; 1</f>
        <v>0</v>
      </c>
      <c r="M185" s="168" t="b">
        <f>AND(COUNTIFS(ITEquipmentTable[IPv4 Address], ITEquipmentTable[[#This Row],[IPv4 Address]]) &gt; 1, ITEquipmentTable[[#This Row],[IPv4 Address]] &lt;&gt; "DHCP",  ITEquipmentTable[[#This Row],[IPv4 Address]] &lt;&gt; "N/A")</f>
        <v>0</v>
      </c>
    </row>
    <row r="186" spans="1:13" x14ac:dyDescent="0.2">
      <c r="A186" s="168">
        <f>IF(LEN(ITSecondTable[[#This Row],[Tag]]) &gt; 0, _xlfn.XLOOKUP(ITSecondTable[[#This Row],[Tag]],StorageTable[Tag], StorageTable[In Storage - Count Total], "Err", 0, 1), 0)</f>
        <v>0</v>
      </c>
      <c r="B186" s="1">
        <f>_xlfn.LET(_xlpm.loc, ITEquipmentTable[Storage Location],
COUNTIFS(ITSecondTable[Tag], ITSecondTable[[#This Row],[Tag]], _xlpm.loc, "&lt;&gt;In Use", _xlpm.loc, "&lt;&gt;",  _xlpm.loc, "&lt;&gt;E-Waste", _xlpm.loc, "&lt;&gt;Virtual",  _xlpm.loc, "&lt;&gt;Assigned to Employee", _xlpm.loc, "&lt;&gt;Decommisioned", _xlpm.loc, "&lt;&gt;Missing")
)</f>
        <v>2</v>
      </c>
      <c r="C186" s="1">
        <f>_xlfn.LET(_xlpm.loc, ITEquipmentTable[Storage Location],
COUNTIFS(ITSecondTable[Tag], ITSecondTable[[#This Row],[Tag]], _xlpm.loc, "&lt;&gt;E-Waste", _xlpm.loc, "&lt;&gt;Virtual", _xlpm.loc, "&lt;&gt;Decommisioned")
)</f>
        <v>13</v>
      </c>
      <c r="D186" s="168">
        <f>_xlfn.LET(_xlpm.loc, ITEquipmentTable[Storage Location],
COUNTIFS(ITSecondTable[Tag], ITSecondTable[[#This Row],[Tag]], _xlpm.loc, "Missing")
)</f>
        <v>0</v>
      </c>
      <c r="E186" s="168">
        <f>_xlfn.LET(_xlpm.loc, ITEquipmentTable[Storage Location],
COUNTIFS(ITSecondTable[Tag], ITSecondTable[[#This Row],[Tag]], _xlpm.loc, "In Use") + COUNTIFS(ITSecondTable[Tag], ITSecondTable[[#This Row],[Tag]], _xlpm.loc, "Assigned to Employee")
)</f>
        <v>1</v>
      </c>
      <c r="F186" s="168">
        <f>_xlfn.LET(_xlpm.loc, ITEquipmentTable[Storage Location],
COUNTIFS(ITSecondTable[Tag], ITSecondTable[[#This Row],[Tag]], _xlpm.loc, "")
)</f>
        <v>10</v>
      </c>
      <c r="G186" s="168">
        <f>MAX(ITSecondTable[[#This Row],[SQty]] - ITSecondTable[[#This Row],[IQty]], 0)</f>
        <v>2</v>
      </c>
      <c r="H186" s="168">
        <f>MAX(ITSecondTable[[#This Row],[IQty]]-ITSecondTable[[#This Row],[SQty]], 0)</f>
        <v>0</v>
      </c>
      <c r="I186" s="151" t="str">
        <f>IFERROR(_xlfn.TEXTJOIN("~", TRUE, ITEquipmentTable[[#This Row],[Type]],ITEquipmentTable[[#This Row],[Brand]],ITEquipmentTable[[#This Row],[Model]]), "")</f>
        <v>Laptop~HP~HP ProBook 650 G1</v>
      </c>
      <c r="J186" s="151" t="b">
        <f xml:space="preserve"> _xlfn.IFNA(MATCH( ITSecondTable[[#This Row],[Tag]], StorageTable[Tag], 0)  &gt; -1, FALSE)</f>
        <v>0</v>
      </c>
      <c r="K186" s="168" t="b">
        <f>COUNTIFS(ITEquipmentTable[Serial], ITEquipmentTable[[#This Row],[Serial]], ITEquipmentTable[Serial], "&lt;&gt;N/A") &gt; 1</f>
        <v>0</v>
      </c>
      <c r="L186" s="168" t="b">
        <f>COUNTIFS(ITEquipmentTable[Name], ITEquipmentTable[[#This Row],[Name]], ITEquipmentTable[Name], "&lt;&gt;&lt;Unassigned&gt;",  ITEquipmentTable[Name], "&lt;&gt;N/A") &gt; 1</f>
        <v>0</v>
      </c>
      <c r="M186" s="168" t="b">
        <f>AND(COUNTIFS(ITEquipmentTable[IPv4 Address], ITEquipmentTable[[#This Row],[IPv4 Address]]) &gt; 1, ITEquipmentTable[[#This Row],[IPv4 Address]] &lt;&gt; "DHCP",  ITEquipmentTable[[#This Row],[IPv4 Address]] &lt;&gt; "N/A")</f>
        <v>0</v>
      </c>
    </row>
    <row r="187" spans="1:13" x14ac:dyDescent="0.2">
      <c r="A187" s="168">
        <f>IF(LEN(ITSecondTable[[#This Row],[Tag]]) &gt; 0, _xlfn.XLOOKUP(ITSecondTable[[#This Row],[Tag]],StorageTable[Tag], StorageTable[In Storage - Count Total], "Err", 0, 1), 0)</f>
        <v>0</v>
      </c>
      <c r="B187" s="1">
        <f>_xlfn.LET(_xlpm.loc, ITEquipmentTable[Storage Location],
COUNTIFS(ITSecondTable[Tag], ITSecondTable[[#This Row],[Tag]], _xlpm.loc, "&lt;&gt;In Use", _xlpm.loc, "&lt;&gt;",  _xlpm.loc, "&lt;&gt;E-Waste", _xlpm.loc, "&lt;&gt;Virtual",  _xlpm.loc, "&lt;&gt;Assigned to Employee", _xlpm.loc, "&lt;&gt;Decommisioned", _xlpm.loc, "&lt;&gt;Missing")
)</f>
        <v>0</v>
      </c>
      <c r="C187" s="1">
        <f>_xlfn.LET(_xlpm.loc, ITEquipmentTable[Storage Location],
COUNTIFS(ITSecondTable[Tag], ITSecondTable[[#This Row],[Tag]], _xlpm.loc, "&lt;&gt;E-Waste", _xlpm.loc, "&lt;&gt;Virtual", _xlpm.loc, "&lt;&gt;Decommisioned")
)</f>
        <v>15</v>
      </c>
      <c r="D187" s="168">
        <f>_xlfn.LET(_xlpm.loc, ITEquipmentTable[Storage Location],
COUNTIFS(ITSecondTable[Tag], ITSecondTable[[#This Row],[Tag]], _xlpm.loc, "Missing")
)</f>
        <v>0</v>
      </c>
      <c r="E187" s="168">
        <f>_xlfn.LET(_xlpm.loc, ITEquipmentTable[Storage Location],
COUNTIFS(ITSecondTable[Tag], ITSecondTable[[#This Row],[Tag]], _xlpm.loc, "In Use") + COUNTIFS(ITSecondTable[Tag], ITSecondTable[[#This Row],[Tag]], _xlpm.loc, "Assigned to Employee")
)</f>
        <v>2</v>
      </c>
      <c r="F187" s="168">
        <f>_xlfn.LET(_xlpm.loc, ITEquipmentTable[Storage Location],
COUNTIFS(ITSecondTable[Tag], ITSecondTable[[#This Row],[Tag]], _xlpm.loc, "")
)</f>
        <v>13</v>
      </c>
      <c r="G187" s="168">
        <f>MAX(ITSecondTable[[#This Row],[SQty]] - ITSecondTable[[#This Row],[IQty]], 0)</f>
        <v>0</v>
      </c>
      <c r="H187" s="168">
        <f>MAX(ITSecondTable[[#This Row],[IQty]]-ITSecondTable[[#This Row],[SQty]], 0)</f>
        <v>0</v>
      </c>
      <c r="I187" s="151" t="str">
        <f>IFERROR(_xlfn.TEXTJOIN("~", TRUE, ITEquipmentTable[[#This Row],[Type]],ITEquipmentTable[[#This Row],[Brand]],ITEquipmentTable[[#This Row],[Model]]), "")</f>
        <v>Tablet</v>
      </c>
      <c r="J187" s="151" t="b">
        <f xml:space="preserve"> _xlfn.IFNA(MATCH( ITSecondTable[[#This Row],[Tag]], StorageTable[Tag], 0)  &gt; -1, FALSE)</f>
        <v>1</v>
      </c>
      <c r="K187" s="168" t="b">
        <f>COUNTIFS(ITEquipmentTable[Serial], ITEquipmentTable[[#This Row],[Serial]], ITEquipmentTable[Serial], "&lt;&gt;N/A") &gt; 1</f>
        <v>0</v>
      </c>
      <c r="L187" s="168" t="b">
        <f>COUNTIFS(ITEquipmentTable[Name], ITEquipmentTable[[#This Row],[Name]], ITEquipmentTable[Name], "&lt;&gt;&lt;Unassigned&gt;",  ITEquipmentTable[Name], "&lt;&gt;N/A") &gt; 1</f>
        <v>0</v>
      </c>
      <c r="M187" s="168" t="b">
        <f>AND(COUNTIFS(ITEquipmentTable[IPv4 Address], ITEquipmentTable[[#This Row],[IPv4 Address]]) &gt; 1, ITEquipmentTable[[#This Row],[IPv4 Address]] &lt;&gt; "DHCP",  ITEquipmentTable[[#This Row],[IPv4 Address]] &lt;&gt; "N/A")</f>
        <v>0</v>
      </c>
    </row>
    <row r="188" spans="1:13" x14ac:dyDescent="0.2">
      <c r="A188" s="168">
        <f>IF(LEN(ITSecondTable[[#This Row],[Tag]]) &gt; 0, _xlfn.XLOOKUP(ITSecondTable[[#This Row],[Tag]],StorageTable[Tag], StorageTable[In Storage - Count Total], "Err", 0, 1), 0)</f>
        <v>0</v>
      </c>
      <c r="B188" s="1">
        <f>_xlfn.LET(_xlpm.loc, ITEquipmentTable[Storage Location],
COUNTIFS(ITSecondTable[Tag], ITSecondTable[[#This Row],[Tag]], _xlpm.loc, "&lt;&gt;In Use", _xlpm.loc, "&lt;&gt;",  _xlpm.loc, "&lt;&gt;E-Waste", _xlpm.loc, "&lt;&gt;Virtual",  _xlpm.loc, "&lt;&gt;Assigned to Employee", _xlpm.loc, "&lt;&gt;Decommisioned", _xlpm.loc, "&lt;&gt;Missing")
)</f>
        <v>0</v>
      </c>
      <c r="C188" s="1">
        <f>_xlfn.LET(_xlpm.loc, ITEquipmentTable[Storage Location],
COUNTIFS(ITSecondTable[Tag], ITSecondTable[[#This Row],[Tag]], _xlpm.loc, "&lt;&gt;E-Waste", _xlpm.loc, "&lt;&gt;Virtual", _xlpm.loc, "&lt;&gt;Decommisioned")
)</f>
        <v>10</v>
      </c>
      <c r="D188" s="168">
        <f>_xlfn.LET(_xlpm.loc, ITEquipmentTable[Storage Location],
COUNTIFS(ITSecondTable[Tag], ITSecondTable[[#This Row],[Tag]], _xlpm.loc, "Missing")
)</f>
        <v>0</v>
      </c>
      <c r="E188" s="168">
        <f>_xlfn.LET(_xlpm.loc, ITEquipmentTable[Storage Location],
COUNTIFS(ITSecondTable[Tag], ITSecondTable[[#This Row],[Tag]], _xlpm.loc, "In Use") + COUNTIFS(ITSecondTable[Tag], ITSecondTable[[#This Row],[Tag]], _xlpm.loc, "Assigned to Employee")
)</f>
        <v>5</v>
      </c>
      <c r="F188" s="168">
        <f>_xlfn.LET(_xlpm.loc, ITEquipmentTable[Storage Location],
COUNTIFS(ITSecondTable[Tag], ITSecondTable[[#This Row],[Tag]], _xlpm.loc, "")
)</f>
        <v>5</v>
      </c>
      <c r="G188" s="168">
        <f>MAX(ITSecondTable[[#This Row],[SQty]] - ITSecondTable[[#This Row],[IQty]], 0)</f>
        <v>0</v>
      </c>
      <c r="H188" s="168">
        <f>MAX(ITSecondTable[[#This Row],[IQty]]-ITSecondTable[[#This Row],[SQty]], 0)</f>
        <v>0</v>
      </c>
      <c r="I188" s="151" t="str">
        <f>IFERROR(_xlfn.TEXTJOIN("~", TRUE, ITEquipmentTable[[#This Row],[Type]],ITEquipmentTable[[#This Row],[Brand]],ITEquipmentTable[[#This Row],[Model]]), "")</f>
        <v>Laptop~HP~HP ProBook 640 G4</v>
      </c>
      <c r="J188" s="151" t="b">
        <f xml:space="preserve"> _xlfn.IFNA(MATCH( ITSecondTable[[#This Row],[Tag]], StorageTable[Tag], 0)  &gt; -1, FALSE)</f>
        <v>0</v>
      </c>
      <c r="K188" s="168" t="b">
        <f>COUNTIFS(ITEquipmentTable[Serial], ITEquipmentTable[[#This Row],[Serial]], ITEquipmentTable[Serial], "&lt;&gt;N/A") &gt; 1</f>
        <v>0</v>
      </c>
      <c r="L188" s="168" t="b">
        <f>COUNTIFS(ITEquipmentTable[Name], ITEquipmentTable[[#This Row],[Name]], ITEquipmentTable[Name], "&lt;&gt;&lt;Unassigned&gt;",  ITEquipmentTable[Name], "&lt;&gt;N/A") &gt; 1</f>
        <v>0</v>
      </c>
      <c r="M188" s="168" t="b">
        <f>AND(COUNTIFS(ITEquipmentTable[IPv4 Address], ITEquipmentTable[[#This Row],[IPv4 Address]]) &gt; 1, ITEquipmentTable[[#This Row],[IPv4 Address]] &lt;&gt; "DHCP",  ITEquipmentTable[[#This Row],[IPv4 Address]] &lt;&gt; "N/A")</f>
        <v>0</v>
      </c>
    </row>
    <row r="189" spans="1:13" x14ac:dyDescent="0.2">
      <c r="A189" s="168">
        <f>IF(LEN(ITSecondTable[[#This Row],[Tag]]) &gt; 0, _xlfn.XLOOKUP(ITSecondTable[[#This Row],[Tag]],StorageTable[Tag], StorageTable[In Storage - Count Total], "Err", 0, 1), 0)</f>
        <v>0</v>
      </c>
      <c r="B189" s="1">
        <f>_xlfn.LET(_xlpm.loc, ITEquipmentTable[Storage Location],
COUNTIFS(ITSecondTable[Tag], ITSecondTable[[#This Row],[Tag]], _xlpm.loc, "&lt;&gt;In Use", _xlpm.loc, "&lt;&gt;",  _xlpm.loc, "&lt;&gt;E-Waste", _xlpm.loc, "&lt;&gt;Virtual",  _xlpm.loc, "&lt;&gt;Assigned to Employee", _xlpm.loc, "&lt;&gt;Decommisioned", _xlpm.loc, "&lt;&gt;Missing")
)</f>
        <v>2</v>
      </c>
      <c r="C189" s="1">
        <f>_xlfn.LET(_xlpm.loc, ITEquipmentTable[Storage Location],
COUNTIFS(ITSecondTable[Tag], ITSecondTable[[#This Row],[Tag]], _xlpm.loc, "&lt;&gt;E-Waste", _xlpm.loc, "&lt;&gt;Virtual", _xlpm.loc, "&lt;&gt;Decommisioned")
)</f>
        <v>17</v>
      </c>
      <c r="D189" s="168">
        <f>_xlfn.LET(_xlpm.loc, ITEquipmentTable[Storage Location],
COUNTIFS(ITSecondTable[Tag], ITSecondTable[[#This Row],[Tag]], _xlpm.loc, "Missing")
)</f>
        <v>0</v>
      </c>
      <c r="E189" s="168">
        <f>_xlfn.LET(_xlpm.loc, ITEquipmentTable[Storage Location],
COUNTIFS(ITSecondTable[Tag], ITSecondTable[[#This Row],[Tag]], _xlpm.loc, "In Use") + COUNTIFS(ITSecondTable[Tag], ITSecondTable[[#This Row],[Tag]], _xlpm.loc, "Assigned to Employee")
)</f>
        <v>5</v>
      </c>
      <c r="F189" s="168">
        <f>_xlfn.LET(_xlpm.loc, ITEquipmentTable[Storage Location],
COUNTIFS(ITSecondTable[Tag], ITSecondTable[[#This Row],[Tag]], _xlpm.loc, "")
)</f>
        <v>10</v>
      </c>
      <c r="G189" s="168">
        <f>MAX(ITSecondTable[[#This Row],[SQty]] - ITSecondTable[[#This Row],[IQty]], 0)</f>
        <v>2</v>
      </c>
      <c r="H189" s="168">
        <f>MAX(ITSecondTable[[#This Row],[IQty]]-ITSecondTable[[#This Row],[SQty]], 0)</f>
        <v>0</v>
      </c>
      <c r="I189" s="151" t="str">
        <f>IFERROR(_xlfn.TEXTJOIN("~", TRUE, ITEquipmentTable[[#This Row],[Type]],ITEquipmentTable[[#This Row],[Brand]],ITEquipmentTable[[#This Row],[Model]]), "")</f>
        <v>Laptop~HP~HP ProBook 640 G3</v>
      </c>
      <c r="J189" s="151" t="b">
        <f xml:space="preserve"> _xlfn.IFNA(MATCH( ITSecondTable[[#This Row],[Tag]], StorageTable[Tag], 0)  &gt; -1, FALSE)</f>
        <v>0</v>
      </c>
      <c r="K189" s="168" t="b">
        <f>COUNTIFS(ITEquipmentTable[Serial], ITEquipmentTable[[#This Row],[Serial]], ITEquipmentTable[Serial], "&lt;&gt;N/A") &gt; 1</f>
        <v>0</v>
      </c>
      <c r="L189" s="168" t="b">
        <f>COUNTIFS(ITEquipmentTable[Name], ITEquipmentTable[[#This Row],[Name]], ITEquipmentTable[Name], "&lt;&gt;&lt;Unassigned&gt;",  ITEquipmentTable[Name], "&lt;&gt;N/A") &gt; 1</f>
        <v>0</v>
      </c>
      <c r="M189" s="168" t="b">
        <f>AND(COUNTIFS(ITEquipmentTable[IPv4 Address], ITEquipmentTable[[#This Row],[IPv4 Address]]) &gt; 1, ITEquipmentTable[[#This Row],[IPv4 Address]] &lt;&gt; "DHCP",  ITEquipmentTable[[#This Row],[IPv4 Address]] &lt;&gt; "N/A")</f>
        <v>0</v>
      </c>
    </row>
    <row r="190" spans="1:13" x14ac:dyDescent="0.2">
      <c r="A190" s="168">
        <f>IF(LEN(ITSecondTable[[#This Row],[Tag]]) &gt; 0, _xlfn.XLOOKUP(ITSecondTable[[#This Row],[Tag]],StorageTable[Tag], StorageTable[In Storage - Count Total], "Err", 0, 1), 0)</f>
        <v>0</v>
      </c>
      <c r="B190" s="1">
        <f>_xlfn.LET(_xlpm.loc, ITEquipmentTable[Storage Location],
COUNTIFS(ITSecondTable[Tag], ITSecondTable[[#This Row],[Tag]], _xlpm.loc, "&lt;&gt;In Use", _xlpm.loc, "&lt;&gt;",  _xlpm.loc, "&lt;&gt;E-Waste", _xlpm.loc, "&lt;&gt;Virtual",  _xlpm.loc, "&lt;&gt;Assigned to Employee", _xlpm.loc, "&lt;&gt;Decommisioned", _xlpm.loc, "&lt;&gt;Missing")
)</f>
        <v>0</v>
      </c>
      <c r="C190" s="1">
        <f>_xlfn.LET(_xlpm.loc, ITEquipmentTable[Storage Location],
COUNTIFS(ITSecondTable[Tag], ITSecondTable[[#This Row],[Tag]], _xlpm.loc, "&lt;&gt;E-Waste", _xlpm.loc, "&lt;&gt;Virtual", _xlpm.loc, "&lt;&gt;Decommisioned")
)</f>
        <v>32</v>
      </c>
      <c r="D190" s="168">
        <f>_xlfn.LET(_xlpm.loc, ITEquipmentTable[Storage Location],
COUNTIFS(ITSecondTable[Tag], ITSecondTable[[#This Row],[Tag]], _xlpm.loc, "Missing")
)</f>
        <v>0</v>
      </c>
      <c r="E190" s="168">
        <f>_xlfn.LET(_xlpm.loc, ITEquipmentTable[Storage Location],
COUNTIFS(ITSecondTable[Tag], ITSecondTable[[#This Row],[Tag]], _xlpm.loc, "In Use") + COUNTIFS(ITSecondTable[Tag], ITSecondTable[[#This Row],[Tag]], _xlpm.loc, "Assigned to Employee")
)</f>
        <v>26</v>
      </c>
      <c r="F190" s="168">
        <f>_xlfn.LET(_xlpm.loc, ITEquipmentTable[Storage Location],
COUNTIFS(ITSecondTable[Tag], ITSecondTable[[#This Row],[Tag]], _xlpm.loc, "")
)</f>
        <v>6</v>
      </c>
      <c r="G190" s="168">
        <f>MAX(ITSecondTable[[#This Row],[SQty]] - ITSecondTable[[#This Row],[IQty]], 0)</f>
        <v>0</v>
      </c>
      <c r="H190" s="168">
        <f>MAX(ITSecondTable[[#This Row],[IQty]]-ITSecondTable[[#This Row],[SQty]], 0)</f>
        <v>0</v>
      </c>
      <c r="I190" s="151" t="str">
        <f>IFERROR(_xlfn.TEXTJOIN("~", TRUE, ITEquipmentTable[[#This Row],[Type]],ITEquipmentTable[[#This Row],[Brand]],ITEquipmentTable[[#This Row],[Model]]), "")</f>
        <v>Desktop</v>
      </c>
      <c r="J190" s="151" t="b">
        <f xml:space="preserve"> _xlfn.IFNA(MATCH( ITSecondTable[[#This Row],[Tag]], StorageTable[Tag], 0)  &gt; -1, FALSE)</f>
        <v>1</v>
      </c>
      <c r="K190" s="168" t="b">
        <f>COUNTIFS(ITEquipmentTable[Serial], ITEquipmentTable[[#This Row],[Serial]], ITEquipmentTable[Serial], "&lt;&gt;N/A") &gt; 1</f>
        <v>0</v>
      </c>
      <c r="L190" s="168" t="b">
        <f>COUNTIFS(ITEquipmentTable[Name], ITEquipmentTable[[#This Row],[Name]], ITEquipmentTable[Name], "&lt;&gt;&lt;Unassigned&gt;",  ITEquipmentTable[Name], "&lt;&gt;N/A") &gt; 1</f>
        <v>0</v>
      </c>
      <c r="M190" s="168" t="b">
        <f>AND(COUNTIFS(ITEquipmentTable[IPv4 Address], ITEquipmentTable[[#This Row],[IPv4 Address]]) &gt; 1, ITEquipmentTable[[#This Row],[IPv4 Address]] &lt;&gt; "DHCP",  ITEquipmentTable[[#This Row],[IPv4 Address]] &lt;&gt; "N/A")</f>
        <v>0</v>
      </c>
    </row>
    <row r="191" spans="1:13" x14ac:dyDescent="0.2">
      <c r="A191" s="168">
        <f>IF(LEN(ITSecondTable[[#This Row],[Tag]]) &gt; 0, _xlfn.XLOOKUP(ITSecondTable[[#This Row],[Tag]],StorageTable[Tag], StorageTable[In Storage - Count Total], "Err", 0, 1), 0)</f>
        <v>1</v>
      </c>
      <c r="B191" s="1">
        <f>_xlfn.LET(_xlpm.loc, ITEquipmentTable[Storage Location],
COUNTIFS(ITSecondTable[Tag], ITSecondTable[[#This Row],[Tag]], _xlpm.loc, "&lt;&gt;In Use", _xlpm.loc, "&lt;&gt;",  _xlpm.loc, "&lt;&gt;E-Waste", _xlpm.loc, "&lt;&gt;Virtual",  _xlpm.loc, "&lt;&gt;Assigned to Employee", _xlpm.loc, "&lt;&gt;Decommisioned", _xlpm.loc, "&lt;&gt;Missing")
)</f>
        <v>0</v>
      </c>
      <c r="C191" s="1">
        <f>_xlfn.LET(_xlpm.loc, ITEquipmentTable[Storage Location],
COUNTIFS(ITSecondTable[Tag], ITSecondTable[[#This Row],[Tag]], _xlpm.loc, "&lt;&gt;E-Waste", _xlpm.loc, "&lt;&gt;Virtual", _xlpm.loc, "&lt;&gt;Decommisioned")
)</f>
        <v>3</v>
      </c>
      <c r="D191" s="168">
        <f>_xlfn.LET(_xlpm.loc, ITEquipmentTable[Storage Location],
COUNTIFS(ITSecondTable[Tag], ITSecondTable[[#This Row],[Tag]], _xlpm.loc, "Missing")
)</f>
        <v>0</v>
      </c>
      <c r="E191" s="168">
        <f>_xlfn.LET(_xlpm.loc, ITEquipmentTable[Storage Location],
COUNTIFS(ITSecondTable[Tag], ITSecondTable[[#This Row],[Tag]], _xlpm.loc, "In Use") + COUNTIFS(ITSecondTable[Tag], ITSecondTable[[#This Row],[Tag]], _xlpm.loc, "Assigned to Employee")
)</f>
        <v>2</v>
      </c>
      <c r="F191" s="168">
        <f>_xlfn.LET(_xlpm.loc, ITEquipmentTable[Storage Location],
COUNTIFS(ITSecondTable[Tag], ITSecondTable[[#This Row],[Tag]], _xlpm.loc, "")
)</f>
        <v>1</v>
      </c>
      <c r="G191" s="168">
        <f>MAX(ITSecondTable[[#This Row],[SQty]] - ITSecondTable[[#This Row],[IQty]], 0)</f>
        <v>0</v>
      </c>
      <c r="H191" s="168">
        <f>MAX(ITSecondTable[[#This Row],[IQty]]-ITSecondTable[[#This Row],[SQty]], 0)</f>
        <v>1</v>
      </c>
      <c r="I191" s="151" t="str">
        <f>IFERROR(_xlfn.TEXTJOIN("~", TRUE, ITEquipmentTable[[#This Row],[Type]],ITEquipmentTable[[#This Row],[Brand]],ITEquipmentTable[[#This Row],[Model]]), "")</f>
        <v>Desktop~HP~HP ProDesk 600 G4 SFF</v>
      </c>
      <c r="J191" s="151" t="b">
        <f xml:space="preserve"> _xlfn.IFNA(MATCH( ITSecondTable[[#This Row],[Tag]], StorageTable[Tag], 0)  &gt; -1, FALSE)</f>
        <v>0</v>
      </c>
      <c r="K191" s="168" t="b">
        <f>COUNTIFS(ITEquipmentTable[Serial], ITEquipmentTable[[#This Row],[Serial]], ITEquipmentTable[Serial], "&lt;&gt;N/A") &gt; 1</f>
        <v>0</v>
      </c>
      <c r="L191" s="168" t="b">
        <f>COUNTIFS(ITEquipmentTable[Name], ITEquipmentTable[[#This Row],[Name]], ITEquipmentTable[Name], "&lt;&gt;&lt;Unassigned&gt;",  ITEquipmentTable[Name], "&lt;&gt;N/A") &gt; 1</f>
        <v>0</v>
      </c>
      <c r="M191" s="168" t="b">
        <f>AND(COUNTIFS(ITEquipmentTable[IPv4 Address], ITEquipmentTable[[#This Row],[IPv4 Address]]) &gt; 1, ITEquipmentTable[[#This Row],[IPv4 Address]] &lt;&gt; "DHCP",  ITEquipmentTable[[#This Row],[IPv4 Address]] &lt;&gt; "N/A")</f>
        <v>0</v>
      </c>
    </row>
    <row r="192" spans="1:13" x14ac:dyDescent="0.2">
      <c r="A192" s="168">
        <f>IF(LEN(ITSecondTable[[#This Row],[Tag]]) &gt; 0, _xlfn.XLOOKUP(ITSecondTable[[#This Row],[Tag]],StorageTable[Tag], StorageTable[In Storage - Count Total], "Err", 0, 1), 0)</f>
        <v>0</v>
      </c>
      <c r="B192" s="1">
        <f>_xlfn.LET(_xlpm.loc, ITEquipmentTable[Storage Location],
COUNTIFS(ITSecondTable[Tag], ITSecondTable[[#This Row],[Tag]], _xlpm.loc, "&lt;&gt;In Use", _xlpm.loc, "&lt;&gt;",  _xlpm.loc, "&lt;&gt;E-Waste", _xlpm.loc, "&lt;&gt;Virtual",  _xlpm.loc, "&lt;&gt;Assigned to Employee", _xlpm.loc, "&lt;&gt;Decommisioned", _xlpm.loc, "&lt;&gt;Missing")
)</f>
        <v>0</v>
      </c>
      <c r="C192" s="1">
        <f>_xlfn.LET(_xlpm.loc, ITEquipmentTable[Storage Location],
COUNTIFS(ITSecondTable[Tag], ITSecondTable[[#This Row],[Tag]], _xlpm.loc, "&lt;&gt;E-Waste", _xlpm.loc, "&lt;&gt;Virtual", _xlpm.loc, "&lt;&gt;Decommisioned")
)</f>
        <v>12</v>
      </c>
      <c r="D192" s="168">
        <f>_xlfn.LET(_xlpm.loc, ITEquipmentTable[Storage Location],
COUNTIFS(ITSecondTable[Tag], ITSecondTable[[#This Row],[Tag]], _xlpm.loc, "Missing")
)</f>
        <v>0</v>
      </c>
      <c r="E192" s="168">
        <f>_xlfn.LET(_xlpm.loc, ITEquipmentTable[Storage Location],
COUNTIFS(ITSecondTable[Tag], ITSecondTable[[#This Row],[Tag]], _xlpm.loc, "In Use") + COUNTIFS(ITSecondTable[Tag], ITSecondTable[[#This Row],[Tag]], _xlpm.loc, "Assigned to Employee")
)</f>
        <v>8</v>
      </c>
      <c r="F192" s="168">
        <f>_xlfn.LET(_xlpm.loc, ITEquipmentTable[Storage Location],
COUNTIFS(ITSecondTable[Tag], ITSecondTable[[#This Row],[Tag]], _xlpm.loc, "")
)</f>
        <v>4</v>
      </c>
      <c r="G192" s="168">
        <f>MAX(ITSecondTable[[#This Row],[SQty]] - ITSecondTable[[#This Row],[IQty]], 0)</f>
        <v>0</v>
      </c>
      <c r="H192" s="168">
        <f>MAX(ITSecondTable[[#This Row],[IQty]]-ITSecondTable[[#This Row],[SQty]], 0)</f>
        <v>0</v>
      </c>
      <c r="I192" s="151" t="str">
        <f>IFERROR(_xlfn.TEXTJOIN("~", TRUE, ITEquipmentTable[[#This Row],[Type]],ITEquipmentTable[[#This Row],[Brand]],ITEquipmentTable[[#This Row],[Model]]), "")</f>
        <v>Tablet~Microsoft~Surface Pro</v>
      </c>
      <c r="J192" s="151" t="b">
        <f xml:space="preserve"> _xlfn.IFNA(MATCH( ITSecondTable[[#This Row],[Tag]], StorageTable[Tag], 0)  &gt; -1, FALSE)</f>
        <v>0</v>
      </c>
      <c r="K192" s="168" t="b">
        <f>COUNTIFS(ITEquipmentTable[Serial], ITEquipmentTable[[#This Row],[Serial]], ITEquipmentTable[Serial], "&lt;&gt;N/A") &gt; 1</f>
        <v>0</v>
      </c>
      <c r="L192" s="168" t="b">
        <f>COUNTIFS(ITEquipmentTable[Name], ITEquipmentTable[[#This Row],[Name]], ITEquipmentTable[Name], "&lt;&gt;&lt;Unassigned&gt;",  ITEquipmentTable[Name], "&lt;&gt;N/A") &gt; 1</f>
        <v>0</v>
      </c>
      <c r="M192" s="168" t="b">
        <f>AND(COUNTIFS(ITEquipmentTable[IPv4 Address], ITEquipmentTable[[#This Row],[IPv4 Address]]) &gt; 1, ITEquipmentTable[[#This Row],[IPv4 Address]] &lt;&gt; "DHCP",  ITEquipmentTable[[#This Row],[IPv4 Address]] &lt;&gt; "N/A")</f>
        <v>0</v>
      </c>
    </row>
    <row r="193" spans="1:13" x14ac:dyDescent="0.2">
      <c r="A193" s="168">
        <f>IF(LEN(ITSecondTable[[#This Row],[Tag]]) &gt; 0, _xlfn.XLOOKUP(ITSecondTable[[#This Row],[Tag]],StorageTable[Tag], StorageTable[In Storage - Count Total], "Err", 0, 1), 0)</f>
        <v>0</v>
      </c>
      <c r="B193" s="1">
        <f>_xlfn.LET(_xlpm.loc, ITEquipmentTable[Storage Location],
COUNTIFS(ITSecondTable[Tag], ITSecondTable[[#This Row],[Tag]], _xlpm.loc, "&lt;&gt;In Use", _xlpm.loc, "&lt;&gt;",  _xlpm.loc, "&lt;&gt;E-Waste", _xlpm.loc, "&lt;&gt;Virtual",  _xlpm.loc, "&lt;&gt;Assigned to Employee", _xlpm.loc, "&lt;&gt;Decommisioned", _xlpm.loc, "&lt;&gt;Missing")
)</f>
        <v>0</v>
      </c>
      <c r="C193" s="1">
        <f>_xlfn.LET(_xlpm.loc, ITEquipmentTable[Storage Location],
COUNTIFS(ITSecondTable[Tag], ITSecondTable[[#This Row],[Tag]], _xlpm.loc, "&lt;&gt;E-Waste", _xlpm.loc, "&lt;&gt;Virtual", _xlpm.loc, "&lt;&gt;Decommisioned")
)</f>
        <v>1</v>
      </c>
      <c r="D193" s="168">
        <f>_xlfn.LET(_xlpm.loc, ITEquipmentTable[Storage Location],
COUNTIFS(ITSecondTable[Tag], ITSecondTable[[#This Row],[Tag]], _xlpm.loc, "Missing")
)</f>
        <v>0</v>
      </c>
      <c r="E193" s="168">
        <f>_xlfn.LET(_xlpm.loc, ITEquipmentTable[Storage Location],
COUNTIFS(ITSecondTable[Tag], ITSecondTable[[#This Row],[Tag]], _xlpm.loc, "In Use") + COUNTIFS(ITSecondTable[Tag], ITSecondTable[[#This Row],[Tag]], _xlpm.loc, "Assigned to Employee")
)</f>
        <v>1</v>
      </c>
      <c r="F193" s="168">
        <f>_xlfn.LET(_xlpm.loc, ITEquipmentTable[Storage Location],
COUNTIFS(ITSecondTable[Tag], ITSecondTable[[#This Row],[Tag]], _xlpm.loc, "")
)</f>
        <v>0</v>
      </c>
      <c r="G193" s="168">
        <f>MAX(ITSecondTable[[#This Row],[SQty]] - ITSecondTable[[#This Row],[IQty]], 0)</f>
        <v>0</v>
      </c>
      <c r="H193" s="168">
        <f>MAX(ITSecondTable[[#This Row],[IQty]]-ITSecondTable[[#This Row],[SQty]], 0)</f>
        <v>0</v>
      </c>
      <c r="I193" s="151" t="str">
        <f>IFERROR(_xlfn.TEXTJOIN("~", TRUE, ITEquipmentTable[[#This Row],[Type]],ITEquipmentTable[[#This Row],[Brand]],ITEquipmentTable[[#This Row],[Model]]), "")</f>
        <v>Printer~HP~LaserJet Pro MFP M225dn</v>
      </c>
      <c r="J193" s="151" t="b">
        <f xml:space="preserve"> _xlfn.IFNA(MATCH( ITSecondTable[[#This Row],[Tag]], StorageTable[Tag], 0)  &gt; -1, FALSE)</f>
        <v>0</v>
      </c>
      <c r="K193" s="168" t="b">
        <f>COUNTIFS(ITEquipmentTable[Serial], ITEquipmentTable[[#This Row],[Serial]], ITEquipmentTable[Serial], "&lt;&gt;N/A") &gt; 1</f>
        <v>0</v>
      </c>
      <c r="L193" s="168" t="b">
        <f>COUNTIFS(ITEquipmentTable[Name], ITEquipmentTable[[#This Row],[Name]], ITEquipmentTable[Name], "&lt;&gt;&lt;Unassigned&gt;",  ITEquipmentTable[Name], "&lt;&gt;N/A") &gt; 1</f>
        <v>0</v>
      </c>
      <c r="M193" s="168" t="b">
        <f>AND(COUNTIFS(ITEquipmentTable[IPv4 Address], ITEquipmentTable[[#This Row],[IPv4 Address]]) &gt; 1, ITEquipmentTable[[#This Row],[IPv4 Address]] &lt;&gt; "DHCP",  ITEquipmentTable[[#This Row],[IPv4 Address]] &lt;&gt; "N/A")</f>
        <v>0</v>
      </c>
    </row>
    <row r="194" spans="1:13" x14ac:dyDescent="0.2">
      <c r="A194" s="168">
        <f>IF(LEN(ITSecondTable[[#This Row],[Tag]]) &gt; 0, _xlfn.XLOOKUP(ITSecondTable[[#This Row],[Tag]],StorageTable[Tag], StorageTable[In Storage - Count Total], "Err", 0, 1), 0)</f>
        <v>1</v>
      </c>
      <c r="B194" s="1">
        <f>_xlfn.LET(_xlpm.loc, ITEquipmentTable[Storage Location],
COUNTIFS(ITSecondTable[Tag], ITSecondTable[[#This Row],[Tag]], _xlpm.loc, "&lt;&gt;In Use", _xlpm.loc, "&lt;&gt;",  _xlpm.loc, "&lt;&gt;E-Waste", _xlpm.loc, "&lt;&gt;Virtual",  _xlpm.loc, "&lt;&gt;Assigned to Employee", _xlpm.loc, "&lt;&gt;Decommisioned", _xlpm.loc, "&lt;&gt;Missing")
)</f>
        <v>0</v>
      </c>
      <c r="C194" s="1">
        <f>_xlfn.LET(_xlpm.loc, ITEquipmentTable[Storage Location],
COUNTIFS(ITSecondTable[Tag], ITSecondTable[[#This Row],[Tag]], _xlpm.loc, "&lt;&gt;E-Waste", _xlpm.loc, "&lt;&gt;Virtual", _xlpm.loc, "&lt;&gt;Decommisioned")
)</f>
        <v>3</v>
      </c>
      <c r="D194" s="168">
        <f>_xlfn.LET(_xlpm.loc, ITEquipmentTable[Storage Location],
COUNTIFS(ITSecondTable[Tag], ITSecondTable[[#This Row],[Tag]], _xlpm.loc, "Missing")
)</f>
        <v>0</v>
      </c>
      <c r="E194" s="168">
        <f>_xlfn.LET(_xlpm.loc, ITEquipmentTable[Storage Location],
COUNTIFS(ITSecondTable[Tag], ITSecondTable[[#This Row],[Tag]], _xlpm.loc, "In Use") + COUNTIFS(ITSecondTable[Tag], ITSecondTable[[#This Row],[Tag]], _xlpm.loc, "Assigned to Employee")
)</f>
        <v>2</v>
      </c>
      <c r="F194" s="168">
        <f>_xlfn.LET(_xlpm.loc, ITEquipmentTable[Storage Location],
COUNTIFS(ITSecondTable[Tag], ITSecondTable[[#This Row],[Tag]], _xlpm.loc, "")
)</f>
        <v>1</v>
      </c>
      <c r="G194" s="168">
        <f>MAX(ITSecondTable[[#This Row],[SQty]] - ITSecondTable[[#This Row],[IQty]], 0)</f>
        <v>0</v>
      </c>
      <c r="H194" s="168">
        <f>MAX(ITSecondTable[[#This Row],[IQty]]-ITSecondTable[[#This Row],[SQty]], 0)</f>
        <v>1</v>
      </c>
      <c r="I194" s="151" t="str">
        <f>IFERROR(_xlfn.TEXTJOIN("~", TRUE, ITEquipmentTable[[#This Row],[Type]],ITEquipmentTable[[#This Row],[Brand]],ITEquipmentTable[[#This Row],[Model]]), "")</f>
        <v>Desktop~HP~HP ProDesk 600 G4 SFF</v>
      </c>
      <c r="J194" s="151" t="b">
        <f xml:space="preserve"> _xlfn.IFNA(MATCH( ITSecondTable[[#This Row],[Tag]], StorageTable[Tag], 0)  &gt; -1, FALSE)</f>
        <v>0</v>
      </c>
      <c r="K194" s="168" t="b">
        <f>COUNTIFS(ITEquipmentTable[Serial], ITEquipmentTable[[#This Row],[Serial]], ITEquipmentTable[Serial], "&lt;&gt;N/A") &gt; 1</f>
        <v>0</v>
      </c>
      <c r="L194" s="168" t="b">
        <f>COUNTIFS(ITEquipmentTable[Name], ITEquipmentTable[[#This Row],[Name]], ITEquipmentTable[Name], "&lt;&gt;&lt;Unassigned&gt;",  ITEquipmentTable[Name], "&lt;&gt;N/A") &gt; 1</f>
        <v>0</v>
      </c>
      <c r="M194" s="168" t="b">
        <f>AND(COUNTIFS(ITEquipmentTable[IPv4 Address], ITEquipmentTable[[#This Row],[IPv4 Address]]) &gt; 1, ITEquipmentTable[[#This Row],[IPv4 Address]] &lt;&gt; "DHCP",  ITEquipmentTable[[#This Row],[IPv4 Address]] &lt;&gt; "N/A")</f>
        <v>0</v>
      </c>
    </row>
    <row r="195" spans="1:13" x14ac:dyDescent="0.2">
      <c r="A195" s="168">
        <f>IF(LEN(ITSecondTable[[#This Row],[Tag]]) &gt; 0, _xlfn.XLOOKUP(ITSecondTable[[#This Row],[Tag]],StorageTable[Tag], StorageTable[In Storage - Count Total], "Err", 0, 1), 0)</f>
        <v>6</v>
      </c>
      <c r="B195" s="1">
        <f>_xlfn.LET(_xlpm.loc, ITEquipmentTable[Storage Location],
COUNTIFS(ITSecondTable[Tag], ITSecondTable[[#This Row],[Tag]], _xlpm.loc, "&lt;&gt;In Use", _xlpm.loc, "&lt;&gt;",  _xlpm.loc, "&lt;&gt;E-Waste", _xlpm.loc, "&lt;&gt;Virtual",  _xlpm.loc, "&lt;&gt;Assigned to Employee", _xlpm.loc, "&lt;&gt;Decommisioned", _xlpm.loc, "&lt;&gt;Missing")
)</f>
        <v>17</v>
      </c>
      <c r="C195" s="1">
        <f>_xlfn.LET(_xlpm.loc, ITEquipmentTable[Storage Location],
COUNTIFS(ITSecondTable[Tag], ITSecondTable[[#This Row],[Tag]], _xlpm.loc, "&lt;&gt;E-Waste", _xlpm.loc, "&lt;&gt;Virtual", _xlpm.loc, "&lt;&gt;Decommisioned")
)</f>
        <v>64</v>
      </c>
      <c r="D195" s="168">
        <f>_xlfn.LET(_xlpm.loc, ITEquipmentTable[Storage Location],
COUNTIFS(ITSecondTable[Tag], ITSecondTable[[#This Row],[Tag]], _xlpm.loc, "Missing")
)</f>
        <v>0</v>
      </c>
      <c r="E195" s="168">
        <f>_xlfn.LET(_xlpm.loc, ITEquipmentTable[Storage Location],
COUNTIFS(ITSecondTable[Tag], ITSecondTable[[#This Row],[Tag]], _xlpm.loc, "In Use") + COUNTIFS(ITSecondTable[Tag], ITSecondTable[[#This Row],[Tag]], _xlpm.loc, "Assigned to Employee")
)</f>
        <v>30</v>
      </c>
      <c r="F195" s="168">
        <f>_xlfn.LET(_xlpm.loc, ITEquipmentTable[Storage Location],
COUNTIFS(ITSecondTable[Tag], ITSecondTable[[#This Row],[Tag]], _xlpm.loc, "")
)</f>
        <v>17</v>
      </c>
      <c r="G195" s="168">
        <f>MAX(ITSecondTable[[#This Row],[SQty]] - ITSecondTable[[#This Row],[IQty]], 0)</f>
        <v>11</v>
      </c>
      <c r="H195" s="168">
        <f>MAX(ITSecondTable[[#This Row],[IQty]]-ITSecondTable[[#This Row],[SQty]], 0)</f>
        <v>0</v>
      </c>
      <c r="I195" s="151" t="str">
        <f>IFERROR(_xlfn.TEXTJOIN("~", TRUE, ITEquipmentTable[[#This Row],[Type]],ITEquipmentTable[[#This Row],[Brand]],ITEquipmentTable[[#This Row],[Model]]), "")</f>
        <v>Desktop~Dell~OptiPlex 3040</v>
      </c>
      <c r="J195" s="151" t="b">
        <f xml:space="preserve"> _xlfn.IFNA(MATCH( ITSecondTable[[#This Row],[Tag]], StorageTable[Tag], 0)  &gt; -1, FALSE)</f>
        <v>0</v>
      </c>
      <c r="K195" s="168" t="b">
        <f>COUNTIFS(ITEquipmentTable[Serial], ITEquipmentTable[[#This Row],[Serial]], ITEquipmentTable[Serial], "&lt;&gt;N/A") &gt; 1</f>
        <v>0</v>
      </c>
      <c r="L195" s="168" t="b">
        <f>COUNTIFS(ITEquipmentTable[Name], ITEquipmentTable[[#This Row],[Name]], ITEquipmentTable[Name], "&lt;&gt;&lt;Unassigned&gt;",  ITEquipmentTable[Name], "&lt;&gt;N/A") &gt; 1</f>
        <v>0</v>
      </c>
      <c r="M195" s="168" t="b">
        <f>AND(COUNTIFS(ITEquipmentTable[IPv4 Address], ITEquipmentTable[[#This Row],[IPv4 Address]]) &gt; 1, ITEquipmentTable[[#This Row],[IPv4 Address]] &lt;&gt; "DHCP",  ITEquipmentTable[[#This Row],[IPv4 Address]] &lt;&gt; "N/A")</f>
        <v>0</v>
      </c>
    </row>
    <row r="196" spans="1:13" x14ac:dyDescent="0.2">
      <c r="A196" s="168">
        <f>IF(LEN(ITSecondTable[[#This Row],[Tag]]) &gt; 0, _xlfn.XLOOKUP(ITSecondTable[[#This Row],[Tag]],StorageTable[Tag], StorageTable[In Storage - Count Total], "Err", 0, 1), 0)</f>
        <v>0</v>
      </c>
      <c r="B196" s="1">
        <f>_xlfn.LET(_xlpm.loc, ITEquipmentTable[Storage Location],
COUNTIFS(ITSecondTable[Tag], ITSecondTable[[#This Row],[Tag]], _xlpm.loc, "&lt;&gt;In Use", _xlpm.loc, "&lt;&gt;",  _xlpm.loc, "&lt;&gt;E-Waste", _xlpm.loc, "&lt;&gt;Virtual",  _xlpm.loc, "&lt;&gt;Assigned to Employee", _xlpm.loc, "&lt;&gt;Decommisioned", _xlpm.loc, "&lt;&gt;Missing")
)</f>
        <v>0</v>
      </c>
      <c r="C196" s="1">
        <f>_xlfn.LET(_xlpm.loc, ITEquipmentTable[Storage Location],
COUNTIFS(ITSecondTable[Tag], ITSecondTable[[#This Row],[Tag]], _xlpm.loc, "&lt;&gt;E-Waste", _xlpm.loc, "&lt;&gt;Virtual", _xlpm.loc, "&lt;&gt;Decommisioned")
)</f>
        <v>29</v>
      </c>
      <c r="D196" s="168">
        <f>_xlfn.LET(_xlpm.loc, ITEquipmentTable[Storage Location],
COUNTIFS(ITSecondTable[Tag], ITSecondTable[[#This Row],[Tag]], _xlpm.loc, "Missing")
)</f>
        <v>0</v>
      </c>
      <c r="E196" s="168">
        <f>_xlfn.LET(_xlpm.loc, ITEquipmentTable[Storage Location],
COUNTIFS(ITSecondTable[Tag], ITSecondTable[[#This Row],[Tag]], _xlpm.loc, "In Use") + COUNTIFS(ITSecondTable[Tag], ITSecondTable[[#This Row],[Tag]], _xlpm.loc, "Assigned to Employee")
)</f>
        <v>3</v>
      </c>
      <c r="F196" s="168">
        <f>_xlfn.LET(_xlpm.loc, ITEquipmentTable[Storage Location],
COUNTIFS(ITSecondTable[Tag], ITSecondTable[[#This Row],[Tag]], _xlpm.loc, "")
)</f>
        <v>26</v>
      </c>
      <c r="G196" s="168">
        <f>MAX(ITSecondTable[[#This Row],[SQty]] - ITSecondTable[[#This Row],[IQty]], 0)</f>
        <v>0</v>
      </c>
      <c r="H196" s="168">
        <f>MAX(ITSecondTable[[#This Row],[IQty]]-ITSecondTable[[#This Row],[SQty]], 0)</f>
        <v>0</v>
      </c>
      <c r="I196" s="151" t="str">
        <f>IFERROR(_xlfn.TEXTJOIN("~", TRUE, ITEquipmentTable[[#This Row],[Type]],ITEquipmentTable[[#This Row],[Brand]],ITEquipmentTable[[#This Row],[Model]]), "")</f>
        <v>Laptop~HP~HP ProBook 650 G2</v>
      </c>
      <c r="J196" s="151" t="b">
        <f xml:space="preserve"> _xlfn.IFNA(MATCH( ITSecondTable[[#This Row],[Tag]], StorageTable[Tag], 0)  &gt; -1, FALSE)</f>
        <v>0</v>
      </c>
      <c r="K196" s="168" t="b">
        <f>COUNTIFS(ITEquipmentTable[Serial], ITEquipmentTable[[#This Row],[Serial]], ITEquipmentTable[Serial], "&lt;&gt;N/A") &gt; 1</f>
        <v>0</v>
      </c>
      <c r="L196" s="168" t="b">
        <f>COUNTIFS(ITEquipmentTable[Name], ITEquipmentTable[[#This Row],[Name]], ITEquipmentTable[Name], "&lt;&gt;&lt;Unassigned&gt;",  ITEquipmentTable[Name], "&lt;&gt;N/A") &gt; 1</f>
        <v>0</v>
      </c>
      <c r="M196" s="168" t="b">
        <f>AND(COUNTIFS(ITEquipmentTable[IPv4 Address], ITEquipmentTable[[#This Row],[IPv4 Address]]) &gt; 1, ITEquipmentTable[[#This Row],[IPv4 Address]] &lt;&gt; "DHCP",  ITEquipmentTable[[#This Row],[IPv4 Address]] &lt;&gt; "N/A")</f>
        <v>0</v>
      </c>
    </row>
    <row r="197" spans="1:13" x14ac:dyDescent="0.2">
      <c r="A197" s="168">
        <f>IF(LEN(ITSecondTable[[#This Row],[Tag]]) &gt; 0, _xlfn.XLOOKUP(ITSecondTable[[#This Row],[Tag]],StorageTable[Tag], StorageTable[In Storage - Count Total], "Err", 0, 1), 0)</f>
        <v>0</v>
      </c>
      <c r="B197" s="1">
        <f>_xlfn.LET(_xlpm.loc, ITEquipmentTable[Storage Location],
COUNTIFS(ITSecondTable[Tag], ITSecondTable[[#This Row],[Tag]], _xlpm.loc, "&lt;&gt;In Use", _xlpm.loc, "&lt;&gt;",  _xlpm.loc, "&lt;&gt;E-Waste", _xlpm.loc, "&lt;&gt;Virtual",  _xlpm.loc, "&lt;&gt;Assigned to Employee", _xlpm.loc, "&lt;&gt;Decommisioned", _xlpm.loc, "&lt;&gt;Missing")
)</f>
        <v>0</v>
      </c>
      <c r="C197" s="1">
        <f>_xlfn.LET(_xlpm.loc, ITEquipmentTable[Storage Location],
COUNTIFS(ITSecondTable[Tag], ITSecondTable[[#This Row],[Tag]], _xlpm.loc, "&lt;&gt;E-Waste", _xlpm.loc, "&lt;&gt;Virtual", _xlpm.loc, "&lt;&gt;Decommisioned")
)</f>
        <v>78</v>
      </c>
      <c r="D197" s="168">
        <f>_xlfn.LET(_xlpm.loc, ITEquipmentTable[Storage Location],
COUNTIFS(ITSecondTable[Tag], ITSecondTable[[#This Row],[Tag]], _xlpm.loc, "Missing")
)</f>
        <v>0</v>
      </c>
      <c r="E197" s="168">
        <f>_xlfn.LET(_xlpm.loc, ITEquipmentTable[Storage Location],
COUNTIFS(ITSecondTable[Tag], ITSecondTable[[#This Row],[Tag]], _xlpm.loc, "In Use") + COUNTIFS(ITSecondTable[Tag], ITSecondTable[[#This Row],[Tag]], _xlpm.loc, "Assigned to Employee")
)</f>
        <v>44</v>
      </c>
      <c r="F197" s="168">
        <f>_xlfn.LET(_xlpm.loc, ITEquipmentTable[Storage Location],
COUNTIFS(ITSecondTable[Tag], ITSecondTable[[#This Row],[Tag]], _xlpm.loc, "")
)</f>
        <v>34</v>
      </c>
      <c r="G197" s="168">
        <f>MAX(ITSecondTable[[#This Row],[SQty]] - ITSecondTable[[#This Row],[IQty]], 0)</f>
        <v>0</v>
      </c>
      <c r="H197" s="168">
        <f>MAX(ITSecondTable[[#This Row],[IQty]]-ITSecondTable[[#This Row],[SQty]], 0)</f>
        <v>0</v>
      </c>
      <c r="I197" s="151" t="str">
        <f>IFERROR(_xlfn.TEXTJOIN("~", TRUE, ITEquipmentTable[[#This Row],[Type]],ITEquipmentTable[[#This Row],[Brand]],ITEquipmentTable[[#This Row],[Model]]), "")</f>
        <v>Laptop~HP</v>
      </c>
      <c r="J197" s="151" t="b">
        <f xml:space="preserve"> _xlfn.IFNA(MATCH( ITSecondTable[[#This Row],[Tag]], StorageTable[Tag], 0)  &gt; -1, FALSE)</f>
        <v>0</v>
      </c>
      <c r="K197" s="168" t="b">
        <f>COUNTIFS(ITEquipmentTable[Serial], ITEquipmentTable[[#This Row],[Serial]], ITEquipmentTable[Serial], "&lt;&gt;N/A") &gt; 1</f>
        <v>0</v>
      </c>
      <c r="L197" s="168" t="b">
        <f>COUNTIFS(ITEquipmentTable[Name], ITEquipmentTable[[#This Row],[Name]], ITEquipmentTable[Name], "&lt;&gt;&lt;Unassigned&gt;",  ITEquipmentTable[Name], "&lt;&gt;N/A") &gt; 1</f>
        <v>0</v>
      </c>
      <c r="M197" s="168" t="b">
        <f>AND(COUNTIFS(ITEquipmentTable[IPv4 Address], ITEquipmentTable[[#This Row],[IPv4 Address]]) &gt; 1, ITEquipmentTable[[#This Row],[IPv4 Address]] &lt;&gt; "DHCP",  ITEquipmentTable[[#This Row],[IPv4 Address]] &lt;&gt; "N/A")</f>
        <v>0</v>
      </c>
    </row>
    <row r="198" spans="1:13" x14ac:dyDescent="0.2">
      <c r="A198" s="168">
        <f>IF(LEN(ITSecondTable[[#This Row],[Tag]]) &gt; 0, _xlfn.XLOOKUP(ITSecondTable[[#This Row],[Tag]],StorageTable[Tag], StorageTable[In Storage - Count Total], "Err", 0, 1), 0)</f>
        <v>0</v>
      </c>
      <c r="B198" s="1">
        <f>_xlfn.LET(_xlpm.loc, ITEquipmentTable[Storage Location],
COUNTIFS(ITSecondTable[Tag], ITSecondTable[[#This Row],[Tag]], _xlpm.loc, "&lt;&gt;In Use", _xlpm.loc, "&lt;&gt;",  _xlpm.loc, "&lt;&gt;E-Waste", _xlpm.loc, "&lt;&gt;Virtual",  _xlpm.loc, "&lt;&gt;Assigned to Employee", _xlpm.loc, "&lt;&gt;Decommisioned", _xlpm.loc, "&lt;&gt;Missing")
)</f>
        <v>0</v>
      </c>
      <c r="C198" s="1">
        <f>_xlfn.LET(_xlpm.loc, ITEquipmentTable[Storage Location],
COUNTIFS(ITSecondTable[Tag], ITSecondTable[[#This Row],[Tag]], _xlpm.loc, "&lt;&gt;E-Waste", _xlpm.loc, "&lt;&gt;Virtual", _xlpm.loc, "&lt;&gt;Decommisioned")
)</f>
        <v>29</v>
      </c>
      <c r="D198" s="168">
        <f>_xlfn.LET(_xlpm.loc, ITEquipmentTable[Storage Location],
COUNTIFS(ITSecondTable[Tag], ITSecondTable[[#This Row],[Tag]], _xlpm.loc, "Missing")
)</f>
        <v>0</v>
      </c>
      <c r="E198" s="168">
        <f>_xlfn.LET(_xlpm.loc, ITEquipmentTable[Storage Location],
COUNTIFS(ITSecondTable[Tag], ITSecondTable[[#This Row],[Tag]], _xlpm.loc, "In Use") + COUNTIFS(ITSecondTable[Tag], ITSecondTable[[#This Row],[Tag]], _xlpm.loc, "Assigned to Employee")
)</f>
        <v>3</v>
      </c>
      <c r="F198" s="168">
        <f>_xlfn.LET(_xlpm.loc, ITEquipmentTable[Storage Location],
COUNTIFS(ITSecondTable[Tag], ITSecondTable[[#This Row],[Tag]], _xlpm.loc, "")
)</f>
        <v>26</v>
      </c>
      <c r="G198" s="168">
        <f>MAX(ITSecondTable[[#This Row],[SQty]] - ITSecondTable[[#This Row],[IQty]], 0)</f>
        <v>0</v>
      </c>
      <c r="H198" s="168">
        <f>MAX(ITSecondTable[[#This Row],[IQty]]-ITSecondTable[[#This Row],[SQty]], 0)</f>
        <v>0</v>
      </c>
      <c r="I198" s="151" t="str">
        <f>IFERROR(_xlfn.TEXTJOIN("~", TRUE, ITEquipmentTable[[#This Row],[Type]],ITEquipmentTable[[#This Row],[Brand]],ITEquipmentTable[[#This Row],[Model]]), "")</f>
        <v>Laptop~HP~HP ProBook 650 G2</v>
      </c>
      <c r="J198" s="151" t="b">
        <f xml:space="preserve"> _xlfn.IFNA(MATCH( ITSecondTable[[#This Row],[Tag]], StorageTable[Tag], 0)  &gt; -1, FALSE)</f>
        <v>0</v>
      </c>
      <c r="K198" s="168" t="b">
        <f>COUNTIFS(ITEquipmentTable[Serial], ITEquipmentTable[[#This Row],[Serial]], ITEquipmentTable[Serial], "&lt;&gt;N/A") &gt; 1</f>
        <v>0</v>
      </c>
      <c r="L198" s="168" t="b">
        <f>COUNTIFS(ITEquipmentTable[Name], ITEquipmentTable[[#This Row],[Name]], ITEquipmentTable[Name], "&lt;&gt;&lt;Unassigned&gt;",  ITEquipmentTable[Name], "&lt;&gt;N/A") &gt; 1</f>
        <v>0</v>
      </c>
      <c r="M198" s="168" t="b">
        <f>AND(COUNTIFS(ITEquipmentTable[IPv4 Address], ITEquipmentTable[[#This Row],[IPv4 Address]]) &gt; 1, ITEquipmentTable[[#This Row],[IPv4 Address]] &lt;&gt; "DHCP",  ITEquipmentTable[[#This Row],[IPv4 Address]] &lt;&gt; "N/A")</f>
        <v>0</v>
      </c>
    </row>
    <row r="199" spans="1:13" x14ac:dyDescent="0.2">
      <c r="A199" s="168">
        <f>IF(LEN(ITSecondTable[[#This Row],[Tag]]) &gt; 0, _xlfn.XLOOKUP(ITSecondTable[[#This Row],[Tag]],StorageTable[Tag], StorageTable[In Storage - Count Total], "Err", 0, 1), 0)</f>
        <v>1</v>
      </c>
      <c r="B199" s="1">
        <f>_xlfn.LET(_xlpm.loc, ITEquipmentTable[Storage Location],
COUNTIFS(ITSecondTable[Tag], ITSecondTable[[#This Row],[Tag]], _xlpm.loc, "&lt;&gt;In Use", _xlpm.loc, "&lt;&gt;",  _xlpm.loc, "&lt;&gt;E-Waste", _xlpm.loc, "&lt;&gt;Virtual",  _xlpm.loc, "&lt;&gt;Assigned to Employee", _xlpm.loc, "&lt;&gt;Decommisioned", _xlpm.loc, "&lt;&gt;Missing")
)</f>
        <v>0</v>
      </c>
      <c r="C199" s="1">
        <f>_xlfn.LET(_xlpm.loc, ITEquipmentTable[Storage Location],
COUNTIFS(ITSecondTable[Tag], ITSecondTable[[#This Row],[Tag]], _xlpm.loc, "&lt;&gt;E-Waste", _xlpm.loc, "&lt;&gt;Virtual", _xlpm.loc, "&lt;&gt;Decommisioned")
)</f>
        <v>3</v>
      </c>
      <c r="D199" s="168">
        <f>_xlfn.LET(_xlpm.loc, ITEquipmentTable[Storage Location],
COUNTIFS(ITSecondTable[Tag], ITSecondTable[[#This Row],[Tag]], _xlpm.loc, "Missing")
)</f>
        <v>0</v>
      </c>
      <c r="E199" s="168">
        <f>_xlfn.LET(_xlpm.loc, ITEquipmentTable[Storage Location],
COUNTIFS(ITSecondTable[Tag], ITSecondTable[[#This Row],[Tag]], _xlpm.loc, "In Use") + COUNTIFS(ITSecondTable[Tag], ITSecondTable[[#This Row],[Tag]], _xlpm.loc, "Assigned to Employee")
)</f>
        <v>2</v>
      </c>
      <c r="F199" s="168">
        <f>_xlfn.LET(_xlpm.loc, ITEquipmentTable[Storage Location],
COUNTIFS(ITSecondTable[Tag], ITSecondTable[[#This Row],[Tag]], _xlpm.loc, "")
)</f>
        <v>1</v>
      </c>
      <c r="G199" s="168">
        <f>MAX(ITSecondTable[[#This Row],[SQty]] - ITSecondTable[[#This Row],[IQty]], 0)</f>
        <v>0</v>
      </c>
      <c r="H199" s="168">
        <f>MAX(ITSecondTable[[#This Row],[IQty]]-ITSecondTable[[#This Row],[SQty]], 0)</f>
        <v>1</v>
      </c>
      <c r="I199" s="151" t="str">
        <f>IFERROR(_xlfn.TEXTJOIN("~", TRUE, ITEquipmentTable[[#This Row],[Type]],ITEquipmentTable[[#This Row],[Brand]],ITEquipmentTable[[#This Row],[Model]]), "")</f>
        <v>Desktop~HP~HP ProDesk 600 G4 SFF</v>
      </c>
      <c r="J199" s="151" t="b">
        <f xml:space="preserve"> _xlfn.IFNA(MATCH( ITSecondTable[[#This Row],[Tag]], StorageTable[Tag], 0)  &gt; -1, FALSE)</f>
        <v>0</v>
      </c>
      <c r="K199" s="168" t="b">
        <f>COUNTIFS(ITEquipmentTable[Serial], ITEquipmentTable[[#This Row],[Serial]], ITEquipmentTable[Serial], "&lt;&gt;N/A") &gt; 1</f>
        <v>0</v>
      </c>
      <c r="L199" s="168" t="b">
        <f>COUNTIFS(ITEquipmentTable[Name], ITEquipmentTable[[#This Row],[Name]], ITEquipmentTable[Name], "&lt;&gt;&lt;Unassigned&gt;",  ITEquipmentTable[Name], "&lt;&gt;N/A") &gt; 1</f>
        <v>0</v>
      </c>
      <c r="M199" s="168" t="b">
        <f>AND(COUNTIFS(ITEquipmentTable[IPv4 Address], ITEquipmentTable[[#This Row],[IPv4 Address]]) &gt; 1, ITEquipmentTable[[#This Row],[IPv4 Address]] &lt;&gt; "DHCP",  ITEquipmentTable[[#This Row],[IPv4 Address]] &lt;&gt; "N/A")</f>
        <v>0</v>
      </c>
    </row>
    <row r="200" spans="1:13" x14ac:dyDescent="0.2">
      <c r="A200" s="168">
        <f>IF(LEN(ITSecondTable[[#This Row],[Tag]]) &gt; 0, _xlfn.XLOOKUP(ITSecondTable[[#This Row],[Tag]],StorageTable[Tag], StorageTable[In Storage - Count Total], "Err", 0, 1), 0)</f>
        <v>6</v>
      </c>
      <c r="B200" s="1">
        <f>_xlfn.LET(_xlpm.loc, ITEquipmentTable[Storage Location],
COUNTIFS(ITSecondTable[Tag], ITSecondTable[[#This Row],[Tag]], _xlpm.loc, "&lt;&gt;In Use", _xlpm.loc, "&lt;&gt;",  _xlpm.loc, "&lt;&gt;E-Waste", _xlpm.loc, "&lt;&gt;Virtual",  _xlpm.loc, "&lt;&gt;Assigned to Employee", _xlpm.loc, "&lt;&gt;Decommisioned", _xlpm.loc, "&lt;&gt;Missing")
)</f>
        <v>17</v>
      </c>
      <c r="C200" s="1">
        <f>_xlfn.LET(_xlpm.loc, ITEquipmentTable[Storage Location],
COUNTIFS(ITSecondTable[Tag], ITSecondTable[[#This Row],[Tag]], _xlpm.loc, "&lt;&gt;E-Waste", _xlpm.loc, "&lt;&gt;Virtual", _xlpm.loc, "&lt;&gt;Decommisioned")
)</f>
        <v>64</v>
      </c>
      <c r="D200" s="168">
        <f>_xlfn.LET(_xlpm.loc, ITEquipmentTable[Storage Location],
COUNTIFS(ITSecondTable[Tag], ITSecondTable[[#This Row],[Tag]], _xlpm.loc, "Missing")
)</f>
        <v>0</v>
      </c>
      <c r="E200" s="168">
        <f>_xlfn.LET(_xlpm.loc, ITEquipmentTable[Storage Location],
COUNTIFS(ITSecondTable[Tag], ITSecondTable[[#This Row],[Tag]], _xlpm.loc, "In Use") + COUNTIFS(ITSecondTable[Tag], ITSecondTable[[#This Row],[Tag]], _xlpm.loc, "Assigned to Employee")
)</f>
        <v>30</v>
      </c>
      <c r="F200" s="168">
        <f>_xlfn.LET(_xlpm.loc, ITEquipmentTable[Storage Location],
COUNTIFS(ITSecondTable[Tag], ITSecondTable[[#This Row],[Tag]], _xlpm.loc, "")
)</f>
        <v>17</v>
      </c>
      <c r="G200" s="168">
        <f>MAX(ITSecondTable[[#This Row],[SQty]] - ITSecondTable[[#This Row],[IQty]], 0)</f>
        <v>11</v>
      </c>
      <c r="H200" s="168">
        <f>MAX(ITSecondTable[[#This Row],[IQty]]-ITSecondTable[[#This Row],[SQty]], 0)</f>
        <v>0</v>
      </c>
      <c r="I200" s="151" t="str">
        <f>IFERROR(_xlfn.TEXTJOIN("~", TRUE, ITEquipmentTable[[#This Row],[Type]],ITEquipmentTable[[#This Row],[Brand]],ITEquipmentTable[[#This Row],[Model]]), "")</f>
        <v>Desktop~Dell~OptiPlex 3040</v>
      </c>
      <c r="J200" s="151" t="b">
        <f xml:space="preserve"> _xlfn.IFNA(MATCH( ITSecondTable[[#This Row],[Tag]], StorageTable[Tag], 0)  &gt; -1, FALSE)</f>
        <v>0</v>
      </c>
      <c r="K200" s="168" t="b">
        <f>COUNTIFS(ITEquipmentTable[Serial], ITEquipmentTable[[#This Row],[Serial]], ITEquipmentTable[Serial], "&lt;&gt;N/A") &gt; 1</f>
        <v>0</v>
      </c>
      <c r="L200" s="168" t="b">
        <f>COUNTIFS(ITEquipmentTable[Name], ITEquipmentTable[[#This Row],[Name]], ITEquipmentTable[Name], "&lt;&gt;&lt;Unassigned&gt;",  ITEquipmentTable[Name], "&lt;&gt;N/A") &gt; 1</f>
        <v>0</v>
      </c>
      <c r="M200" s="168" t="b">
        <f>AND(COUNTIFS(ITEquipmentTable[IPv4 Address], ITEquipmentTable[[#This Row],[IPv4 Address]]) &gt; 1, ITEquipmentTable[[#This Row],[IPv4 Address]] &lt;&gt; "DHCP",  ITEquipmentTable[[#This Row],[IPv4 Address]] &lt;&gt; "N/A")</f>
        <v>0</v>
      </c>
    </row>
    <row r="201" spans="1:13" x14ac:dyDescent="0.2">
      <c r="A201" s="168">
        <f>IF(LEN(ITSecondTable[[#This Row],[Tag]]) &gt; 0, _xlfn.XLOOKUP(ITSecondTable[[#This Row],[Tag]],StorageTable[Tag], StorageTable[In Storage - Count Total], "Err", 0, 1), 0)</f>
        <v>6</v>
      </c>
      <c r="B201" s="1">
        <f>_xlfn.LET(_xlpm.loc, ITEquipmentTable[Storage Location],
COUNTIFS(ITSecondTable[Tag], ITSecondTable[[#This Row],[Tag]], _xlpm.loc, "&lt;&gt;In Use", _xlpm.loc, "&lt;&gt;",  _xlpm.loc, "&lt;&gt;E-Waste", _xlpm.loc, "&lt;&gt;Virtual",  _xlpm.loc, "&lt;&gt;Assigned to Employee", _xlpm.loc, "&lt;&gt;Decommisioned", _xlpm.loc, "&lt;&gt;Missing")
)</f>
        <v>17</v>
      </c>
      <c r="C201" s="1">
        <f>_xlfn.LET(_xlpm.loc, ITEquipmentTable[Storage Location],
COUNTIFS(ITSecondTable[Tag], ITSecondTable[[#This Row],[Tag]], _xlpm.loc, "&lt;&gt;E-Waste", _xlpm.loc, "&lt;&gt;Virtual", _xlpm.loc, "&lt;&gt;Decommisioned")
)</f>
        <v>64</v>
      </c>
      <c r="D201" s="168">
        <f>_xlfn.LET(_xlpm.loc, ITEquipmentTable[Storage Location],
COUNTIFS(ITSecondTable[Tag], ITSecondTable[[#This Row],[Tag]], _xlpm.loc, "Missing")
)</f>
        <v>0</v>
      </c>
      <c r="E201" s="168">
        <f>_xlfn.LET(_xlpm.loc, ITEquipmentTable[Storage Location],
COUNTIFS(ITSecondTable[Tag], ITSecondTable[[#This Row],[Tag]], _xlpm.loc, "In Use") + COUNTIFS(ITSecondTable[Tag], ITSecondTable[[#This Row],[Tag]], _xlpm.loc, "Assigned to Employee")
)</f>
        <v>30</v>
      </c>
      <c r="F201" s="168">
        <f>_xlfn.LET(_xlpm.loc, ITEquipmentTable[Storage Location],
COUNTIFS(ITSecondTable[Tag], ITSecondTable[[#This Row],[Tag]], _xlpm.loc, "")
)</f>
        <v>17</v>
      </c>
      <c r="G201" s="168">
        <f>MAX(ITSecondTable[[#This Row],[SQty]] - ITSecondTable[[#This Row],[IQty]], 0)</f>
        <v>11</v>
      </c>
      <c r="H201" s="168">
        <f>MAX(ITSecondTable[[#This Row],[IQty]]-ITSecondTable[[#This Row],[SQty]], 0)</f>
        <v>0</v>
      </c>
      <c r="I201" s="151" t="str">
        <f>IFERROR(_xlfn.TEXTJOIN("~", TRUE, ITEquipmentTable[[#This Row],[Type]],ITEquipmentTable[[#This Row],[Brand]],ITEquipmentTable[[#This Row],[Model]]), "")</f>
        <v>Desktop~Dell~OptiPlex 3040</v>
      </c>
      <c r="J201" s="151" t="b">
        <f xml:space="preserve"> _xlfn.IFNA(MATCH( ITSecondTable[[#This Row],[Tag]], StorageTable[Tag], 0)  &gt; -1, FALSE)</f>
        <v>0</v>
      </c>
      <c r="K201" s="168" t="b">
        <f>COUNTIFS(ITEquipmentTable[Serial], ITEquipmentTable[[#This Row],[Serial]], ITEquipmentTable[Serial], "&lt;&gt;N/A") &gt; 1</f>
        <v>0</v>
      </c>
      <c r="L201" s="168" t="b">
        <f>COUNTIFS(ITEquipmentTable[Name], ITEquipmentTable[[#This Row],[Name]], ITEquipmentTable[Name], "&lt;&gt;&lt;Unassigned&gt;",  ITEquipmentTable[Name], "&lt;&gt;N/A") &gt; 1</f>
        <v>0</v>
      </c>
      <c r="M201" s="168" t="b">
        <f>AND(COUNTIFS(ITEquipmentTable[IPv4 Address], ITEquipmentTable[[#This Row],[IPv4 Address]]) &gt; 1, ITEquipmentTable[[#This Row],[IPv4 Address]] &lt;&gt; "DHCP",  ITEquipmentTable[[#This Row],[IPv4 Address]] &lt;&gt; "N/A")</f>
        <v>0</v>
      </c>
    </row>
    <row r="202" spans="1:13" x14ac:dyDescent="0.2">
      <c r="A202" s="168">
        <f>IF(LEN(ITSecondTable[[#This Row],[Tag]]) &gt; 0, _xlfn.XLOOKUP(ITSecondTable[[#This Row],[Tag]],StorageTable[Tag], StorageTable[In Storage - Count Total], "Err", 0, 1), 0)</f>
        <v>0</v>
      </c>
      <c r="B202" s="1">
        <f>_xlfn.LET(_xlpm.loc, ITEquipmentTable[Storage Location],
COUNTIFS(ITSecondTable[Tag], ITSecondTable[[#This Row],[Tag]], _xlpm.loc, "&lt;&gt;In Use", _xlpm.loc, "&lt;&gt;",  _xlpm.loc, "&lt;&gt;E-Waste", _xlpm.loc, "&lt;&gt;Virtual",  _xlpm.loc, "&lt;&gt;Assigned to Employee", _xlpm.loc, "&lt;&gt;Decommisioned", _xlpm.loc, "&lt;&gt;Missing")
)</f>
        <v>0</v>
      </c>
      <c r="C202" s="1">
        <f>_xlfn.LET(_xlpm.loc, ITEquipmentTable[Storage Location],
COUNTIFS(ITSecondTable[Tag], ITSecondTable[[#This Row],[Tag]], _xlpm.loc, "&lt;&gt;E-Waste", _xlpm.loc, "&lt;&gt;Virtual", _xlpm.loc, "&lt;&gt;Decommisioned")
)</f>
        <v>78</v>
      </c>
      <c r="D202" s="168">
        <f>_xlfn.LET(_xlpm.loc, ITEquipmentTable[Storage Location],
COUNTIFS(ITSecondTable[Tag], ITSecondTable[[#This Row],[Tag]], _xlpm.loc, "Missing")
)</f>
        <v>0</v>
      </c>
      <c r="E202" s="168">
        <f>_xlfn.LET(_xlpm.loc, ITEquipmentTable[Storage Location],
COUNTIFS(ITSecondTable[Tag], ITSecondTable[[#This Row],[Tag]], _xlpm.loc, "In Use") + COUNTIFS(ITSecondTable[Tag], ITSecondTable[[#This Row],[Tag]], _xlpm.loc, "Assigned to Employee")
)</f>
        <v>44</v>
      </c>
      <c r="F202" s="168">
        <f>_xlfn.LET(_xlpm.loc, ITEquipmentTable[Storage Location],
COUNTIFS(ITSecondTable[Tag], ITSecondTable[[#This Row],[Tag]], _xlpm.loc, "")
)</f>
        <v>34</v>
      </c>
      <c r="G202" s="168">
        <f>MAX(ITSecondTable[[#This Row],[SQty]] - ITSecondTable[[#This Row],[IQty]], 0)</f>
        <v>0</v>
      </c>
      <c r="H202" s="168">
        <f>MAX(ITSecondTable[[#This Row],[IQty]]-ITSecondTable[[#This Row],[SQty]], 0)</f>
        <v>0</v>
      </c>
      <c r="I202" s="151" t="str">
        <f>IFERROR(_xlfn.TEXTJOIN("~", TRUE, ITEquipmentTable[[#This Row],[Type]],ITEquipmentTable[[#This Row],[Brand]],ITEquipmentTable[[#This Row],[Model]]), "")</f>
        <v>Laptop~HP</v>
      </c>
      <c r="J202" s="151" t="b">
        <f xml:space="preserve"> _xlfn.IFNA(MATCH( ITSecondTable[[#This Row],[Tag]], StorageTable[Tag], 0)  &gt; -1, FALSE)</f>
        <v>0</v>
      </c>
      <c r="K202" s="168" t="b">
        <f>COUNTIFS(ITEquipmentTable[Serial], ITEquipmentTable[[#This Row],[Serial]], ITEquipmentTable[Serial], "&lt;&gt;N/A") &gt; 1</f>
        <v>0</v>
      </c>
      <c r="L202" s="168" t="b">
        <f>COUNTIFS(ITEquipmentTable[Name], ITEquipmentTable[[#This Row],[Name]], ITEquipmentTable[Name], "&lt;&gt;&lt;Unassigned&gt;",  ITEquipmentTable[Name], "&lt;&gt;N/A") &gt; 1</f>
        <v>0</v>
      </c>
      <c r="M202" s="168" t="b">
        <f>AND(COUNTIFS(ITEquipmentTable[IPv4 Address], ITEquipmentTable[[#This Row],[IPv4 Address]]) &gt; 1, ITEquipmentTable[[#This Row],[IPv4 Address]] &lt;&gt; "DHCP",  ITEquipmentTable[[#This Row],[IPv4 Address]] &lt;&gt; "N/A")</f>
        <v>0</v>
      </c>
    </row>
    <row r="203" spans="1:13" x14ac:dyDescent="0.2">
      <c r="A203" s="168">
        <f>IF(LEN(ITSecondTable[[#This Row],[Tag]]) &gt; 0, _xlfn.XLOOKUP(ITSecondTable[[#This Row],[Tag]],StorageTable[Tag], StorageTable[In Storage - Count Total], "Err", 0, 1), 0)</f>
        <v>0</v>
      </c>
      <c r="B203" s="1">
        <f>_xlfn.LET(_xlpm.loc, ITEquipmentTable[Storage Location],
COUNTIFS(ITSecondTable[Tag], ITSecondTable[[#This Row],[Tag]], _xlpm.loc, "&lt;&gt;In Use", _xlpm.loc, "&lt;&gt;",  _xlpm.loc, "&lt;&gt;E-Waste", _xlpm.loc, "&lt;&gt;Virtual",  _xlpm.loc, "&lt;&gt;Assigned to Employee", _xlpm.loc, "&lt;&gt;Decommisioned", _xlpm.loc, "&lt;&gt;Missing")
)</f>
        <v>0</v>
      </c>
      <c r="C203" s="1">
        <f>_xlfn.LET(_xlpm.loc, ITEquipmentTable[Storage Location],
COUNTIFS(ITSecondTable[Tag], ITSecondTable[[#This Row],[Tag]], _xlpm.loc, "&lt;&gt;E-Waste", _xlpm.loc, "&lt;&gt;Virtual", _xlpm.loc, "&lt;&gt;Decommisioned")
)</f>
        <v>78</v>
      </c>
      <c r="D203" s="168">
        <f>_xlfn.LET(_xlpm.loc, ITEquipmentTable[Storage Location],
COUNTIFS(ITSecondTable[Tag], ITSecondTable[[#This Row],[Tag]], _xlpm.loc, "Missing")
)</f>
        <v>0</v>
      </c>
      <c r="E203" s="168">
        <f>_xlfn.LET(_xlpm.loc, ITEquipmentTable[Storage Location],
COUNTIFS(ITSecondTable[Tag], ITSecondTable[[#This Row],[Tag]], _xlpm.loc, "In Use") + COUNTIFS(ITSecondTable[Tag], ITSecondTable[[#This Row],[Tag]], _xlpm.loc, "Assigned to Employee")
)</f>
        <v>44</v>
      </c>
      <c r="F203" s="168">
        <f>_xlfn.LET(_xlpm.loc, ITEquipmentTable[Storage Location],
COUNTIFS(ITSecondTable[Tag], ITSecondTable[[#This Row],[Tag]], _xlpm.loc, "")
)</f>
        <v>34</v>
      </c>
      <c r="G203" s="168">
        <f>MAX(ITSecondTable[[#This Row],[SQty]] - ITSecondTable[[#This Row],[IQty]], 0)</f>
        <v>0</v>
      </c>
      <c r="H203" s="168">
        <f>MAX(ITSecondTable[[#This Row],[IQty]]-ITSecondTable[[#This Row],[SQty]], 0)</f>
        <v>0</v>
      </c>
      <c r="I203" s="151" t="str">
        <f>IFERROR(_xlfn.TEXTJOIN("~", TRUE, ITEquipmentTable[[#This Row],[Type]],ITEquipmentTable[[#This Row],[Brand]],ITEquipmentTable[[#This Row],[Model]]), "")</f>
        <v>Laptop~HP</v>
      </c>
      <c r="J203" s="151" t="b">
        <f xml:space="preserve"> _xlfn.IFNA(MATCH( ITSecondTable[[#This Row],[Tag]], StorageTable[Tag], 0)  &gt; -1, FALSE)</f>
        <v>0</v>
      </c>
      <c r="K203" s="168" t="b">
        <f>COUNTIFS(ITEquipmentTable[Serial], ITEquipmentTable[[#This Row],[Serial]], ITEquipmentTable[Serial], "&lt;&gt;N/A") &gt; 1</f>
        <v>0</v>
      </c>
      <c r="L203" s="168" t="b">
        <f>COUNTIFS(ITEquipmentTable[Name], ITEquipmentTable[[#This Row],[Name]], ITEquipmentTable[Name], "&lt;&gt;&lt;Unassigned&gt;",  ITEquipmentTable[Name], "&lt;&gt;N/A") &gt; 1</f>
        <v>0</v>
      </c>
      <c r="M203" s="168" t="b">
        <f>AND(COUNTIFS(ITEquipmentTable[IPv4 Address], ITEquipmentTable[[#This Row],[IPv4 Address]]) &gt; 1, ITEquipmentTable[[#This Row],[IPv4 Address]] &lt;&gt; "DHCP",  ITEquipmentTable[[#This Row],[IPv4 Address]] &lt;&gt; "N/A")</f>
        <v>0</v>
      </c>
    </row>
    <row r="204" spans="1:13" x14ac:dyDescent="0.2">
      <c r="A204" s="168">
        <f>IF(LEN(ITSecondTable[[#This Row],[Tag]]) &gt; 0, _xlfn.XLOOKUP(ITSecondTable[[#This Row],[Tag]],StorageTable[Tag], StorageTable[In Storage - Count Total], "Err", 0, 1), 0)</f>
        <v>0</v>
      </c>
      <c r="B204" s="1">
        <f>_xlfn.LET(_xlpm.loc, ITEquipmentTable[Storage Location],
COUNTIFS(ITSecondTable[Tag], ITSecondTable[[#This Row],[Tag]], _xlpm.loc, "&lt;&gt;In Use", _xlpm.loc, "&lt;&gt;",  _xlpm.loc, "&lt;&gt;E-Waste", _xlpm.loc, "&lt;&gt;Virtual",  _xlpm.loc, "&lt;&gt;Assigned to Employee", _xlpm.loc, "&lt;&gt;Decommisioned", _xlpm.loc, "&lt;&gt;Missing")
)</f>
        <v>0</v>
      </c>
      <c r="C204" s="1">
        <f>_xlfn.LET(_xlpm.loc, ITEquipmentTable[Storage Location],
COUNTIFS(ITSecondTable[Tag], ITSecondTable[[#This Row],[Tag]], _xlpm.loc, "&lt;&gt;E-Waste", _xlpm.loc, "&lt;&gt;Virtual", _xlpm.loc, "&lt;&gt;Decommisioned")
)</f>
        <v>78</v>
      </c>
      <c r="D204" s="168">
        <f>_xlfn.LET(_xlpm.loc, ITEquipmentTable[Storage Location],
COUNTIFS(ITSecondTable[Tag], ITSecondTable[[#This Row],[Tag]], _xlpm.loc, "Missing")
)</f>
        <v>0</v>
      </c>
      <c r="E204" s="168">
        <f>_xlfn.LET(_xlpm.loc, ITEquipmentTable[Storage Location],
COUNTIFS(ITSecondTable[Tag], ITSecondTable[[#This Row],[Tag]], _xlpm.loc, "In Use") + COUNTIFS(ITSecondTable[Tag], ITSecondTable[[#This Row],[Tag]], _xlpm.loc, "Assigned to Employee")
)</f>
        <v>44</v>
      </c>
      <c r="F204" s="168">
        <f>_xlfn.LET(_xlpm.loc, ITEquipmentTable[Storage Location],
COUNTIFS(ITSecondTable[Tag], ITSecondTable[[#This Row],[Tag]], _xlpm.loc, "")
)</f>
        <v>34</v>
      </c>
      <c r="G204" s="168">
        <f>MAX(ITSecondTable[[#This Row],[SQty]] - ITSecondTable[[#This Row],[IQty]], 0)</f>
        <v>0</v>
      </c>
      <c r="H204" s="168">
        <f>MAX(ITSecondTable[[#This Row],[IQty]]-ITSecondTable[[#This Row],[SQty]], 0)</f>
        <v>0</v>
      </c>
      <c r="I204" s="151" t="str">
        <f>IFERROR(_xlfn.TEXTJOIN("~", TRUE, ITEquipmentTable[[#This Row],[Type]],ITEquipmentTable[[#This Row],[Brand]],ITEquipmentTable[[#This Row],[Model]]), "")</f>
        <v>Laptop~HP</v>
      </c>
      <c r="J204" s="151" t="b">
        <f xml:space="preserve"> _xlfn.IFNA(MATCH( ITSecondTable[[#This Row],[Tag]], StorageTable[Tag], 0)  &gt; -1, FALSE)</f>
        <v>0</v>
      </c>
      <c r="K204" s="168" t="b">
        <f>COUNTIFS(ITEquipmentTable[Serial], ITEquipmentTable[[#This Row],[Serial]], ITEquipmentTable[Serial], "&lt;&gt;N/A") &gt; 1</f>
        <v>0</v>
      </c>
      <c r="L204" s="168" t="b">
        <f>COUNTIFS(ITEquipmentTable[Name], ITEquipmentTable[[#This Row],[Name]], ITEquipmentTable[Name], "&lt;&gt;&lt;Unassigned&gt;",  ITEquipmentTable[Name], "&lt;&gt;N/A") &gt; 1</f>
        <v>0</v>
      </c>
      <c r="M204" s="168" t="b">
        <f>AND(COUNTIFS(ITEquipmentTable[IPv4 Address], ITEquipmentTable[[#This Row],[IPv4 Address]]) &gt; 1, ITEquipmentTable[[#This Row],[IPv4 Address]] &lt;&gt; "DHCP",  ITEquipmentTable[[#This Row],[IPv4 Address]] &lt;&gt; "N/A")</f>
        <v>0</v>
      </c>
    </row>
    <row r="205" spans="1:13" x14ac:dyDescent="0.2">
      <c r="A205" s="168">
        <f>IF(LEN(ITSecondTable[[#This Row],[Tag]]) &gt; 0, _xlfn.XLOOKUP(ITSecondTable[[#This Row],[Tag]],StorageTable[Tag], StorageTable[In Storage - Count Total], "Err", 0, 1), 0)</f>
        <v>0</v>
      </c>
      <c r="B205" s="1">
        <f>_xlfn.LET(_xlpm.loc, ITEquipmentTable[Storage Location],
COUNTIFS(ITSecondTable[Tag], ITSecondTable[[#This Row],[Tag]], _xlpm.loc, "&lt;&gt;In Use", _xlpm.loc, "&lt;&gt;",  _xlpm.loc, "&lt;&gt;E-Waste", _xlpm.loc, "&lt;&gt;Virtual",  _xlpm.loc, "&lt;&gt;Assigned to Employee", _xlpm.loc, "&lt;&gt;Decommisioned", _xlpm.loc, "&lt;&gt;Missing")
)</f>
        <v>0</v>
      </c>
      <c r="C205" s="1">
        <f>_xlfn.LET(_xlpm.loc, ITEquipmentTable[Storage Location],
COUNTIFS(ITSecondTable[Tag], ITSecondTable[[#This Row],[Tag]], _xlpm.loc, "&lt;&gt;E-Waste", _xlpm.loc, "&lt;&gt;Virtual", _xlpm.loc, "&lt;&gt;Decommisioned")
)</f>
        <v>78</v>
      </c>
      <c r="D205" s="168">
        <f>_xlfn.LET(_xlpm.loc, ITEquipmentTable[Storage Location],
COUNTIFS(ITSecondTable[Tag], ITSecondTable[[#This Row],[Tag]], _xlpm.loc, "Missing")
)</f>
        <v>0</v>
      </c>
      <c r="E205" s="168">
        <f>_xlfn.LET(_xlpm.loc, ITEquipmentTable[Storage Location],
COUNTIFS(ITSecondTable[Tag], ITSecondTable[[#This Row],[Tag]], _xlpm.loc, "In Use") + COUNTIFS(ITSecondTable[Tag], ITSecondTable[[#This Row],[Tag]], _xlpm.loc, "Assigned to Employee")
)</f>
        <v>44</v>
      </c>
      <c r="F205" s="168">
        <f>_xlfn.LET(_xlpm.loc, ITEquipmentTable[Storage Location],
COUNTIFS(ITSecondTable[Tag], ITSecondTable[[#This Row],[Tag]], _xlpm.loc, "")
)</f>
        <v>34</v>
      </c>
      <c r="G205" s="168">
        <f>MAX(ITSecondTable[[#This Row],[SQty]] - ITSecondTable[[#This Row],[IQty]], 0)</f>
        <v>0</v>
      </c>
      <c r="H205" s="168">
        <f>MAX(ITSecondTable[[#This Row],[IQty]]-ITSecondTable[[#This Row],[SQty]], 0)</f>
        <v>0</v>
      </c>
      <c r="I205" s="151" t="str">
        <f>IFERROR(_xlfn.TEXTJOIN("~", TRUE, ITEquipmentTable[[#This Row],[Type]],ITEquipmentTable[[#This Row],[Brand]],ITEquipmentTable[[#This Row],[Model]]), "")</f>
        <v>Laptop~HP</v>
      </c>
      <c r="J205" s="151" t="b">
        <f xml:space="preserve"> _xlfn.IFNA(MATCH( ITSecondTable[[#This Row],[Tag]], StorageTable[Tag], 0)  &gt; -1, FALSE)</f>
        <v>0</v>
      </c>
      <c r="K205" s="168" t="b">
        <f>COUNTIFS(ITEquipmentTable[Serial], ITEquipmentTable[[#This Row],[Serial]], ITEquipmentTable[Serial], "&lt;&gt;N/A") &gt; 1</f>
        <v>0</v>
      </c>
      <c r="L205" s="168" t="b">
        <f>COUNTIFS(ITEquipmentTable[Name], ITEquipmentTable[[#This Row],[Name]], ITEquipmentTable[Name], "&lt;&gt;&lt;Unassigned&gt;",  ITEquipmentTable[Name], "&lt;&gt;N/A") &gt; 1</f>
        <v>0</v>
      </c>
      <c r="M205" s="168" t="b">
        <f>AND(COUNTIFS(ITEquipmentTable[IPv4 Address], ITEquipmentTable[[#This Row],[IPv4 Address]]) &gt; 1, ITEquipmentTable[[#This Row],[IPv4 Address]] &lt;&gt; "DHCP",  ITEquipmentTable[[#This Row],[IPv4 Address]] &lt;&gt; "N/A")</f>
        <v>0</v>
      </c>
    </row>
    <row r="206" spans="1:13" x14ac:dyDescent="0.2">
      <c r="A206" s="168">
        <f>IF(LEN(ITSecondTable[[#This Row],[Tag]]) &gt; 0, _xlfn.XLOOKUP(ITSecondTable[[#This Row],[Tag]],StorageTable[Tag], StorageTable[In Storage - Count Total], "Err", 0, 1), 0)</f>
        <v>0</v>
      </c>
      <c r="B206" s="1">
        <f>_xlfn.LET(_xlpm.loc, ITEquipmentTable[Storage Location],
COUNTIFS(ITSecondTable[Tag], ITSecondTable[[#This Row],[Tag]], _xlpm.loc, "&lt;&gt;In Use", _xlpm.loc, "&lt;&gt;",  _xlpm.loc, "&lt;&gt;E-Waste", _xlpm.loc, "&lt;&gt;Virtual",  _xlpm.loc, "&lt;&gt;Assigned to Employee", _xlpm.loc, "&lt;&gt;Decommisioned", _xlpm.loc, "&lt;&gt;Missing")
)</f>
        <v>0</v>
      </c>
      <c r="C206" s="1">
        <f>_xlfn.LET(_xlpm.loc, ITEquipmentTable[Storage Location],
COUNTIFS(ITSecondTable[Tag], ITSecondTable[[#This Row],[Tag]], _xlpm.loc, "&lt;&gt;E-Waste", _xlpm.loc, "&lt;&gt;Virtual", _xlpm.loc, "&lt;&gt;Decommisioned")
)</f>
        <v>78</v>
      </c>
      <c r="D206" s="168">
        <f>_xlfn.LET(_xlpm.loc, ITEquipmentTable[Storage Location],
COUNTIFS(ITSecondTable[Tag], ITSecondTable[[#This Row],[Tag]], _xlpm.loc, "Missing")
)</f>
        <v>0</v>
      </c>
      <c r="E206" s="168">
        <f>_xlfn.LET(_xlpm.loc, ITEquipmentTable[Storage Location],
COUNTIFS(ITSecondTable[Tag], ITSecondTable[[#This Row],[Tag]], _xlpm.loc, "In Use") + COUNTIFS(ITSecondTable[Tag], ITSecondTable[[#This Row],[Tag]], _xlpm.loc, "Assigned to Employee")
)</f>
        <v>44</v>
      </c>
      <c r="F206" s="168">
        <f>_xlfn.LET(_xlpm.loc, ITEquipmentTable[Storage Location],
COUNTIFS(ITSecondTable[Tag], ITSecondTable[[#This Row],[Tag]], _xlpm.loc, "")
)</f>
        <v>34</v>
      </c>
      <c r="G206" s="168">
        <f>MAX(ITSecondTable[[#This Row],[SQty]] - ITSecondTable[[#This Row],[IQty]], 0)</f>
        <v>0</v>
      </c>
      <c r="H206" s="168">
        <f>MAX(ITSecondTable[[#This Row],[IQty]]-ITSecondTable[[#This Row],[SQty]], 0)</f>
        <v>0</v>
      </c>
      <c r="I206" s="151" t="str">
        <f>IFERROR(_xlfn.TEXTJOIN("~", TRUE, ITEquipmentTable[[#This Row],[Type]],ITEquipmentTable[[#This Row],[Brand]],ITEquipmentTable[[#This Row],[Model]]), "")</f>
        <v>Laptop~HP</v>
      </c>
      <c r="J206" s="151" t="b">
        <f xml:space="preserve"> _xlfn.IFNA(MATCH( ITSecondTable[[#This Row],[Tag]], StorageTable[Tag], 0)  &gt; -1, FALSE)</f>
        <v>0</v>
      </c>
      <c r="K206" s="168" t="b">
        <f>COUNTIFS(ITEquipmentTable[Serial], ITEquipmentTable[[#This Row],[Serial]], ITEquipmentTable[Serial], "&lt;&gt;N/A") &gt; 1</f>
        <v>0</v>
      </c>
      <c r="L206" s="168" t="b">
        <f>COUNTIFS(ITEquipmentTable[Name], ITEquipmentTable[[#This Row],[Name]], ITEquipmentTable[Name], "&lt;&gt;&lt;Unassigned&gt;",  ITEquipmentTable[Name], "&lt;&gt;N/A") &gt; 1</f>
        <v>0</v>
      </c>
      <c r="M206" s="168" t="b">
        <f>AND(COUNTIFS(ITEquipmentTable[IPv4 Address], ITEquipmentTable[[#This Row],[IPv4 Address]]) &gt; 1, ITEquipmentTable[[#This Row],[IPv4 Address]] &lt;&gt; "DHCP",  ITEquipmentTable[[#This Row],[IPv4 Address]] &lt;&gt; "N/A")</f>
        <v>0</v>
      </c>
    </row>
    <row r="207" spans="1:13" x14ac:dyDescent="0.2">
      <c r="A207" s="168">
        <f>IF(LEN(ITSecondTable[[#This Row],[Tag]]) &gt; 0, _xlfn.XLOOKUP(ITSecondTable[[#This Row],[Tag]],StorageTable[Tag], StorageTable[In Storage - Count Total], "Err", 0, 1), 0)</f>
        <v>0</v>
      </c>
      <c r="B207" s="1">
        <f>_xlfn.LET(_xlpm.loc, ITEquipmentTable[Storage Location],
COUNTIFS(ITSecondTable[Tag], ITSecondTable[[#This Row],[Tag]], _xlpm.loc, "&lt;&gt;In Use", _xlpm.loc, "&lt;&gt;",  _xlpm.loc, "&lt;&gt;E-Waste", _xlpm.loc, "&lt;&gt;Virtual",  _xlpm.loc, "&lt;&gt;Assigned to Employee", _xlpm.loc, "&lt;&gt;Decommisioned", _xlpm.loc, "&lt;&gt;Missing")
)</f>
        <v>0</v>
      </c>
      <c r="C207" s="1">
        <f>_xlfn.LET(_xlpm.loc, ITEquipmentTable[Storage Location],
COUNTIFS(ITSecondTable[Tag], ITSecondTable[[#This Row],[Tag]], _xlpm.loc, "&lt;&gt;E-Waste", _xlpm.loc, "&lt;&gt;Virtual", _xlpm.loc, "&lt;&gt;Decommisioned")
)</f>
        <v>78</v>
      </c>
      <c r="D207" s="168">
        <f>_xlfn.LET(_xlpm.loc, ITEquipmentTable[Storage Location],
COUNTIFS(ITSecondTable[Tag], ITSecondTable[[#This Row],[Tag]], _xlpm.loc, "Missing")
)</f>
        <v>0</v>
      </c>
      <c r="E207" s="168">
        <f>_xlfn.LET(_xlpm.loc, ITEquipmentTable[Storage Location],
COUNTIFS(ITSecondTable[Tag], ITSecondTable[[#This Row],[Tag]], _xlpm.loc, "In Use") + COUNTIFS(ITSecondTable[Tag], ITSecondTable[[#This Row],[Tag]], _xlpm.loc, "Assigned to Employee")
)</f>
        <v>44</v>
      </c>
      <c r="F207" s="168">
        <f>_xlfn.LET(_xlpm.loc, ITEquipmentTable[Storage Location],
COUNTIFS(ITSecondTable[Tag], ITSecondTable[[#This Row],[Tag]], _xlpm.loc, "")
)</f>
        <v>34</v>
      </c>
      <c r="G207" s="168">
        <f>MAX(ITSecondTable[[#This Row],[SQty]] - ITSecondTable[[#This Row],[IQty]], 0)</f>
        <v>0</v>
      </c>
      <c r="H207" s="168">
        <f>MAX(ITSecondTable[[#This Row],[IQty]]-ITSecondTable[[#This Row],[SQty]], 0)</f>
        <v>0</v>
      </c>
      <c r="I207" s="151" t="str">
        <f>IFERROR(_xlfn.TEXTJOIN("~", TRUE, ITEquipmentTable[[#This Row],[Type]],ITEquipmentTable[[#This Row],[Brand]],ITEquipmentTable[[#This Row],[Model]]), "")</f>
        <v>Laptop~HP</v>
      </c>
      <c r="J207" s="151" t="b">
        <f xml:space="preserve"> _xlfn.IFNA(MATCH( ITSecondTable[[#This Row],[Tag]], StorageTable[Tag], 0)  &gt; -1, FALSE)</f>
        <v>0</v>
      </c>
      <c r="K207" s="168" t="b">
        <f>COUNTIFS(ITEquipmentTable[Serial], ITEquipmentTable[[#This Row],[Serial]], ITEquipmentTable[Serial], "&lt;&gt;N/A") &gt; 1</f>
        <v>0</v>
      </c>
      <c r="L207" s="168" t="b">
        <f>COUNTIFS(ITEquipmentTable[Name], ITEquipmentTable[[#This Row],[Name]], ITEquipmentTable[Name], "&lt;&gt;&lt;Unassigned&gt;",  ITEquipmentTable[Name], "&lt;&gt;N/A") &gt; 1</f>
        <v>0</v>
      </c>
      <c r="M207" s="168" t="b">
        <f>AND(COUNTIFS(ITEquipmentTable[IPv4 Address], ITEquipmentTable[[#This Row],[IPv4 Address]]) &gt; 1, ITEquipmentTable[[#This Row],[IPv4 Address]] &lt;&gt; "DHCP",  ITEquipmentTable[[#This Row],[IPv4 Address]] &lt;&gt; "N/A")</f>
        <v>0</v>
      </c>
    </row>
    <row r="208" spans="1:13" x14ac:dyDescent="0.2">
      <c r="A208" s="168">
        <f>IF(LEN(ITSecondTable[[#This Row],[Tag]]) &gt; 0, _xlfn.XLOOKUP(ITSecondTable[[#This Row],[Tag]],StorageTable[Tag], StorageTable[In Storage - Count Total], "Err", 0, 1), 0)</f>
        <v>0</v>
      </c>
      <c r="B208" s="1">
        <f>_xlfn.LET(_xlpm.loc, ITEquipmentTable[Storage Location],
COUNTIFS(ITSecondTable[Tag], ITSecondTable[[#This Row],[Tag]], _xlpm.loc, "&lt;&gt;In Use", _xlpm.loc, "&lt;&gt;",  _xlpm.loc, "&lt;&gt;E-Waste", _xlpm.loc, "&lt;&gt;Virtual",  _xlpm.loc, "&lt;&gt;Assigned to Employee", _xlpm.loc, "&lt;&gt;Decommisioned", _xlpm.loc, "&lt;&gt;Missing")
)</f>
        <v>0</v>
      </c>
      <c r="C208" s="1">
        <f>_xlfn.LET(_xlpm.loc, ITEquipmentTable[Storage Location],
COUNTIFS(ITSecondTable[Tag], ITSecondTable[[#This Row],[Tag]], _xlpm.loc, "&lt;&gt;E-Waste", _xlpm.loc, "&lt;&gt;Virtual", _xlpm.loc, "&lt;&gt;Decommisioned")
)</f>
        <v>3</v>
      </c>
      <c r="D208" s="168">
        <f>_xlfn.LET(_xlpm.loc, ITEquipmentTable[Storage Location],
COUNTIFS(ITSecondTable[Tag], ITSecondTable[[#This Row],[Tag]], _xlpm.loc, "Missing")
)</f>
        <v>0</v>
      </c>
      <c r="E208" s="168">
        <f>_xlfn.LET(_xlpm.loc, ITEquipmentTable[Storage Location],
COUNTIFS(ITSecondTable[Tag], ITSecondTable[[#This Row],[Tag]], _xlpm.loc, "In Use") + COUNTIFS(ITSecondTable[Tag], ITSecondTable[[#This Row],[Tag]], _xlpm.loc, "Assigned to Employee")
)</f>
        <v>3</v>
      </c>
      <c r="F208" s="168">
        <f>_xlfn.LET(_xlpm.loc, ITEquipmentTable[Storage Location],
COUNTIFS(ITSecondTable[Tag], ITSecondTable[[#This Row],[Tag]], _xlpm.loc, "")
)</f>
        <v>0</v>
      </c>
      <c r="G208" s="168">
        <f>MAX(ITSecondTable[[#This Row],[SQty]] - ITSecondTable[[#This Row],[IQty]], 0)</f>
        <v>0</v>
      </c>
      <c r="H208" s="168">
        <f>MAX(ITSecondTable[[#This Row],[IQty]]-ITSecondTable[[#This Row],[SQty]], 0)</f>
        <v>0</v>
      </c>
      <c r="I208" s="151" t="str">
        <f>IFERROR(_xlfn.TEXTJOIN("~", TRUE, ITEquipmentTable[[#This Row],[Type]],ITEquipmentTable[[#This Row],[Brand]],ITEquipmentTable[[#This Row],[Model]]), "")</f>
        <v>Laptop~HP~HP ProBook 650 G8</v>
      </c>
      <c r="J208" s="151" t="b">
        <f xml:space="preserve"> _xlfn.IFNA(MATCH( ITSecondTable[[#This Row],[Tag]], StorageTable[Tag], 0)  &gt; -1, FALSE)</f>
        <v>0</v>
      </c>
      <c r="K208" s="168" t="b">
        <f>COUNTIFS(ITEquipmentTable[Serial], ITEquipmentTable[[#This Row],[Serial]], ITEquipmentTable[Serial], "&lt;&gt;N/A") &gt; 1</f>
        <v>0</v>
      </c>
      <c r="L208" s="168" t="b">
        <f>COUNTIFS(ITEquipmentTable[Name], ITEquipmentTable[[#This Row],[Name]], ITEquipmentTable[Name], "&lt;&gt;&lt;Unassigned&gt;",  ITEquipmentTable[Name], "&lt;&gt;N/A") &gt; 1</f>
        <v>0</v>
      </c>
      <c r="M208" s="168" t="b">
        <f>AND(COUNTIFS(ITEquipmentTable[IPv4 Address], ITEquipmentTable[[#This Row],[IPv4 Address]]) &gt; 1, ITEquipmentTable[[#This Row],[IPv4 Address]] &lt;&gt; "DHCP",  ITEquipmentTable[[#This Row],[IPv4 Address]] &lt;&gt; "N/A")</f>
        <v>0</v>
      </c>
    </row>
    <row r="209" spans="1:13" x14ac:dyDescent="0.2">
      <c r="A209" s="168">
        <f>IF(LEN(ITSecondTable[[#This Row],[Tag]]) &gt; 0, _xlfn.XLOOKUP(ITSecondTable[[#This Row],[Tag]],StorageTable[Tag], StorageTable[In Storage - Count Total], "Err", 0, 1), 0)</f>
        <v>0</v>
      </c>
      <c r="B209" s="1">
        <f>_xlfn.LET(_xlpm.loc, ITEquipmentTable[Storage Location],
COUNTIFS(ITSecondTable[Tag], ITSecondTable[[#This Row],[Tag]], _xlpm.loc, "&lt;&gt;In Use", _xlpm.loc, "&lt;&gt;",  _xlpm.loc, "&lt;&gt;E-Waste", _xlpm.loc, "&lt;&gt;Virtual",  _xlpm.loc, "&lt;&gt;Assigned to Employee", _xlpm.loc, "&lt;&gt;Decommisioned", _xlpm.loc, "&lt;&gt;Missing")
)</f>
        <v>0</v>
      </c>
      <c r="C209" s="1">
        <f>_xlfn.LET(_xlpm.loc, ITEquipmentTable[Storage Location],
COUNTIFS(ITSecondTable[Tag], ITSecondTable[[#This Row],[Tag]], _xlpm.loc, "&lt;&gt;E-Waste", _xlpm.loc, "&lt;&gt;Virtual", _xlpm.loc, "&lt;&gt;Decommisioned")
)</f>
        <v>10</v>
      </c>
      <c r="D209" s="168">
        <f>_xlfn.LET(_xlpm.loc, ITEquipmentTable[Storage Location],
COUNTIFS(ITSecondTable[Tag], ITSecondTable[[#This Row],[Tag]], _xlpm.loc, "Missing")
)</f>
        <v>0</v>
      </c>
      <c r="E209" s="168">
        <f>_xlfn.LET(_xlpm.loc, ITEquipmentTable[Storage Location],
COUNTIFS(ITSecondTable[Tag], ITSecondTable[[#This Row],[Tag]], _xlpm.loc, "In Use") + COUNTIFS(ITSecondTable[Tag], ITSecondTable[[#This Row],[Tag]], _xlpm.loc, "Assigned to Employee")
)</f>
        <v>5</v>
      </c>
      <c r="F209" s="168">
        <f>_xlfn.LET(_xlpm.loc, ITEquipmentTable[Storage Location],
COUNTIFS(ITSecondTable[Tag], ITSecondTable[[#This Row],[Tag]], _xlpm.loc, "")
)</f>
        <v>5</v>
      </c>
      <c r="G209" s="168">
        <f>MAX(ITSecondTable[[#This Row],[SQty]] - ITSecondTable[[#This Row],[IQty]], 0)</f>
        <v>0</v>
      </c>
      <c r="H209" s="168">
        <f>MAX(ITSecondTable[[#This Row],[IQty]]-ITSecondTable[[#This Row],[SQty]], 0)</f>
        <v>0</v>
      </c>
      <c r="I209" s="151" t="str">
        <f>IFERROR(_xlfn.TEXTJOIN("~", TRUE, ITEquipmentTable[[#This Row],[Type]],ITEquipmentTable[[#This Row],[Brand]],ITEquipmentTable[[#This Row],[Model]]), "")</f>
        <v>Laptop~HP~HP ProBook 640 G4</v>
      </c>
      <c r="J209" s="151" t="b">
        <f xml:space="preserve"> _xlfn.IFNA(MATCH( ITSecondTable[[#This Row],[Tag]], StorageTable[Tag], 0)  &gt; -1, FALSE)</f>
        <v>0</v>
      </c>
      <c r="K209" s="168" t="b">
        <f>COUNTIFS(ITEquipmentTable[Serial], ITEquipmentTable[[#This Row],[Serial]], ITEquipmentTable[Serial], "&lt;&gt;N/A") &gt; 1</f>
        <v>0</v>
      </c>
      <c r="L209" s="168" t="b">
        <f>COUNTIFS(ITEquipmentTable[Name], ITEquipmentTable[[#This Row],[Name]], ITEquipmentTable[Name], "&lt;&gt;&lt;Unassigned&gt;",  ITEquipmentTable[Name], "&lt;&gt;N/A") &gt; 1</f>
        <v>0</v>
      </c>
      <c r="M209" s="168" t="b">
        <f>AND(COUNTIFS(ITEquipmentTable[IPv4 Address], ITEquipmentTable[[#This Row],[IPv4 Address]]) &gt; 1, ITEquipmentTable[[#This Row],[IPv4 Address]] &lt;&gt; "DHCP",  ITEquipmentTable[[#This Row],[IPv4 Address]] &lt;&gt; "N/A")</f>
        <v>0</v>
      </c>
    </row>
    <row r="210" spans="1:13" x14ac:dyDescent="0.2">
      <c r="A210" s="168">
        <f>IF(LEN(ITSecondTable[[#This Row],[Tag]]) &gt; 0, _xlfn.XLOOKUP(ITSecondTable[[#This Row],[Tag]],StorageTable[Tag], StorageTable[In Storage - Count Total], "Err", 0, 1), 0)</f>
        <v>0</v>
      </c>
      <c r="B210" s="1">
        <f>_xlfn.LET(_xlpm.loc, ITEquipmentTable[Storage Location],
COUNTIFS(ITSecondTable[Tag], ITSecondTable[[#This Row],[Tag]], _xlpm.loc, "&lt;&gt;In Use", _xlpm.loc, "&lt;&gt;",  _xlpm.loc, "&lt;&gt;E-Waste", _xlpm.loc, "&lt;&gt;Virtual",  _xlpm.loc, "&lt;&gt;Assigned to Employee", _xlpm.loc, "&lt;&gt;Decommisioned", _xlpm.loc, "&lt;&gt;Missing")
)</f>
        <v>0</v>
      </c>
      <c r="C210" s="1">
        <f>_xlfn.LET(_xlpm.loc, ITEquipmentTable[Storage Location],
COUNTIFS(ITSecondTable[Tag], ITSecondTable[[#This Row],[Tag]], _xlpm.loc, "&lt;&gt;E-Waste", _xlpm.loc, "&lt;&gt;Virtual", _xlpm.loc, "&lt;&gt;Decommisioned")
)</f>
        <v>78</v>
      </c>
      <c r="D210" s="168">
        <f>_xlfn.LET(_xlpm.loc, ITEquipmentTable[Storage Location],
COUNTIFS(ITSecondTable[Tag], ITSecondTable[[#This Row],[Tag]], _xlpm.loc, "Missing")
)</f>
        <v>0</v>
      </c>
      <c r="E210" s="168">
        <f>_xlfn.LET(_xlpm.loc, ITEquipmentTable[Storage Location],
COUNTIFS(ITSecondTable[Tag], ITSecondTable[[#This Row],[Tag]], _xlpm.loc, "In Use") + COUNTIFS(ITSecondTable[Tag], ITSecondTable[[#This Row],[Tag]], _xlpm.loc, "Assigned to Employee")
)</f>
        <v>44</v>
      </c>
      <c r="F210" s="168">
        <f>_xlfn.LET(_xlpm.loc, ITEquipmentTable[Storage Location],
COUNTIFS(ITSecondTable[Tag], ITSecondTable[[#This Row],[Tag]], _xlpm.loc, "")
)</f>
        <v>34</v>
      </c>
      <c r="G210" s="168">
        <f>MAX(ITSecondTable[[#This Row],[SQty]] - ITSecondTable[[#This Row],[IQty]], 0)</f>
        <v>0</v>
      </c>
      <c r="H210" s="168">
        <f>MAX(ITSecondTable[[#This Row],[IQty]]-ITSecondTable[[#This Row],[SQty]], 0)</f>
        <v>0</v>
      </c>
      <c r="I210" s="151" t="str">
        <f>IFERROR(_xlfn.TEXTJOIN("~", TRUE, ITEquipmentTable[[#This Row],[Type]],ITEquipmentTable[[#This Row],[Brand]],ITEquipmentTable[[#This Row],[Model]]), "")</f>
        <v>Laptop~HP</v>
      </c>
      <c r="J210" s="151" t="b">
        <f xml:space="preserve"> _xlfn.IFNA(MATCH( ITSecondTable[[#This Row],[Tag]], StorageTable[Tag], 0)  &gt; -1, FALSE)</f>
        <v>0</v>
      </c>
      <c r="K210" s="168" t="b">
        <f>COUNTIFS(ITEquipmentTable[Serial], ITEquipmentTable[[#This Row],[Serial]], ITEquipmentTable[Serial], "&lt;&gt;N/A") &gt; 1</f>
        <v>0</v>
      </c>
      <c r="L210" s="168" t="b">
        <f>COUNTIFS(ITEquipmentTable[Name], ITEquipmentTable[[#This Row],[Name]], ITEquipmentTable[Name], "&lt;&gt;&lt;Unassigned&gt;",  ITEquipmentTable[Name], "&lt;&gt;N/A") &gt; 1</f>
        <v>0</v>
      </c>
      <c r="M210" s="168" t="b">
        <f>AND(COUNTIFS(ITEquipmentTable[IPv4 Address], ITEquipmentTable[[#This Row],[IPv4 Address]]) &gt; 1, ITEquipmentTable[[#This Row],[IPv4 Address]] &lt;&gt; "DHCP",  ITEquipmentTable[[#This Row],[IPv4 Address]] &lt;&gt; "N/A")</f>
        <v>0</v>
      </c>
    </row>
    <row r="211" spans="1:13" x14ac:dyDescent="0.2">
      <c r="A211" s="168">
        <f>IF(LEN(ITSecondTable[[#This Row],[Tag]]) &gt; 0, _xlfn.XLOOKUP(ITSecondTable[[#This Row],[Tag]],StorageTable[Tag], StorageTable[In Storage - Count Total], "Err", 0, 1), 0)</f>
        <v>0</v>
      </c>
      <c r="B211" s="1">
        <f>_xlfn.LET(_xlpm.loc, ITEquipmentTable[Storage Location],
COUNTIFS(ITSecondTable[Tag], ITSecondTable[[#This Row],[Tag]], _xlpm.loc, "&lt;&gt;In Use", _xlpm.loc, "&lt;&gt;",  _xlpm.loc, "&lt;&gt;E-Waste", _xlpm.loc, "&lt;&gt;Virtual",  _xlpm.loc, "&lt;&gt;Assigned to Employee", _xlpm.loc, "&lt;&gt;Decommisioned", _xlpm.loc, "&lt;&gt;Missing")
)</f>
        <v>0</v>
      </c>
      <c r="C211" s="1">
        <f>_xlfn.LET(_xlpm.loc, ITEquipmentTable[Storage Location],
COUNTIFS(ITSecondTable[Tag], ITSecondTable[[#This Row],[Tag]], _xlpm.loc, "&lt;&gt;E-Waste", _xlpm.loc, "&lt;&gt;Virtual", _xlpm.loc, "&lt;&gt;Decommisioned")
)</f>
        <v>78</v>
      </c>
      <c r="D211" s="168">
        <f>_xlfn.LET(_xlpm.loc, ITEquipmentTable[Storage Location],
COUNTIFS(ITSecondTable[Tag], ITSecondTable[[#This Row],[Tag]], _xlpm.loc, "Missing")
)</f>
        <v>0</v>
      </c>
      <c r="E211" s="168">
        <f>_xlfn.LET(_xlpm.loc, ITEquipmentTable[Storage Location],
COUNTIFS(ITSecondTable[Tag], ITSecondTable[[#This Row],[Tag]], _xlpm.loc, "In Use") + COUNTIFS(ITSecondTable[Tag], ITSecondTable[[#This Row],[Tag]], _xlpm.loc, "Assigned to Employee")
)</f>
        <v>44</v>
      </c>
      <c r="F211" s="168">
        <f>_xlfn.LET(_xlpm.loc, ITEquipmentTable[Storage Location],
COUNTIFS(ITSecondTable[Tag], ITSecondTable[[#This Row],[Tag]], _xlpm.loc, "")
)</f>
        <v>34</v>
      </c>
      <c r="G211" s="168">
        <f>MAX(ITSecondTable[[#This Row],[SQty]] - ITSecondTable[[#This Row],[IQty]], 0)</f>
        <v>0</v>
      </c>
      <c r="H211" s="168">
        <f>MAX(ITSecondTable[[#This Row],[IQty]]-ITSecondTable[[#This Row],[SQty]], 0)</f>
        <v>0</v>
      </c>
      <c r="I211" s="151" t="str">
        <f>IFERROR(_xlfn.TEXTJOIN("~", TRUE, ITEquipmentTable[[#This Row],[Type]],ITEquipmentTable[[#This Row],[Brand]],ITEquipmentTable[[#This Row],[Model]]), "")</f>
        <v>Laptop~HP</v>
      </c>
      <c r="J211" s="151" t="b">
        <f xml:space="preserve"> _xlfn.IFNA(MATCH( ITSecondTable[[#This Row],[Tag]], StorageTable[Tag], 0)  &gt; -1, FALSE)</f>
        <v>0</v>
      </c>
      <c r="K211" s="168" t="b">
        <f>COUNTIFS(ITEquipmentTable[Serial], ITEquipmentTable[[#This Row],[Serial]], ITEquipmentTable[Serial], "&lt;&gt;N/A") &gt; 1</f>
        <v>0</v>
      </c>
      <c r="L211" s="168" t="b">
        <f>COUNTIFS(ITEquipmentTable[Name], ITEquipmentTable[[#This Row],[Name]], ITEquipmentTable[Name], "&lt;&gt;&lt;Unassigned&gt;",  ITEquipmentTable[Name], "&lt;&gt;N/A") &gt; 1</f>
        <v>0</v>
      </c>
      <c r="M211" s="168" t="b">
        <f>AND(COUNTIFS(ITEquipmentTable[IPv4 Address], ITEquipmentTable[[#This Row],[IPv4 Address]]) &gt; 1, ITEquipmentTable[[#This Row],[IPv4 Address]] &lt;&gt; "DHCP",  ITEquipmentTable[[#This Row],[IPv4 Address]] &lt;&gt; "N/A")</f>
        <v>0</v>
      </c>
    </row>
    <row r="212" spans="1:13" x14ac:dyDescent="0.2">
      <c r="A212" s="168">
        <f>IF(LEN(ITSecondTable[[#This Row],[Tag]]) &gt; 0, _xlfn.XLOOKUP(ITSecondTable[[#This Row],[Tag]],StorageTable[Tag], StorageTable[In Storage - Count Total], "Err", 0, 1), 0)</f>
        <v>0</v>
      </c>
      <c r="B212" s="1">
        <f>_xlfn.LET(_xlpm.loc, ITEquipmentTable[Storage Location],
COUNTIFS(ITSecondTable[Tag], ITSecondTable[[#This Row],[Tag]], _xlpm.loc, "&lt;&gt;In Use", _xlpm.loc, "&lt;&gt;",  _xlpm.loc, "&lt;&gt;E-Waste", _xlpm.loc, "&lt;&gt;Virtual",  _xlpm.loc, "&lt;&gt;Assigned to Employee", _xlpm.loc, "&lt;&gt;Decommisioned", _xlpm.loc, "&lt;&gt;Missing")
)</f>
        <v>0</v>
      </c>
      <c r="C212" s="1">
        <f>_xlfn.LET(_xlpm.loc, ITEquipmentTable[Storage Location],
COUNTIFS(ITSecondTable[Tag], ITSecondTable[[#This Row],[Tag]], _xlpm.loc, "&lt;&gt;E-Waste", _xlpm.loc, "&lt;&gt;Virtual", _xlpm.loc, "&lt;&gt;Decommisioned")
)</f>
        <v>78</v>
      </c>
      <c r="D212" s="168">
        <f>_xlfn.LET(_xlpm.loc, ITEquipmentTable[Storage Location],
COUNTIFS(ITSecondTable[Tag], ITSecondTable[[#This Row],[Tag]], _xlpm.loc, "Missing")
)</f>
        <v>0</v>
      </c>
      <c r="E212" s="168">
        <f>_xlfn.LET(_xlpm.loc, ITEquipmentTable[Storage Location],
COUNTIFS(ITSecondTable[Tag], ITSecondTable[[#This Row],[Tag]], _xlpm.loc, "In Use") + COUNTIFS(ITSecondTable[Tag], ITSecondTable[[#This Row],[Tag]], _xlpm.loc, "Assigned to Employee")
)</f>
        <v>44</v>
      </c>
      <c r="F212" s="168">
        <f>_xlfn.LET(_xlpm.loc, ITEquipmentTable[Storage Location],
COUNTIFS(ITSecondTable[Tag], ITSecondTable[[#This Row],[Tag]], _xlpm.loc, "")
)</f>
        <v>34</v>
      </c>
      <c r="G212" s="168">
        <f>MAX(ITSecondTable[[#This Row],[SQty]] - ITSecondTable[[#This Row],[IQty]], 0)</f>
        <v>0</v>
      </c>
      <c r="H212" s="168">
        <f>MAX(ITSecondTable[[#This Row],[IQty]]-ITSecondTable[[#This Row],[SQty]], 0)</f>
        <v>0</v>
      </c>
      <c r="I212" s="151" t="str">
        <f>IFERROR(_xlfn.TEXTJOIN("~", TRUE, ITEquipmentTable[[#This Row],[Type]],ITEquipmentTable[[#This Row],[Brand]],ITEquipmentTable[[#This Row],[Model]]), "")</f>
        <v>Laptop~HP</v>
      </c>
      <c r="J212" s="151" t="b">
        <f xml:space="preserve"> _xlfn.IFNA(MATCH( ITSecondTable[[#This Row],[Tag]], StorageTable[Tag], 0)  &gt; -1, FALSE)</f>
        <v>0</v>
      </c>
      <c r="K212" s="168" t="b">
        <f>COUNTIFS(ITEquipmentTable[Serial], ITEquipmentTable[[#This Row],[Serial]], ITEquipmentTable[Serial], "&lt;&gt;N/A") &gt; 1</f>
        <v>0</v>
      </c>
      <c r="L212" s="168" t="b">
        <f>COUNTIFS(ITEquipmentTable[Name], ITEquipmentTable[[#This Row],[Name]], ITEquipmentTable[Name], "&lt;&gt;&lt;Unassigned&gt;",  ITEquipmentTable[Name], "&lt;&gt;N/A") &gt; 1</f>
        <v>0</v>
      </c>
      <c r="M212" s="168" t="b">
        <f>AND(COUNTIFS(ITEquipmentTable[IPv4 Address], ITEquipmentTable[[#This Row],[IPv4 Address]]) &gt; 1, ITEquipmentTable[[#This Row],[IPv4 Address]] &lt;&gt; "DHCP",  ITEquipmentTable[[#This Row],[IPv4 Address]] &lt;&gt; "N/A")</f>
        <v>0</v>
      </c>
    </row>
    <row r="213" spans="1:13" x14ac:dyDescent="0.2">
      <c r="A213" s="168">
        <f>IF(LEN(ITSecondTable[[#This Row],[Tag]]) &gt; 0, _xlfn.XLOOKUP(ITSecondTable[[#This Row],[Tag]],StorageTable[Tag], StorageTable[In Storage - Count Total], "Err", 0, 1), 0)</f>
        <v>1</v>
      </c>
      <c r="B213" s="1">
        <f>_xlfn.LET(_xlpm.loc, ITEquipmentTable[Storage Location],
COUNTIFS(ITSecondTable[Tag], ITSecondTable[[#This Row],[Tag]], _xlpm.loc, "&lt;&gt;In Use", _xlpm.loc, "&lt;&gt;",  _xlpm.loc, "&lt;&gt;E-Waste", _xlpm.loc, "&lt;&gt;Virtual",  _xlpm.loc, "&lt;&gt;Assigned to Employee", _xlpm.loc, "&lt;&gt;Decommisioned", _xlpm.loc, "&lt;&gt;Missing")
)</f>
        <v>2</v>
      </c>
      <c r="C213" s="1">
        <f>_xlfn.LET(_xlpm.loc, ITEquipmentTable[Storage Location],
COUNTIFS(ITSecondTable[Tag], ITSecondTable[[#This Row],[Tag]], _xlpm.loc, "&lt;&gt;E-Waste", _xlpm.loc, "&lt;&gt;Virtual", _xlpm.loc, "&lt;&gt;Decommisioned")
)</f>
        <v>7</v>
      </c>
      <c r="D213" s="168">
        <f>_xlfn.LET(_xlpm.loc, ITEquipmentTable[Storage Location],
COUNTIFS(ITSecondTable[Tag], ITSecondTable[[#This Row],[Tag]], _xlpm.loc, "Missing")
)</f>
        <v>0</v>
      </c>
      <c r="E213" s="168">
        <f>_xlfn.LET(_xlpm.loc, ITEquipmentTable[Storage Location],
COUNTIFS(ITSecondTable[Tag], ITSecondTable[[#This Row],[Tag]], _xlpm.loc, "In Use") + COUNTIFS(ITSecondTable[Tag], ITSecondTable[[#This Row],[Tag]], _xlpm.loc, "Assigned to Employee")
)</f>
        <v>0</v>
      </c>
      <c r="F213" s="168">
        <f>_xlfn.LET(_xlpm.loc, ITEquipmentTable[Storage Location],
COUNTIFS(ITSecondTable[Tag], ITSecondTable[[#This Row],[Tag]], _xlpm.loc, "")
)</f>
        <v>5</v>
      </c>
      <c r="G213" s="168">
        <f>MAX(ITSecondTable[[#This Row],[SQty]] - ITSecondTable[[#This Row],[IQty]], 0)</f>
        <v>1</v>
      </c>
      <c r="H213" s="168">
        <f>MAX(ITSecondTable[[#This Row],[IQty]]-ITSecondTable[[#This Row],[SQty]], 0)</f>
        <v>0</v>
      </c>
      <c r="I213" s="151" t="str">
        <f>IFERROR(_xlfn.TEXTJOIN("~", TRUE, ITEquipmentTable[[#This Row],[Type]],ITEquipmentTable[[#This Row],[Brand]],ITEquipmentTable[[#This Row],[Model]]), "")</f>
        <v>Laptop~HP~HP ProBook 640 G2</v>
      </c>
      <c r="J213" s="151" t="b">
        <f xml:space="preserve"> _xlfn.IFNA(MATCH( ITSecondTable[[#This Row],[Tag]], StorageTable[Tag], 0)  &gt; -1, FALSE)</f>
        <v>0</v>
      </c>
      <c r="K213" s="168" t="b">
        <f>COUNTIFS(ITEquipmentTable[Serial], ITEquipmentTable[[#This Row],[Serial]], ITEquipmentTable[Serial], "&lt;&gt;N/A") &gt; 1</f>
        <v>0</v>
      </c>
      <c r="L213" s="168" t="b">
        <f>COUNTIFS(ITEquipmentTable[Name], ITEquipmentTable[[#This Row],[Name]], ITEquipmentTable[Name], "&lt;&gt;&lt;Unassigned&gt;",  ITEquipmentTable[Name], "&lt;&gt;N/A") &gt; 1</f>
        <v>0</v>
      </c>
      <c r="M213" s="168" t="b">
        <f>AND(COUNTIFS(ITEquipmentTable[IPv4 Address], ITEquipmentTable[[#This Row],[IPv4 Address]]) &gt; 1, ITEquipmentTable[[#This Row],[IPv4 Address]] &lt;&gt; "DHCP",  ITEquipmentTable[[#This Row],[IPv4 Address]] &lt;&gt; "N/A")</f>
        <v>0</v>
      </c>
    </row>
    <row r="214" spans="1:13" x14ac:dyDescent="0.2">
      <c r="A214" s="168">
        <f>IF(LEN(ITSecondTable[[#This Row],[Tag]]) &gt; 0, _xlfn.XLOOKUP(ITSecondTable[[#This Row],[Tag]],StorageTable[Tag], StorageTable[In Storage - Count Total], "Err", 0, 1), 0)</f>
        <v>0</v>
      </c>
      <c r="B214" s="1">
        <f>_xlfn.LET(_xlpm.loc, ITEquipmentTable[Storage Location],
COUNTIFS(ITSecondTable[Tag], ITSecondTable[[#This Row],[Tag]], _xlpm.loc, "&lt;&gt;In Use", _xlpm.loc, "&lt;&gt;",  _xlpm.loc, "&lt;&gt;E-Waste", _xlpm.loc, "&lt;&gt;Virtual",  _xlpm.loc, "&lt;&gt;Assigned to Employee", _xlpm.loc, "&lt;&gt;Decommisioned", _xlpm.loc, "&lt;&gt;Missing")
)</f>
        <v>0</v>
      </c>
      <c r="C214" s="1">
        <f>_xlfn.LET(_xlpm.loc, ITEquipmentTable[Storage Location],
COUNTIFS(ITSecondTable[Tag], ITSecondTable[[#This Row],[Tag]], _xlpm.loc, "&lt;&gt;E-Waste", _xlpm.loc, "&lt;&gt;Virtual", _xlpm.loc, "&lt;&gt;Decommisioned")
)</f>
        <v>78</v>
      </c>
      <c r="D214" s="168">
        <f>_xlfn.LET(_xlpm.loc, ITEquipmentTable[Storage Location],
COUNTIFS(ITSecondTable[Tag], ITSecondTable[[#This Row],[Tag]], _xlpm.loc, "Missing")
)</f>
        <v>0</v>
      </c>
      <c r="E214" s="168">
        <f>_xlfn.LET(_xlpm.loc, ITEquipmentTable[Storage Location],
COUNTIFS(ITSecondTable[Tag], ITSecondTable[[#This Row],[Tag]], _xlpm.loc, "In Use") + COUNTIFS(ITSecondTable[Tag], ITSecondTable[[#This Row],[Tag]], _xlpm.loc, "Assigned to Employee")
)</f>
        <v>44</v>
      </c>
      <c r="F214" s="168">
        <f>_xlfn.LET(_xlpm.loc, ITEquipmentTable[Storage Location],
COUNTIFS(ITSecondTable[Tag], ITSecondTable[[#This Row],[Tag]], _xlpm.loc, "")
)</f>
        <v>34</v>
      </c>
      <c r="G214" s="168">
        <f>MAX(ITSecondTable[[#This Row],[SQty]] - ITSecondTable[[#This Row],[IQty]], 0)</f>
        <v>0</v>
      </c>
      <c r="H214" s="168">
        <f>MAX(ITSecondTable[[#This Row],[IQty]]-ITSecondTable[[#This Row],[SQty]], 0)</f>
        <v>0</v>
      </c>
      <c r="I214" s="151" t="str">
        <f>IFERROR(_xlfn.TEXTJOIN("~", TRUE, ITEquipmentTable[[#This Row],[Type]],ITEquipmentTable[[#This Row],[Brand]],ITEquipmentTable[[#This Row],[Model]]), "")</f>
        <v>Laptop~HP</v>
      </c>
      <c r="J214" s="151" t="b">
        <f xml:space="preserve"> _xlfn.IFNA(MATCH( ITSecondTable[[#This Row],[Tag]], StorageTable[Tag], 0)  &gt; -1, FALSE)</f>
        <v>0</v>
      </c>
      <c r="K214" s="168" t="b">
        <f>COUNTIFS(ITEquipmentTable[Serial], ITEquipmentTable[[#This Row],[Serial]], ITEquipmentTable[Serial], "&lt;&gt;N/A") &gt; 1</f>
        <v>0</v>
      </c>
      <c r="L214" s="168" t="b">
        <f>COUNTIFS(ITEquipmentTable[Name], ITEquipmentTable[[#This Row],[Name]], ITEquipmentTable[Name], "&lt;&gt;&lt;Unassigned&gt;",  ITEquipmentTable[Name], "&lt;&gt;N/A") &gt; 1</f>
        <v>0</v>
      </c>
      <c r="M214" s="168" t="b">
        <f>AND(COUNTIFS(ITEquipmentTable[IPv4 Address], ITEquipmentTable[[#This Row],[IPv4 Address]]) &gt; 1, ITEquipmentTable[[#This Row],[IPv4 Address]] &lt;&gt; "DHCP",  ITEquipmentTable[[#This Row],[IPv4 Address]] &lt;&gt; "N/A")</f>
        <v>0</v>
      </c>
    </row>
    <row r="215" spans="1:13" x14ac:dyDescent="0.2">
      <c r="A215" s="168">
        <f>IF(LEN(ITSecondTable[[#This Row],[Tag]]) &gt; 0, _xlfn.XLOOKUP(ITSecondTable[[#This Row],[Tag]],StorageTable[Tag], StorageTable[In Storage - Count Total], "Err", 0, 1), 0)</f>
        <v>0</v>
      </c>
      <c r="B215" s="1">
        <f>_xlfn.LET(_xlpm.loc, ITEquipmentTable[Storage Location],
COUNTIFS(ITSecondTable[Tag], ITSecondTable[[#This Row],[Tag]], _xlpm.loc, "&lt;&gt;In Use", _xlpm.loc, "&lt;&gt;",  _xlpm.loc, "&lt;&gt;E-Waste", _xlpm.loc, "&lt;&gt;Virtual",  _xlpm.loc, "&lt;&gt;Assigned to Employee", _xlpm.loc, "&lt;&gt;Decommisioned", _xlpm.loc, "&lt;&gt;Missing")
)</f>
        <v>0</v>
      </c>
      <c r="C215" s="1">
        <f>_xlfn.LET(_xlpm.loc, ITEquipmentTable[Storage Location],
COUNTIFS(ITSecondTable[Tag], ITSecondTable[[#This Row],[Tag]], _xlpm.loc, "&lt;&gt;E-Waste", _xlpm.loc, "&lt;&gt;Virtual", _xlpm.loc, "&lt;&gt;Decommisioned")
)</f>
        <v>10</v>
      </c>
      <c r="D215" s="168">
        <f>_xlfn.LET(_xlpm.loc, ITEquipmentTable[Storage Location],
COUNTIFS(ITSecondTable[Tag], ITSecondTable[[#This Row],[Tag]], _xlpm.loc, "Missing")
)</f>
        <v>0</v>
      </c>
      <c r="E215" s="168">
        <f>_xlfn.LET(_xlpm.loc, ITEquipmentTable[Storage Location],
COUNTIFS(ITSecondTable[Tag], ITSecondTable[[#This Row],[Tag]], _xlpm.loc, "In Use") + COUNTIFS(ITSecondTable[Tag], ITSecondTable[[#This Row],[Tag]], _xlpm.loc, "Assigned to Employee")
)</f>
        <v>5</v>
      </c>
      <c r="F215" s="168">
        <f>_xlfn.LET(_xlpm.loc, ITEquipmentTable[Storage Location],
COUNTIFS(ITSecondTable[Tag], ITSecondTable[[#This Row],[Tag]], _xlpm.loc, "")
)</f>
        <v>5</v>
      </c>
      <c r="G215" s="168">
        <f>MAX(ITSecondTable[[#This Row],[SQty]] - ITSecondTable[[#This Row],[IQty]], 0)</f>
        <v>0</v>
      </c>
      <c r="H215" s="168">
        <f>MAX(ITSecondTable[[#This Row],[IQty]]-ITSecondTable[[#This Row],[SQty]], 0)</f>
        <v>0</v>
      </c>
      <c r="I215" s="151" t="str">
        <f>IFERROR(_xlfn.TEXTJOIN("~", TRUE, ITEquipmentTable[[#This Row],[Type]],ITEquipmentTable[[#This Row],[Brand]],ITEquipmentTable[[#This Row],[Model]]), "")</f>
        <v>Laptop~HP~HP ProBook 640 G4</v>
      </c>
      <c r="J215" s="151" t="b">
        <f xml:space="preserve"> _xlfn.IFNA(MATCH( ITSecondTable[[#This Row],[Tag]], StorageTable[Tag], 0)  &gt; -1, FALSE)</f>
        <v>0</v>
      </c>
      <c r="K215" s="168" t="b">
        <f>COUNTIFS(ITEquipmentTable[Serial], ITEquipmentTable[[#This Row],[Serial]], ITEquipmentTable[Serial], "&lt;&gt;N/A") &gt; 1</f>
        <v>0</v>
      </c>
      <c r="L215" s="168" t="b">
        <f>COUNTIFS(ITEquipmentTable[Name], ITEquipmentTable[[#This Row],[Name]], ITEquipmentTable[Name], "&lt;&gt;&lt;Unassigned&gt;",  ITEquipmentTable[Name], "&lt;&gt;N/A") &gt; 1</f>
        <v>0</v>
      </c>
      <c r="M215" s="168" t="b">
        <f>AND(COUNTIFS(ITEquipmentTable[IPv4 Address], ITEquipmentTable[[#This Row],[IPv4 Address]]) &gt; 1, ITEquipmentTable[[#This Row],[IPv4 Address]] &lt;&gt; "DHCP",  ITEquipmentTable[[#This Row],[IPv4 Address]] &lt;&gt; "N/A")</f>
        <v>0</v>
      </c>
    </row>
    <row r="216" spans="1:13" x14ac:dyDescent="0.2">
      <c r="A216" s="168">
        <f>IF(LEN(ITSecondTable[[#This Row],[Tag]]) &gt; 0, _xlfn.XLOOKUP(ITSecondTable[[#This Row],[Tag]],StorageTable[Tag], StorageTable[In Storage - Count Total], "Err", 0, 1), 0)</f>
        <v>0</v>
      </c>
      <c r="B216" s="1">
        <f>_xlfn.LET(_xlpm.loc, ITEquipmentTable[Storage Location],
COUNTIFS(ITSecondTable[Tag], ITSecondTable[[#This Row],[Tag]], _xlpm.loc, "&lt;&gt;In Use", _xlpm.loc, "&lt;&gt;",  _xlpm.loc, "&lt;&gt;E-Waste", _xlpm.loc, "&lt;&gt;Virtual",  _xlpm.loc, "&lt;&gt;Assigned to Employee", _xlpm.loc, "&lt;&gt;Decommisioned", _xlpm.loc, "&lt;&gt;Missing")
)</f>
        <v>0</v>
      </c>
      <c r="C216" s="1">
        <f>_xlfn.LET(_xlpm.loc, ITEquipmentTable[Storage Location],
COUNTIFS(ITSecondTable[Tag], ITSecondTable[[#This Row],[Tag]], _xlpm.loc, "&lt;&gt;E-Waste", _xlpm.loc, "&lt;&gt;Virtual", _xlpm.loc, "&lt;&gt;Decommisioned")
)</f>
        <v>78</v>
      </c>
      <c r="D216" s="168">
        <f>_xlfn.LET(_xlpm.loc, ITEquipmentTable[Storage Location],
COUNTIFS(ITSecondTable[Tag], ITSecondTable[[#This Row],[Tag]], _xlpm.loc, "Missing")
)</f>
        <v>0</v>
      </c>
      <c r="E216" s="168">
        <f>_xlfn.LET(_xlpm.loc, ITEquipmentTable[Storage Location],
COUNTIFS(ITSecondTable[Tag], ITSecondTable[[#This Row],[Tag]], _xlpm.loc, "In Use") + COUNTIFS(ITSecondTable[Tag], ITSecondTable[[#This Row],[Tag]], _xlpm.loc, "Assigned to Employee")
)</f>
        <v>44</v>
      </c>
      <c r="F216" s="168">
        <f>_xlfn.LET(_xlpm.loc, ITEquipmentTable[Storage Location],
COUNTIFS(ITSecondTable[Tag], ITSecondTable[[#This Row],[Tag]], _xlpm.loc, "")
)</f>
        <v>34</v>
      </c>
      <c r="G216" s="168">
        <f>MAX(ITSecondTable[[#This Row],[SQty]] - ITSecondTable[[#This Row],[IQty]], 0)</f>
        <v>0</v>
      </c>
      <c r="H216" s="168">
        <f>MAX(ITSecondTable[[#This Row],[IQty]]-ITSecondTable[[#This Row],[SQty]], 0)</f>
        <v>0</v>
      </c>
      <c r="I216" s="151" t="str">
        <f>IFERROR(_xlfn.TEXTJOIN("~", TRUE, ITEquipmentTable[[#This Row],[Type]],ITEquipmentTable[[#This Row],[Brand]],ITEquipmentTable[[#This Row],[Model]]), "")</f>
        <v>Laptop~HP</v>
      </c>
      <c r="J216" s="151" t="b">
        <f xml:space="preserve"> _xlfn.IFNA(MATCH( ITSecondTable[[#This Row],[Tag]], StorageTable[Tag], 0)  &gt; -1, FALSE)</f>
        <v>0</v>
      </c>
      <c r="K216" s="168" t="b">
        <f>COUNTIFS(ITEquipmentTable[Serial], ITEquipmentTable[[#This Row],[Serial]], ITEquipmentTable[Serial], "&lt;&gt;N/A") &gt; 1</f>
        <v>0</v>
      </c>
      <c r="L216" s="168" t="b">
        <f>COUNTIFS(ITEquipmentTable[Name], ITEquipmentTable[[#This Row],[Name]], ITEquipmentTable[Name], "&lt;&gt;&lt;Unassigned&gt;",  ITEquipmentTable[Name], "&lt;&gt;N/A") &gt; 1</f>
        <v>0</v>
      </c>
      <c r="M216" s="168" t="b">
        <f>AND(COUNTIFS(ITEquipmentTable[IPv4 Address], ITEquipmentTable[[#This Row],[IPv4 Address]]) &gt; 1, ITEquipmentTable[[#This Row],[IPv4 Address]] &lt;&gt; "DHCP",  ITEquipmentTable[[#This Row],[IPv4 Address]] &lt;&gt; "N/A")</f>
        <v>0</v>
      </c>
    </row>
    <row r="217" spans="1:13" x14ac:dyDescent="0.2">
      <c r="A217" s="168">
        <f>IF(LEN(ITSecondTable[[#This Row],[Tag]]) &gt; 0, _xlfn.XLOOKUP(ITSecondTable[[#This Row],[Tag]],StorageTable[Tag], StorageTable[In Storage - Count Total], "Err", 0, 1), 0)</f>
        <v>0</v>
      </c>
      <c r="B217" s="1">
        <f>_xlfn.LET(_xlpm.loc, ITEquipmentTable[Storage Location],
COUNTIFS(ITSecondTable[Tag], ITSecondTable[[#This Row],[Tag]], _xlpm.loc, "&lt;&gt;In Use", _xlpm.loc, "&lt;&gt;",  _xlpm.loc, "&lt;&gt;E-Waste", _xlpm.loc, "&lt;&gt;Virtual",  _xlpm.loc, "&lt;&gt;Assigned to Employee", _xlpm.loc, "&lt;&gt;Decommisioned", _xlpm.loc, "&lt;&gt;Missing")
)</f>
        <v>0</v>
      </c>
      <c r="C217" s="1">
        <f>_xlfn.LET(_xlpm.loc, ITEquipmentTable[Storage Location],
COUNTIFS(ITSecondTable[Tag], ITSecondTable[[#This Row],[Tag]], _xlpm.loc, "&lt;&gt;E-Waste", _xlpm.loc, "&lt;&gt;Virtual", _xlpm.loc, "&lt;&gt;Decommisioned")
)</f>
        <v>78</v>
      </c>
      <c r="D217" s="168">
        <f>_xlfn.LET(_xlpm.loc, ITEquipmentTable[Storage Location],
COUNTIFS(ITSecondTable[Tag], ITSecondTable[[#This Row],[Tag]], _xlpm.loc, "Missing")
)</f>
        <v>0</v>
      </c>
      <c r="E217" s="168">
        <f>_xlfn.LET(_xlpm.loc, ITEquipmentTable[Storage Location],
COUNTIFS(ITSecondTable[Tag], ITSecondTable[[#This Row],[Tag]], _xlpm.loc, "In Use") + COUNTIFS(ITSecondTable[Tag], ITSecondTable[[#This Row],[Tag]], _xlpm.loc, "Assigned to Employee")
)</f>
        <v>44</v>
      </c>
      <c r="F217" s="168">
        <f>_xlfn.LET(_xlpm.loc, ITEquipmentTable[Storage Location],
COUNTIFS(ITSecondTable[Tag], ITSecondTable[[#This Row],[Tag]], _xlpm.loc, "")
)</f>
        <v>34</v>
      </c>
      <c r="G217" s="168">
        <f>MAX(ITSecondTable[[#This Row],[SQty]] - ITSecondTable[[#This Row],[IQty]], 0)</f>
        <v>0</v>
      </c>
      <c r="H217" s="168">
        <f>MAX(ITSecondTable[[#This Row],[IQty]]-ITSecondTable[[#This Row],[SQty]], 0)</f>
        <v>0</v>
      </c>
      <c r="I217" s="151" t="str">
        <f>IFERROR(_xlfn.TEXTJOIN("~", TRUE, ITEquipmentTable[[#This Row],[Type]],ITEquipmentTable[[#This Row],[Brand]],ITEquipmentTable[[#This Row],[Model]]), "")</f>
        <v>Laptop~HP</v>
      </c>
      <c r="J217" s="151" t="b">
        <f xml:space="preserve"> _xlfn.IFNA(MATCH( ITSecondTable[[#This Row],[Tag]], StorageTable[Tag], 0)  &gt; -1, FALSE)</f>
        <v>0</v>
      </c>
      <c r="K217" s="168" t="b">
        <f>COUNTIFS(ITEquipmentTable[Serial], ITEquipmentTable[[#This Row],[Serial]], ITEquipmentTable[Serial], "&lt;&gt;N/A") &gt; 1</f>
        <v>0</v>
      </c>
      <c r="L217" s="168" t="b">
        <f>COUNTIFS(ITEquipmentTable[Name], ITEquipmentTable[[#This Row],[Name]], ITEquipmentTable[Name], "&lt;&gt;&lt;Unassigned&gt;",  ITEquipmentTable[Name], "&lt;&gt;N/A") &gt; 1</f>
        <v>0</v>
      </c>
      <c r="M217" s="168" t="b">
        <f>AND(COUNTIFS(ITEquipmentTable[IPv4 Address], ITEquipmentTable[[#This Row],[IPv4 Address]]) &gt; 1, ITEquipmentTable[[#This Row],[IPv4 Address]] &lt;&gt; "DHCP",  ITEquipmentTable[[#This Row],[IPv4 Address]] &lt;&gt; "N/A")</f>
        <v>0</v>
      </c>
    </row>
    <row r="218" spans="1:13" x14ac:dyDescent="0.2">
      <c r="A218" s="168">
        <f>IF(LEN(ITSecondTable[[#This Row],[Tag]]) &gt; 0, _xlfn.XLOOKUP(ITSecondTable[[#This Row],[Tag]],StorageTable[Tag], StorageTable[In Storage - Count Total], "Err", 0, 1), 0)</f>
        <v>0</v>
      </c>
      <c r="B218" s="1">
        <f>_xlfn.LET(_xlpm.loc, ITEquipmentTable[Storage Location],
COUNTIFS(ITSecondTable[Tag], ITSecondTable[[#This Row],[Tag]], _xlpm.loc, "&lt;&gt;In Use", _xlpm.loc, "&lt;&gt;",  _xlpm.loc, "&lt;&gt;E-Waste", _xlpm.loc, "&lt;&gt;Virtual",  _xlpm.loc, "&lt;&gt;Assigned to Employee", _xlpm.loc, "&lt;&gt;Decommisioned", _xlpm.loc, "&lt;&gt;Missing")
)</f>
        <v>0</v>
      </c>
      <c r="C218" s="1">
        <f>_xlfn.LET(_xlpm.loc, ITEquipmentTable[Storage Location],
COUNTIFS(ITSecondTable[Tag], ITSecondTable[[#This Row],[Tag]], _xlpm.loc, "&lt;&gt;E-Waste", _xlpm.loc, "&lt;&gt;Virtual", _xlpm.loc, "&lt;&gt;Decommisioned")
)</f>
        <v>78</v>
      </c>
      <c r="D218" s="168">
        <f>_xlfn.LET(_xlpm.loc, ITEquipmentTable[Storage Location],
COUNTIFS(ITSecondTable[Tag], ITSecondTable[[#This Row],[Tag]], _xlpm.loc, "Missing")
)</f>
        <v>0</v>
      </c>
      <c r="E218" s="168">
        <f>_xlfn.LET(_xlpm.loc, ITEquipmentTable[Storage Location],
COUNTIFS(ITSecondTable[Tag], ITSecondTable[[#This Row],[Tag]], _xlpm.loc, "In Use") + COUNTIFS(ITSecondTable[Tag], ITSecondTable[[#This Row],[Tag]], _xlpm.loc, "Assigned to Employee")
)</f>
        <v>44</v>
      </c>
      <c r="F218" s="168">
        <f>_xlfn.LET(_xlpm.loc, ITEquipmentTable[Storage Location],
COUNTIFS(ITSecondTable[Tag], ITSecondTable[[#This Row],[Tag]], _xlpm.loc, "")
)</f>
        <v>34</v>
      </c>
      <c r="G218" s="168">
        <f>MAX(ITSecondTable[[#This Row],[SQty]] - ITSecondTable[[#This Row],[IQty]], 0)</f>
        <v>0</v>
      </c>
      <c r="H218" s="168">
        <f>MAX(ITSecondTable[[#This Row],[IQty]]-ITSecondTable[[#This Row],[SQty]], 0)</f>
        <v>0</v>
      </c>
      <c r="I218" s="151" t="str">
        <f>IFERROR(_xlfn.TEXTJOIN("~", TRUE, ITEquipmentTable[[#This Row],[Type]],ITEquipmentTable[[#This Row],[Brand]],ITEquipmentTable[[#This Row],[Model]]), "")</f>
        <v>Laptop~HP</v>
      </c>
      <c r="J218" s="151" t="b">
        <f xml:space="preserve"> _xlfn.IFNA(MATCH( ITSecondTable[[#This Row],[Tag]], StorageTable[Tag], 0)  &gt; -1, FALSE)</f>
        <v>0</v>
      </c>
      <c r="K218" s="168" t="b">
        <f>COUNTIFS(ITEquipmentTable[Serial], ITEquipmentTable[[#This Row],[Serial]], ITEquipmentTable[Serial], "&lt;&gt;N/A") &gt; 1</f>
        <v>0</v>
      </c>
      <c r="L218" s="168" t="b">
        <f>COUNTIFS(ITEquipmentTable[Name], ITEquipmentTable[[#This Row],[Name]], ITEquipmentTable[Name], "&lt;&gt;&lt;Unassigned&gt;",  ITEquipmentTable[Name], "&lt;&gt;N/A") &gt; 1</f>
        <v>0</v>
      </c>
      <c r="M218" s="168" t="b">
        <f>AND(COUNTIFS(ITEquipmentTable[IPv4 Address], ITEquipmentTable[[#This Row],[IPv4 Address]]) &gt; 1, ITEquipmentTable[[#This Row],[IPv4 Address]] &lt;&gt; "DHCP",  ITEquipmentTable[[#This Row],[IPv4 Address]] &lt;&gt; "N/A")</f>
        <v>0</v>
      </c>
    </row>
    <row r="219" spans="1:13" x14ac:dyDescent="0.2">
      <c r="A219" s="168">
        <f>IF(LEN(ITSecondTable[[#This Row],[Tag]]) &gt; 0, _xlfn.XLOOKUP(ITSecondTable[[#This Row],[Tag]],StorageTable[Tag], StorageTable[In Storage - Count Total], "Err", 0, 1), 0)</f>
        <v>0</v>
      </c>
      <c r="B219" s="1">
        <f>_xlfn.LET(_xlpm.loc, ITEquipmentTable[Storage Location],
COUNTIFS(ITSecondTable[Tag], ITSecondTable[[#This Row],[Tag]], _xlpm.loc, "&lt;&gt;In Use", _xlpm.loc, "&lt;&gt;",  _xlpm.loc, "&lt;&gt;E-Waste", _xlpm.loc, "&lt;&gt;Virtual",  _xlpm.loc, "&lt;&gt;Assigned to Employee", _xlpm.loc, "&lt;&gt;Decommisioned", _xlpm.loc, "&lt;&gt;Missing")
)</f>
        <v>0</v>
      </c>
      <c r="C219" s="1">
        <f>_xlfn.LET(_xlpm.loc, ITEquipmentTable[Storage Location],
COUNTIFS(ITSecondTable[Tag], ITSecondTable[[#This Row],[Tag]], _xlpm.loc, "&lt;&gt;E-Waste", _xlpm.loc, "&lt;&gt;Virtual", _xlpm.loc, "&lt;&gt;Decommisioned")
)</f>
        <v>78</v>
      </c>
      <c r="D219" s="168">
        <f>_xlfn.LET(_xlpm.loc, ITEquipmentTable[Storage Location],
COUNTIFS(ITSecondTable[Tag], ITSecondTable[[#This Row],[Tag]], _xlpm.loc, "Missing")
)</f>
        <v>0</v>
      </c>
      <c r="E219" s="168">
        <f>_xlfn.LET(_xlpm.loc, ITEquipmentTable[Storage Location],
COUNTIFS(ITSecondTable[Tag], ITSecondTable[[#This Row],[Tag]], _xlpm.loc, "In Use") + COUNTIFS(ITSecondTable[Tag], ITSecondTable[[#This Row],[Tag]], _xlpm.loc, "Assigned to Employee")
)</f>
        <v>44</v>
      </c>
      <c r="F219" s="168">
        <f>_xlfn.LET(_xlpm.loc, ITEquipmentTable[Storage Location],
COUNTIFS(ITSecondTable[Tag], ITSecondTable[[#This Row],[Tag]], _xlpm.loc, "")
)</f>
        <v>34</v>
      </c>
      <c r="G219" s="168">
        <f>MAX(ITSecondTable[[#This Row],[SQty]] - ITSecondTable[[#This Row],[IQty]], 0)</f>
        <v>0</v>
      </c>
      <c r="H219" s="168">
        <f>MAX(ITSecondTable[[#This Row],[IQty]]-ITSecondTable[[#This Row],[SQty]], 0)</f>
        <v>0</v>
      </c>
      <c r="I219" s="151" t="str">
        <f>IFERROR(_xlfn.TEXTJOIN("~", TRUE, ITEquipmentTable[[#This Row],[Type]],ITEquipmentTable[[#This Row],[Brand]],ITEquipmentTable[[#This Row],[Model]]), "")</f>
        <v>Laptop~HP</v>
      </c>
      <c r="J219" s="151" t="b">
        <f xml:space="preserve"> _xlfn.IFNA(MATCH( ITSecondTable[[#This Row],[Tag]], StorageTable[Tag], 0)  &gt; -1, FALSE)</f>
        <v>0</v>
      </c>
      <c r="K219" s="168" t="b">
        <f>COUNTIFS(ITEquipmentTable[Serial], ITEquipmentTable[[#This Row],[Serial]], ITEquipmentTable[Serial], "&lt;&gt;N/A") &gt; 1</f>
        <v>0</v>
      </c>
      <c r="L219" s="168" t="b">
        <f>COUNTIFS(ITEquipmentTable[Name], ITEquipmentTable[[#This Row],[Name]], ITEquipmentTable[Name], "&lt;&gt;&lt;Unassigned&gt;",  ITEquipmentTable[Name], "&lt;&gt;N/A") &gt; 1</f>
        <v>0</v>
      </c>
      <c r="M219" s="168" t="b">
        <f>AND(COUNTIFS(ITEquipmentTable[IPv4 Address], ITEquipmentTable[[#This Row],[IPv4 Address]]) &gt; 1, ITEquipmentTable[[#This Row],[IPv4 Address]] &lt;&gt; "DHCP",  ITEquipmentTable[[#This Row],[IPv4 Address]] &lt;&gt; "N/A")</f>
        <v>0</v>
      </c>
    </row>
    <row r="220" spans="1:13" x14ac:dyDescent="0.2">
      <c r="A220" s="168">
        <f>IF(LEN(ITSecondTable[[#This Row],[Tag]]) &gt; 0, _xlfn.XLOOKUP(ITSecondTable[[#This Row],[Tag]],StorageTable[Tag], StorageTable[In Storage - Count Total], "Err", 0, 1), 0)</f>
        <v>0</v>
      </c>
      <c r="B220" s="1">
        <f>_xlfn.LET(_xlpm.loc, ITEquipmentTable[Storage Location],
COUNTIFS(ITSecondTable[Tag], ITSecondTable[[#This Row],[Tag]], _xlpm.loc, "&lt;&gt;In Use", _xlpm.loc, "&lt;&gt;",  _xlpm.loc, "&lt;&gt;E-Waste", _xlpm.loc, "&lt;&gt;Virtual",  _xlpm.loc, "&lt;&gt;Assigned to Employee", _xlpm.loc, "&lt;&gt;Decommisioned", _xlpm.loc, "&lt;&gt;Missing")
)</f>
        <v>0</v>
      </c>
      <c r="C220" s="1">
        <f>_xlfn.LET(_xlpm.loc, ITEquipmentTable[Storage Location],
COUNTIFS(ITSecondTable[Tag], ITSecondTable[[#This Row],[Tag]], _xlpm.loc, "&lt;&gt;E-Waste", _xlpm.loc, "&lt;&gt;Virtual", _xlpm.loc, "&lt;&gt;Decommisioned")
)</f>
        <v>78</v>
      </c>
      <c r="D220" s="168">
        <f>_xlfn.LET(_xlpm.loc, ITEquipmentTable[Storage Location],
COUNTIFS(ITSecondTable[Tag], ITSecondTable[[#This Row],[Tag]], _xlpm.loc, "Missing")
)</f>
        <v>0</v>
      </c>
      <c r="E220" s="168">
        <f>_xlfn.LET(_xlpm.loc, ITEquipmentTable[Storage Location],
COUNTIFS(ITSecondTable[Tag], ITSecondTable[[#This Row],[Tag]], _xlpm.loc, "In Use") + COUNTIFS(ITSecondTable[Tag], ITSecondTable[[#This Row],[Tag]], _xlpm.loc, "Assigned to Employee")
)</f>
        <v>44</v>
      </c>
      <c r="F220" s="168">
        <f>_xlfn.LET(_xlpm.loc, ITEquipmentTable[Storage Location],
COUNTIFS(ITSecondTable[Tag], ITSecondTable[[#This Row],[Tag]], _xlpm.loc, "")
)</f>
        <v>34</v>
      </c>
      <c r="G220" s="168">
        <f>MAX(ITSecondTable[[#This Row],[SQty]] - ITSecondTable[[#This Row],[IQty]], 0)</f>
        <v>0</v>
      </c>
      <c r="H220" s="168">
        <f>MAX(ITSecondTable[[#This Row],[IQty]]-ITSecondTable[[#This Row],[SQty]], 0)</f>
        <v>0</v>
      </c>
      <c r="I220" s="151" t="str">
        <f>IFERROR(_xlfn.TEXTJOIN("~", TRUE, ITEquipmentTable[[#This Row],[Type]],ITEquipmentTable[[#This Row],[Brand]],ITEquipmentTable[[#This Row],[Model]]), "")</f>
        <v>Laptop~HP</v>
      </c>
      <c r="J220" s="151" t="b">
        <f xml:space="preserve"> _xlfn.IFNA(MATCH( ITSecondTable[[#This Row],[Tag]], StorageTable[Tag], 0)  &gt; -1, FALSE)</f>
        <v>0</v>
      </c>
      <c r="K220" s="168" t="b">
        <f>COUNTIFS(ITEquipmentTable[Serial], ITEquipmentTable[[#This Row],[Serial]], ITEquipmentTable[Serial], "&lt;&gt;N/A") &gt; 1</f>
        <v>0</v>
      </c>
      <c r="L220" s="168" t="b">
        <f>COUNTIFS(ITEquipmentTable[Name], ITEquipmentTable[[#This Row],[Name]], ITEquipmentTable[Name], "&lt;&gt;&lt;Unassigned&gt;",  ITEquipmentTable[Name], "&lt;&gt;N/A") &gt; 1</f>
        <v>0</v>
      </c>
      <c r="M220" s="168" t="b">
        <f>AND(COUNTIFS(ITEquipmentTable[IPv4 Address], ITEquipmentTable[[#This Row],[IPv4 Address]]) &gt; 1, ITEquipmentTable[[#This Row],[IPv4 Address]] &lt;&gt; "DHCP",  ITEquipmentTable[[#This Row],[IPv4 Address]] &lt;&gt; "N/A")</f>
        <v>0</v>
      </c>
    </row>
    <row r="221" spans="1:13" x14ac:dyDescent="0.2">
      <c r="A221" s="168">
        <f>IF(LEN(ITSecondTable[[#This Row],[Tag]]) &gt; 0, _xlfn.XLOOKUP(ITSecondTable[[#This Row],[Tag]],StorageTable[Tag], StorageTable[In Storage - Count Total], "Err", 0, 1), 0)</f>
        <v>0</v>
      </c>
      <c r="B221" s="1">
        <f>_xlfn.LET(_xlpm.loc, ITEquipmentTable[Storage Location],
COUNTIFS(ITSecondTable[Tag], ITSecondTable[[#This Row],[Tag]], _xlpm.loc, "&lt;&gt;In Use", _xlpm.loc, "&lt;&gt;",  _xlpm.loc, "&lt;&gt;E-Waste", _xlpm.loc, "&lt;&gt;Virtual",  _xlpm.loc, "&lt;&gt;Assigned to Employee", _xlpm.loc, "&lt;&gt;Decommisioned", _xlpm.loc, "&lt;&gt;Missing")
)</f>
        <v>0</v>
      </c>
      <c r="C221" s="1">
        <f>_xlfn.LET(_xlpm.loc, ITEquipmentTable[Storage Location],
COUNTIFS(ITSecondTable[Tag], ITSecondTable[[#This Row],[Tag]], _xlpm.loc, "&lt;&gt;E-Waste", _xlpm.loc, "&lt;&gt;Virtual", _xlpm.loc, "&lt;&gt;Decommisioned")
)</f>
        <v>29</v>
      </c>
      <c r="D221" s="168">
        <f>_xlfn.LET(_xlpm.loc, ITEquipmentTable[Storage Location],
COUNTIFS(ITSecondTable[Tag], ITSecondTable[[#This Row],[Tag]], _xlpm.loc, "Missing")
)</f>
        <v>0</v>
      </c>
      <c r="E221" s="168">
        <f>_xlfn.LET(_xlpm.loc, ITEquipmentTable[Storage Location],
COUNTIFS(ITSecondTable[Tag], ITSecondTable[[#This Row],[Tag]], _xlpm.loc, "In Use") + COUNTIFS(ITSecondTable[Tag], ITSecondTable[[#This Row],[Tag]], _xlpm.loc, "Assigned to Employee")
)</f>
        <v>3</v>
      </c>
      <c r="F221" s="168">
        <f>_xlfn.LET(_xlpm.loc, ITEquipmentTable[Storage Location],
COUNTIFS(ITSecondTable[Tag], ITSecondTable[[#This Row],[Tag]], _xlpm.loc, "")
)</f>
        <v>26</v>
      </c>
      <c r="G221" s="168">
        <f>MAX(ITSecondTable[[#This Row],[SQty]] - ITSecondTable[[#This Row],[IQty]], 0)</f>
        <v>0</v>
      </c>
      <c r="H221" s="168">
        <f>MAX(ITSecondTable[[#This Row],[IQty]]-ITSecondTable[[#This Row],[SQty]], 0)</f>
        <v>0</v>
      </c>
      <c r="I221" s="151" t="str">
        <f>IFERROR(_xlfn.TEXTJOIN("~", TRUE, ITEquipmentTable[[#This Row],[Type]],ITEquipmentTable[[#This Row],[Brand]],ITEquipmentTable[[#This Row],[Model]]), "")</f>
        <v>Laptop~HP~HP ProBook 650 G2</v>
      </c>
      <c r="J221" s="151" t="b">
        <f xml:space="preserve"> _xlfn.IFNA(MATCH( ITSecondTable[[#This Row],[Tag]], StorageTable[Tag], 0)  &gt; -1, FALSE)</f>
        <v>0</v>
      </c>
      <c r="K221" s="168" t="b">
        <f>COUNTIFS(ITEquipmentTable[Serial], ITEquipmentTable[[#This Row],[Serial]], ITEquipmentTable[Serial], "&lt;&gt;N/A") &gt; 1</f>
        <v>0</v>
      </c>
      <c r="L221" s="168" t="b">
        <f>COUNTIFS(ITEquipmentTable[Name], ITEquipmentTable[[#This Row],[Name]], ITEquipmentTable[Name], "&lt;&gt;&lt;Unassigned&gt;",  ITEquipmentTable[Name], "&lt;&gt;N/A") &gt; 1</f>
        <v>0</v>
      </c>
      <c r="M221" s="168" t="b">
        <f>AND(COUNTIFS(ITEquipmentTable[IPv4 Address], ITEquipmentTable[[#This Row],[IPv4 Address]]) &gt; 1, ITEquipmentTable[[#This Row],[IPv4 Address]] &lt;&gt; "DHCP",  ITEquipmentTable[[#This Row],[IPv4 Address]] &lt;&gt; "N/A")</f>
        <v>0</v>
      </c>
    </row>
    <row r="222" spans="1:13" x14ac:dyDescent="0.2">
      <c r="A222" s="168">
        <f>IF(LEN(ITSecondTable[[#This Row],[Tag]]) &gt; 0, _xlfn.XLOOKUP(ITSecondTable[[#This Row],[Tag]],StorageTable[Tag], StorageTable[In Storage - Count Total], "Err", 0, 1), 0)</f>
        <v>0</v>
      </c>
      <c r="B222" s="1">
        <f>_xlfn.LET(_xlpm.loc, ITEquipmentTable[Storage Location],
COUNTIFS(ITSecondTable[Tag], ITSecondTable[[#This Row],[Tag]], _xlpm.loc, "&lt;&gt;In Use", _xlpm.loc, "&lt;&gt;",  _xlpm.loc, "&lt;&gt;E-Waste", _xlpm.loc, "&lt;&gt;Virtual",  _xlpm.loc, "&lt;&gt;Assigned to Employee", _xlpm.loc, "&lt;&gt;Decommisioned", _xlpm.loc, "&lt;&gt;Missing")
)</f>
        <v>0</v>
      </c>
      <c r="C222" s="1">
        <f>_xlfn.LET(_xlpm.loc, ITEquipmentTable[Storage Location],
COUNTIFS(ITSecondTable[Tag], ITSecondTable[[#This Row],[Tag]], _xlpm.loc, "&lt;&gt;E-Waste", _xlpm.loc, "&lt;&gt;Virtual", _xlpm.loc, "&lt;&gt;Decommisioned")
)</f>
        <v>78</v>
      </c>
      <c r="D222" s="168">
        <f>_xlfn.LET(_xlpm.loc, ITEquipmentTable[Storage Location],
COUNTIFS(ITSecondTable[Tag], ITSecondTable[[#This Row],[Tag]], _xlpm.loc, "Missing")
)</f>
        <v>0</v>
      </c>
      <c r="E222" s="168">
        <f>_xlfn.LET(_xlpm.loc, ITEquipmentTable[Storage Location],
COUNTIFS(ITSecondTable[Tag], ITSecondTable[[#This Row],[Tag]], _xlpm.loc, "In Use") + COUNTIFS(ITSecondTable[Tag], ITSecondTable[[#This Row],[Tag]], _xlpm.loc, "Assigned to Employee")
)</f>
        <v>44</v>
      </c>
      <c r="F222" s="168">
        <f>_xlfn.LET(_xlpm.loc, ITEquipmentTable[Storage Location],
COUNTIFS(ITSecondTable[Tag], ITSecondTable[[#This Row],[Tag]], _xlpm.loc, "")
)</f>
        <v>34</v>
      </c>
      <c r="G222" s="168">
        <f>MAX(ITSecondTable[[#This Row],[SQty]] - ITSecondTable[[#This Row],[IQty]], 0)</f>
        <v>0</v>
      </c>
      <c r="H222" s="168">
        <f>MAX(ITSecondTable[[#This Row],[IQty]]-ITSecondTable[[#This Row],[SQty]], 0)</f>
        <v>0</v>
      </c>
      <c r="I222" s="151" t="str">
        <f>IFERROR(_xlfn.TEXTJOIN("~", TRUE, ITEquipmentTable[[#This Row],[Type]],ITEquipmentTable[[#This Row],[Brand]],ITEquipmentTable[[#This Row],[Model]]), "")</f>
        <v>Laptop~HP</v>
      </c>
      <c r="J222" s="151" t="b">
        <f xml:space="preserve"> _xlfn.IFNA(MATCH( ITSecondTable[[#This Row],[Tag]], StorageTable[Tag], 0)  &gt; -1, FALSE)</f>
        <v>0</v>
      </c>
      <c r="K222" s="168" t="b">
        <f>COUNTIFS(ITEquipmentTable[Serial], ITEquipmentTable[[#This Row],[Serial]], ITEquipmentTable[Serial], "&lt;&gt;N/A") &gt; 1</f>
        <v>0</v>
      </c>
      <c r="L222" s="168" t="b">
        <f>COUNTIFS(ITEquipmentTable[Name], ITEquipmentTable[[#This Row],[Name]], ITEquipmentTable[Name], "&lt;&gt;&lt;Unassigned&gt;",  ITEquipmentTable[Name], "&lt;&gt;N/A") &gt; 1</f>
        <v>0</v>
      </c>
      <c r="M222" s="168" t="b">
        <f>AND(COUNTIFS(ITEquipmentTable[IPv4 Address], ITEquipmentTable[[#This Row],[IPv4 Address]]) &gt; 1, ITEquipmentTable[[#This Row],[IPv4 Address]] &lt;&gt; "DHCP",  ITEquipmentTable[[#This Row],[IPv4 Address]] &lt;&gt; "N/A")</f>
        <v>0</v>
      </c>
    </row>
    <row r="223" spans="1:13" x14ac:dyDescent="0.2">
      <c r="A223" s="168">
        <f>IF(LEN(ITSecondTable[[#This Row],[Tag]]) &gt; 0, _xlfn.XLOOKUP(ITSecondTable[[#This Row],[Tag]],StorageTable[Tag], StorageTable[In Storage - Count Total], "Err", 0, 1), 0)</f>
        <v>0</v>
      </c>
      <c r="B223" s="1">
        <f>_xlfn.LET(_xlpm.loc, ITEquipmentTable[Storage Location],
COUNTIFS(ITSecondTable[Tag], ITSecondTable[[#This Row],[Tag]], _xlpm.loc, "&lt;&gt;In Use", _xlpm.loc, "&lt;&gt;",  _xlpm.loc, "&lt;&gt;E-Waste", _xlpm.loc, "&lt;&gt;Virtual",  _xlpm.loc, "&lt;&gt;Assigned to Employee", _xlpm.loc, "&lt;&gt;Decommisioned", _xlpm.loc, "&lt;&gt;Missing")
)</f>
        <v>0</v>
      </c>
      <c r="C223" s="1">
        <f>_xlfn.LET(_xlpm.loc, ITEquipmentTable[Storage Location],
COUNTIFS(ITSecondTable[Tag], ITSecondTable[[#This Row],[Tag]], _xlpm.loc, "&lt;&gt;E-Waste", _xlpm.loc, "&lt;&gt;Virtual", _xlpm.loc, "&lt;&gt;Decommisioned")
)</f>
        <v>3</v>
      </c>
      <c r="D223" s="168">
        <f>_xlfn.LET(_xlpm.loc, ITEquipmentTable[Storage Location],
COUNTIFS(ITSecondTable[Tag], ITSecondTable[[#This Row],[Tag]], _xlpm.loc, "Missing")
)</f>
        <v>0</v>
      </c>
      <c r="E223" s="168">
        <f>_xlfn.LET(_xlpm.loc, ITEquipmentTable[Storage Location],
COUNTIFS(ITSecondTable[Tag], ITSecondTable[[#This Row],[Tag]], _xlpm.loc, "In Use") + COUNTIFS(ITSecondTable[Tag], ITSecondTable[[#This Row],[Tag]], _xlpm.loc, "Assigned to Employee")
)</f>
        <v>3</v>
      </c>
      <c r="F223" s="168">
        <f>_xlfn.LET(_xlpm.loc, ITEquipmentTable[Storage Location],
COUNTIFS(ITSecondTable[Tag], ITSecondTable[[#This Row],[Tag]], _xlpm.loc, "")
)</f>
        <v>0</v>
      </c>
      <c r="G223" s="168">
        <f>MAX(ITSecondTable[[#This Row],[SQty]] - ITSecondTable[[#This Row],[IQty]], 0)</f>
        <v>0</v>
      </c>
      <c r="H223" s="168">
        <f>MAX(ITSecondTable[[#This Row],[IQty]]-ITSecondTable[[#This Row],[SQty]], 0)</f>
        <v>0</v>
      </c>
      <c r="I223" s="151" t="str">
        <f>IFERROR(_xlfn.TEXTJOIN("~", TRUE, ITEquipmentTable[[#This Row],[Type]],ITEquipmentTable[[#This Row],[Brand]],ITEquipmentTable[[#This Row],[Model]]), "")</f>
        <v>Laptop~HP~HP ProBook 650 G8</v>
      </c>
      <c r="J223" s="151" t="b">
        <f xml:space="preserve"> _xlfn.IFNA(MATCH( ITSecondTable[[#This Row],[Tag]], StorageTable[Tag], 0)  &gt; -1, FALSE)</f>
        <v>0</v>
      </c>
      <c r="K223" s="168" t="b">
        <f>COUNTIFS(ITEquipmentTable[Serial], ITEquipmentTable[[#This Row],[Serial]], ITEquipmentTable[Serial], "&lt;&gt;N/A") &gt; 1</f>
        <v>0</v>
      </c>
      <c r="L223" s="168" t="b">
        <f>COUNTIFS(ITEquipmentTable[Name], ITEquipmentTable[[#This Row],[Name]], ITEquipmentTable[Name], "&lt;&gt;&lt;Unassigned&gt;",  ITEquipmentTable[Name], "&lt;&gt;N/A") &gt; 1</f>
        <v>0</v>
      </c>
      <c r="M223" s="168" t="b">
        <f>AND(COUNTIFS(ITEquipmentTable[IPv4 Address], ITEquipmentTable[[#This Row],[IPv4 Address]]) &gt; 1, ITEquipmentTable[[#This Row],[IPv4 Address]] &lt;&gt; "DHCP",  ITEquipmentTable[[#This Row],[IPv4 Address]] &lt;&gt; "N/A")</f>
        <v>0</v>
      </c>
    </row>
    <row r="224" spans="1:13" x14ac:dyDescent="0.2">
      <c r="A224" s="168">
        <f>IF(LEN(ITSecondTable[[#This Row],[Tag]]) &gt; 0, _xlfn.XLOOKUP(ITSecondTable[[#This Row],[Tag]],StorageTable[Tag], StorageTable[In Storage - Count Total], "Err", 0, 1), 0)</f>
        <v>0</v>
      </c>
      <c r="B224" s="1">
        <f>_xlfn.LET(_xlpm.loc, ITEquipmentTable[Storage Location],
COUNTIFS(ITSecondTable[Tag], ITSecondTable[[#This Row],[Tag]], _xlpm.loc, "&lt;&gt;In Use", _xlpm.loc, "&lt;&gt;",  _xlpm.loc, "&lt;&gt;E-Waste", _xlpm.loc, "&lt;&gt;Virtual",  _xlpm.loc, "&lt;&gt;Assigned to Employee", _xlpm.loc, "&lt;&gt;Decommisioned", _xlpm.loc, "&lt;&gt;Missing")
)</f>
        <v>0</v>
      </c>
      <c r="C224" s="1">
        <f>_xlfn.LET(_xlpm.loc, ITEquipmentTable[Storage Location],
COUNTIFS(ITSecondTable[Tag], ITSecondTable[[#This Row],[Tag]], _xlpm.loc, "&lt;&gt;E-Waste", _xlpm.loc, "&lt;&gt;Virtual", _xlpm.loc, "&lt;&gt;Decommisioned")
)</f>
        <v>78</v>
      </c>
      <c r="D224" s="168">
        <f>_xlfn.LET(_xlpm.loc, ITEquipmentTable[Storage Location],
COUNTIFS(ITSecondTable[Tag], ITSecondTable[[#This Row],[Tag]], _xlpm.loc, "Missing")
)</f>
        <v>0</v>
      </c>
      <c r="E224" s="168">
        <f>_xlfn.LET(_xlpm.loc, ITEquipmentTable[Storage Location],
COUNTIFS(ITSecondTable[Tag], ITSecondTable[[#This Row],[Tag]], _xlpm.loc, "In Use") + COUNTIFS(ITSecondTable[Tag], ITSecondTable[[#This Row],[Tag]], _xlpm.loc, "Assigned to Employee")
)</f>
        <v>44</v>
      </c>
      <c r="F224" s="168">
        <f>_xlfn.LET(_xlpm.loc, ITEquipmentTable[Storage Location],
COUNTIFS(ITSecondTable[Tag], ITSecondTable[[#This Row],[Tag]], _xlpm.loc, "")
)</f>
        <v>34</v>
      </c>
      <c r="G224" s="168">
        <f>MAX(ITSecondTable[[#This Row],[SQty]] - ITSecondTable[[#This Row],[IQty]], 0)</f>
        <v>0</v>
      </c>
      <c r="H224" s="168">
        <f>MAX(ITSecondTable[[#This Row],[IQty]]-ITSecondTable[[#This Row],[SQty]], 0)</f>
        <v>0</v>
      </c>
      <c r="I224" s="151" t="str">
        <f>IFERROR(_xlfn.TEXTJOIN("~", TRUE, ITEquipmentTable[[#This Row],[Type]],ITEquipmentTable[[#This Row],[Brand]],ITEquipmentTable[[#This Row],[Model]]), "")</f>
        <v>Laptop~HP</v>
      </c>
      <c r="J224" s="151" t="b">
        <f xml:space="preserve"> _xlfn.IFNA(MATCH( ITSecondTable[[#This Row],[Tag]], StorageTable[Tag], 0)  &gt; -1, FALSE)</f>
        <v>0</v>
      </c>
      <c r="K224" s="168" t="b">
        <f>COUNTIFS(ITEquipmentTable[Serial], ITEquipmentTable[[#This Row],[Serial]], ITEquipmentTable[Serial], "&lt;&gt;N/A") &gt; 1</f>
        <v>0</v>
      </c>
      <c r="L224" s="168" t="b">
        <f>COUNTIFS(ITEquipmentTable[Name], ITEquipmentTable[[#This Row],[Name]], ITEquipmentTable[Name], "&lt;&gt;&lt;Unassigned&gt;",  ITEquipmentTable[Name], "&lt;&gt;N/A") &gt; 1</f>
        <v>0</v>
      </c>
      <c r="M224" s="168" t="b">
        <f>AND(COUNTIFS(ITEquipmentTable[IPv4 Address], ITEquipmentTable[[#This Row],[IPv4 Address]]) &gt; 1, ITEquipmentTable[[#This Row],[IPv4 Address]] &lt;&gt; "DHCP",  ITEquipmentTable[[#This Row],[IPv4 Address]] &lt;&gt; "N/A")</f>
        <v>0</v>
      </c>
    </row>
    <row r="225" spans="1:13" x14ac:dyDescent="0.2">
      <c r="A225" s="168">
        <f>IF(LEN(ITSecondTable[[#This Row],[Tag]]) &gt; 0, _xlfn.XLOOKUP(ITSecondTable[[#This Row],[Tag]],StorageTable[Tag], StorageTable[In Storage - Count Total], "Err", 0, 1), 0)</f>
        <v>0</v>
      </c>
      <c r="B225" s="1">
        <f>_xlfn.LET(_xlpm.loc, ITEquipmentTable[Storage Location],
COUNTIFS(ITSecondTable[Tag], ITSecondTable[[#This Row],[Tag]], _xlpm.loc, "&lt;&gt;In Use", _xlpm.loc, "&lt;&gt;",  _xlpm.loc, "&lt;&gt;E-Waste", _xlpm.loc, "&lt;&gt;Virtual",  _xlpm.loc, "&lt;&gt;Assigned to Employee", _xlpm.loc, "&lt;&gt;Decommisioned", _xlpm.loc, "&lt;&gt;Missing")
)</f>
        <v>0</v>
      </c>
      <c r="C225" s="1">
        <f>_xlfn.LET(_xlpm.loc, ITEquipmentTable[Storage Location],
COUNTIFS(ITSecondTable[Tag], ITSecondTable[[#This Row],[Tag]], _xlpm.loc, "&lt;&gt;E-Waste", _xlpm.loc, "&lt;&gt;Virtual", _xlpm.loc, "&lt;&gt;Decommisioned")
)</f>
        <v>78</v>
      </c>
      <c r="D225" s="168">
        <f>_xlfn.LET(_xlpm.loc, ITEquipmentTable[Storage Location],
COUNTIFS(ITSecondTable[Tag], ITSecondTable[[#This Row],[Tag]], _xlpm.loc, "Missing")
)</f>
        <v>0</v>
      </c>
      <c r="E225" s="168">
        <f>_xlfn.LET(_xlpm.loc, ITEquipmentTable[Storage Location],
COUNTIFS(ITSecondTable[Tag], ITSecondTable[[#This Row],[Tag]], _xlpm.loc, "In Use") + COUNTIFS(ITSecondTable[Tag], ITSecondTable[[#This Row],[Tag]], _xlpm.loc, "Assigned to Employee")
)</f>
        <v>44</v>
      </c>
      <c r="F225" s="168">
        <f>_xlfn.LET(_xlpm.loc, ITEquipmentTable[Storage Location],
COUNTIFS(ITSecondTable[Tag], ITSecondTable[[#This Row],[Tag]], _xlpm.loc, "")
)</f>
        <v>34</v>
      </c>
      <c r="G225" s="168">
        <f>MAX(ITSecondTable[[#This Row],[SQty]] - ITSecondTable[[#This Row],[IQty]], 0)</f>
        <v>0</v>
      </c>
      <c r="H225" s="168">
        <f>MAX(ITSecondTable[[#This Row],[IQty]]-ITSecondTable[[#This Row],[SQty]], 0)</f>
        <v>0</v>
      </c>
      <c r="I225" s="151" t="str">
        <f>IFERROR(_xlfn.TEXTJOIN("~", TRUE, ITEquipmentTable[[#This Row],[Type]],ITEquipmentTable[[#This Row],[Brand]],ITEquipmentTable[[#This Row],[Model]]), "")</f>
        <v>Laptop~HP</v>
      </c>
      <c r="J225" s="151" t="b">
        <f xml:space="preserve"> _xlfn.IFNA(MATCH( ITSecondTable[[#This Row],[Tag]], StorageTable[Tag], 0)  &gt; -1, FALSE)</f>
        <v>0</v>
      </c>
      <c r="K225" s="168" t="b">
        <f>COUNTIFS(ITEquipmentTable[Serial], ITEquipmentTable[[#This Row],[Serial]], ITEquipmentTable[Serial], "&lt;&gt;N/A") &gt; 1</f>
        <v>0</v>
      </c>
      <c r="L225" s="168" t="b">
        <f>COUNTIFS(ITEquipmentTable[Name], ITEquipmentTable[[#This Row],[Name]], ITEquipmentTable[Name], "&lt;&gt;&lt;Unassigned&gt;",  ITEquipmentTable[Name], "&lt;&gt;N/A") &gt; 1</f>
        <v>0</v>
      </c>
      <c r="M225" s="168" t="b">
        <f>AND(COUNTIFS(ITEquipmentTable[IPv4 Address], ITEquipmentTable[[#This Row],[IPv4 Address]]) &gt; 1, ITEquipmentTable[[#This Row],[IPv4 Address]] &lt;&gt; "DHCP",  ITEquipmentTable[[#This Row],[IPv4 Address]] &lt;&gt; "N/A")</f>
        <v>0</v>
      </c>
    </row>
    <row r="226" spans="1:13" x14ac:dyDescent="0.2">
      <c r="A226" s="168">
        <f>IF(LEN(ITSecondTable[[#This Row],[Tag]]) &gt; 0, _xlfn.XLOOKUP(ITSecondTable[[#This Row],[Tag]],StorageTable[Tag], StorageTable[In Storage - Count Total], "Err", 0, 1), 0)</f>
        <v>0</v>
      </c>
      <c r="B226" s="1">
        <f>_xlfn.LET(_xlpm.loc, ITEquipmentTable[Storage Location],
COUNTIFS(ITSecondTable[Tag], ITSecondTable[[#This Row],[Tag]], _xlpm.loc, "&lt;&gt;In Use", _xlpm.loc, "&lt;&gt;",  _xlpm.loc, "&lt;&gt;E-Waste", _xlpm.loc, "&lt;&gt;Virtual",  _xlpm.loc, "&lt;&gt;Assigned to Employee", _xlpm.loc, "&lt;&gt;Decommisioned", _xlpm.loc, "&lt;&gt;Missing")
)</f>
        <v>0</v>
      </c>
      <c r="C226" s="1">
        <f>_xlfn.LET(_xlpm.loc, ITEquipmentTable[Storage Location],
COUNTIFS(ITSecondTable[Tag], ITSecondTable[[#This Row],[Tag]], _xlpm.loc, "&lt;&gt;E-Waste", _xlpm.loc, "&lt;&gt;Virtual", _xlpm.loc, "&lt;&gt;Decommisioned")
)</f>
        <v>78</v>
      </c>
      <c r="D226" s="168">
        <f>_xlfn.LET(_xlpm.loc, ITEquipmentTable[Storage Location],
COUNTIFS(ITSecondTable[Tag], ITSecondTable[[#This Row],[Tag]], _xlpm.loc, "Missing")
)</f>
        <v>0</v>
      </c>
      <c r="E226" s="168">
        <f>_xlfn.LET(_xlpm.loc, ITEquipmentTable[Storage Location],
COUNTIFS(ITSecondTable[Tag], ITSecondTable[[#This Row],[Tag]], _xlpm.loc, "In Use") + COUNTIFS(ITSecondTable[Tag], ITSecondTable[[#This Row],[Tag]], _xlpm.loc, "Assigned to Employee")
)</f>
        <v>44</v>
      </c>
      <c r="F226" s="168">
        <f>_xlfn.LET(_xlpm.loc, ITEquipmentTable[Storage Location],
COUNTIFS(ITSecondTable[Tag], ITSecondTable[[#This Row],[Tag]], _xlpm.loc, "")
)</f>
        <v>34</v>
      </c>
      <c r="G226" s="168">
        <f>MAX(ITSecondTable[[#This Row],[SQty]] - ITSecondTable[[#This Row],[IQty]], 0)</f>
        <v>0</v>
      </c>
      <c r="H226" s="168">
        <f>MAX(ITSecondTable[[#This Row],[IQty]]-ITSecondTable[[#This Row],[SQty]], 0)</f>
        <v>0</v>
      </c>
      <c r="I226" s="151" t="str">
        <f>IFERROR(_xlfn.TEXTJOIN("~", TRUE, ITEquipmentTable[[#This Row],[Type]],ITEquipmentTable[[#This Row],[Brand]],ITEquipmentTable[[#This Row],[Model]]), "")</f>
        <v>Laptop~HP</v>
      </c>
      <c r="J226" s="151" t="b">
        <f xml:space="preserve"> _xlfn.IFNA(MATCH( ITSecondTable[[#This Row],[Tag]], StorageTable[Tag], 0)  &gt; -1, FALSE)</f>
        <v>0</v>
      </c>
      <c r="K226" s="168" t="b">
        <f>COUNTIFS(ITEquipmentTable[Serial], ITEquipmentTable[[#This Row],[Serial]], ITEquipmentTable[Serial], "&lt;&gt;N/A") &gt; 1</f>
        <v>0</v>
      </c>
      <c r="L226" s="168" t="b">
        <f>COUNTIFS(ITEquipmentTable[Name], ITEquipmentTable[[#This Row],[Name]], ITEquipmentTable[Name], "&lt;&gt;&lt;Unassigned&gt;",  ITEquipmentTable[Name], "&lt;&gt;N/A") &gt; 1</f>
        <v>0</v>
      </c>
      <c r="M226" s="168" t="b">
        <f>AND(COUNTIFS(ITEquipmentTable[IPv4 Address], ITEquipmentTable[[#This Row],[IPv4 Address]]) &gt; 1, ITEquipmentTable[[#This Row],[IPv4 Address]] &lt;&gt; "DHCP",  ITEquipmentTable[[#This Row],[IPv4 Address]] &lt;&gt; "N/A")</f>
        <v>0</v>
      </c>
    </row>
    <row r="227" spans="1:13" x14ac:dyDescent="0.2">
      <c r="A227" s="168">
        <f>IF(LEN(ITSecondTable[[#This Row],[Tag]]) &gt; 0, _xlfn.XLOOKUP(ITSecondTable[[#This Row],[Tag]],StorageTable[Tag], StorageTable[In Storage - Count Total], "Err", 0, 1), 0)</f>
        <v>0</v>
      </c>
      <c r="B227" s="1">
        <f>_xlfn.LET(_xlpm.loc, ITEquipmentTable[Storage Location],
COUNTIFS(ITSecondTable[Tag], ITSecondTable[[#This Row],[Tag]], _xlpm.loc, "&lt;&gt;In Use", _xlpm.loc, "&lt;&gt;",  _xlpm.loc, "&lt;&gt;E-Waste", _xlpm.loc, "&lt;&gt;Virtual",  _xlpm.loc, "&lt;&gt;Assigned to Employee", _xlpm.loc, "&lt;&gt;Decommisioned", _xlpm.loc, "&lt;&gt;Missing")
)</f>
        <v>0</v>
      </c>
      <c r="C227" s="1">
        <f>_xlfn.LET(_xlpm.loc, ITEquipmentTable[Storage Location],
COUNTIFS(ITSecondTable[Tag], ITSecondTable[[#This Row],[Tag]], _xlpm.loc, "&lt;&gt;E-Waste", _xlpm.loc, "&lt;&gt;Virtual", _xlpm.loc, "&lt;&gt;Decommisioned")
)</f>
        <v>78</v>
      </c>
      <c r="D227" s="168">
        <f>_xlfn.LET(_xlpm.loc, ITEquipmentTable[Storage Location],
COUNTIFS(ITSecondTable[Tag], ITSecondTable[[#This Row],[Tag]], _xlpm.loc, "Missing")
)</f>
        <v>0</v>
      </c>
      <c r="E227" s="168">
        <f>_xlfn.LET(_xlpm.loc, ITEquipmentTable[Storage Location],
COUNTIFS(ITSecondTable[Tag], ITSecondTable[[#This Row],[Tag]], _xlpm.loc, "In Use") + COUNTIFS(ITSecondTable[Tag], ITSecondTable[[#This Row],[Tag]], _xlpm.loc, "Assigned to Employee")
)</f>
        <v>44</v>
      </c>
      <c r="F227" s="168">
        <f>_xlfn.LET(_xlpm.loc, ITEquipmentTable[Storage Location],
COUNTIFS(ITSecondTable[Tag], ITSecondTable[[#This Row],[Tag]], _xlpm.loc, "")
)</f>
        <v>34</v>
      </c>
      <c r="G227" s="168">
        <f>MAX(ITSecondTable[[#This Row],[SQty]] - ITSecondTable[[#This Row],[IQty]], 0)</f>
        <v>0</v>
      </c>
      <c r="H227" s="168">
        <f>MAX(ITSecondTable[[#This Row],[IQty]]-ITSecondTable[[#This Row],[SQty]], 0)</f>
        <v>0</v>
      </c>
      <c r="I227" s="151" t="str">
        <f>IFERROR(_xlfn.TEXTJOIN("~", TRUE, ITEquipmentTable[[#This Row],[Type]],ITEquipmentTable[[#This Row],[Brand]],ITEquipmentTable[[#This Row],[Model]]), "")</f>
        <v>Laptop~HP</v>
      </c>
      <c r="J227" s="151" t="b">
        <f xml:space="preserve"> _xlfn.IFNA(MATCH( ITSecondTable[[#This Row],[Tag]], StorageTable[Tag], 0)  &gt; -1, FALSE)</f>
        <v>0</v>
      </c>
      <c r="K227" s="168" t="b">
        <f>COUNTIFS(ITEquipmentTable[Serial], ITEquipmentTable[[#This Row],[Serial]], ITEquipmentTable[Serial], "&lt;&gt;N/A") &gt; 1</f>
        <v>0</v>
      </c>
      <c r="L227" s="168" t="b">
        <f>COUNTIFS(ITEquipmentTable[Name], ITEquipmentTable[[#This Row],[Name]], ITEquipmentTable[Name], "&lt;&gt;&lt;Unassigned&gt;",  ITEquipmentTable[Name], "&lt;&gt;N/A") &gt; 1</f>
        <v>0</v>
      </c>
      <c r="M227" s="168" t="b">
        <f>AND(COUNTIFS(ITEquipmentTable[IPv4 Address], ITEquipmentTable[[#This Row],[IPv4 Address]]) &gt; 1, ITEquipmentTable[[#This Row],[IPv4 Address]] &lt;&gt; "DHCP",  ITEquipmentTable[[#This Row],[IPv4 Address]] &lt;&gt; "N/A")</f>
        <v>0</v>
      </c>
    </row>
    <row r="228" spans="1:13" x14ac:dyDescent="0.2">
      <c r="A228" s="168">
        <f>IF(LEN(ITSecondTable[[#This Row],[Tag]]) &gt; 0, _xlfn.XLOOKUP(ITSecondTable[[#This Row],[Tag]],StorageTable[Tag], StorageTable[In Storage - Count Total], "Err", 0, 1), 0)</f>
        <v>0</v>
      </c>
      <c r="B228" s="1">
        <f>_xlfn.LET(_xlpm.loc, ITEquipmentTable[Storage Location],
COUNTIFS(ITSecondTable[Tag], ITSecondTable[[#This Row],[Tag]], _xlpm.loc, "&lt;&gt;In Use", _xlpm.loc, "&lt;&gt;",  _xlpm.loc, "&lt;&gt;E-Waste", _xlpm.loc, "&lt;&gt;Virtual",  _xlpm.loc, "&lt;&gt;Assigned to Employee", _xlpm.loc, "&lt;&gt;Decommisioned", _xlpm.loc, "&lt;&gt;Missing")
)</f>
        <v>0</v>
      </c>
      <c r="C228" s="1">
        <f>_xlfn.LET(_xlpm.loc, ITEquipmentTable[Storage Location],
COUNTIFS(ITSecondTable[Tag], ITSecondTable[[#This Row],[Tag]], _xlpm.loc, "&lt;&gt;E-Waste", _xlpm.loc, "&lt;&gt;Virtual", _xlpm.loc, "&lt;&gt;Decommisioned")
)</f>
        <v>78</v>
      </c>
      <c r="D228" s="168">
        <f>_xlfn.LET(_xlpm.loc, ITEquipmentTable[Storage Location],
COUNTIFS(ITSecondTable[Tag], ITSecondTable[[#This Row],[Tag]], _xlpm.loc, "Missing")
)</f>
        <v>0</v>
      </c>
      <c r="E228" s="168">
        <f>_xlfn.LET(_xlpm.loc, ITEquipmentTable[Storage Location],
COUNTIFS(ITSecondTable[Tag], ITSecondTable[[#This Row],[Tag]], _xlpm.loc, "In Use") + COUNTIFS(ITSecondTable[Tag], ITSecondTable[[#This Row],[Tag]], _xlpm.loc, "Assigned to Employee")
)</f>
        <v>44</v>
      </c>
      <c r="F228" s="168">
        <f>_xlfn.LET(_xlpm.loc, ITEquipmentTable[Storage Location],
COUNTIFS(ITSecondTable[Tag], ITSecondTable[[#This Row],[Tag]], _xlpm.loc, "")
)</f>
        <v>34</v>
      </c>
      <c r="G228" s="168">
        <f>MAX(ITSecondTable[[#This Row],[SQty]] - ITSecondTable[[#This Row],[IQty]], 0)</f>
        <v>0</v>
      </c>
      <c r="H228" s="168">
        <f>MAX(ITSecondTable[[#This Row],[IQty]]-ITSecondTable[[#This Row],[SQty]], 0)</f>
        <v>0</v>
      </c>
      <c r="I228" s="151" t="str">
        <f>IFERROR(_xlfn.TEXTJOIN("~", TRUE, ITEquipmentTable[[#This Row],[Type]],ITEquipmentTable[[#This Row],[Brand]],ITEquipmentTable[[#This Row],[Model]]), "")</f>
        <v>Laptop~HP</v>
      </c>
      <c r="J228" s="151" t="b">
        <f xml:space="preserve"> _xlfn.IFNA(MATCH( ITSecondTable[[#This Row],[Tag]], StorageTable[Tag], 0)  &gt; -1, FALSE)</f>
        <v>0</v>
      </c>
      <c r="K228" s="168" t="b">
        <f>COUNTIFS(ITEquipmentTable[Serial], ITEquipmentTable[[#This Row],[Serial]], ITEquipmentTable[Serial], "&lt;&gt;N/A") &gt; 1</f>
        <v>0</v>
      </c>
      <c r="L228" s="168" t="b">
        <f>COUNTIFS(ITEquipmentTable[Name], ITEquipmentTable[[#This Row],[Name]], ITEquipmentTable[Name], "&lt;&gt;&lt;Unassigned&gt;",  ITEquipmentTable[Name], "&lt;&gt;N/A") &gt; 1</f>
        <v>0</v>
      </c>
      <c r="M228" s="168" t="b">
        <f>AND(COUNTIFS(ITEquipmentTable[IPv4 Address], ITEquipmentTable[[#This Row],[IPv4 Address]]) &gt; 1, ITEquipmentTable[[#This Row],[IPv4 Address]] &lt;&gt; "DHCP",  ITEquipmentTable[[#This Row],[IPv4 Address]] &lt;&gt; "N/A")</f>
        <v>0</v>
      </c>
    </row>
    <row r="229" spans="1:13" x14ac:dyDescent="0.2">
      <c r="A229" s="168">
        <f>IF(LEN(ITSecondTable[[#This Row],[Tag]]) &gt; 0, _xlfn.XLOOKUP(ITSecondTable[[#This Row],[Tag]],StorageTable[Tag], StorageTable[In Storage - Count Total], "Err", 0, 1), 0)</f>
        <v>0</v>
      </c>
      <c r="B229" s="1">
        <f>_xlfn.LET(_xlpm.loc, ITEquipmentTable[Storage Location],
COUNTIFS(ITSecondTable[Tag], ITSecondTable[[#This Row],[Tag]], _xlpm.loc, "&lt;&gt;In Use", _xlpm.loc, "&lt;&gt;",  _xlpm.loc, "&lt;&gt;E-Waste", _xlpm.loc, "&lt;&gt;Virtual",  _xlpm.loc, "&lt;&gt;Assigned to Employee", _xlpm.loc, "&lt;&gt;Decommisioned", _xlpm.loc, "&lt;&gt;Missing")
)</f>
        <v>0</v>
      </c>
      <c r="C229" s="1">
        <f>_xlfn.LET(_xlpm.loc, ITEquipmentTable[Storage Location],
COUNTIFS(ITSecondTable[Tag], ITSecondTable[[#This Row],[Tag]], _xlpm.loc, "&lt;&gt;E-Waste", _xlpm.loc, "&lt;&gt;Virtual", _xlpm.loc, "&lt;&gt;Decommisioned")
)</f>
        <v>78</v>
      </c>
      <c r="D229" s="168">
        <f>_xlfn.LET(_xlpm.loc, ITEquipmentTable[Storage Location],
COUNTIFS(ITSecondTable[Tag], ITSecondTable[[#This Row],[Tag]], _xlpm.loc, "Missing")
)</f>
        <v>0</v>
      </c>
      <c r="E229" s="168">
        <f>_xlfn.LET(_xlpm.loc, ITEquipmentTable[Storage Location],
COUNTIFS(ITSecondTable[Tag], ITSecondTable[[#This Row],[Tag]], _xlpm.loc, "In Use") + COUNTIFS(ITSecondTable[Tag], ITSecondTable[[#This Row],[Tag]], _xlpm.loc, "Assigned to Employee")
)</f>
        <v>44</v>
      </c>
      <c r="F229" s="168">
        <f>_xlfn.LET(_xlpm.loc, ITEquipmentTable[Storage Location],
COUNTIFS(ITSecondTable[Tag], ITSecondTable[[#This Row],[Tag]], _xlpm.loc, "")
)</f>
        <v>34</v>
      </c>
      <c r="G229" s="168">
        <f>MAX(ITSecondTable[[#This Row],[SQty]] - ITSecondTable[[#This Row],[IQty]], 0)</f>
        <v>0</v>
      </c>
      <c r="H229" s="168">
        <f>MAX(ITSecondTable[[#This Row],[IQty]]-ITSecondTable[[#This Row],[SQty]], 0)</f>
        <v>0</v>
      </c>
      <c r="I229" s="151" t="str">
        <f>IFERROR(_xlfn.TEXTJOIN("~", TRUE, ITEquipmentTable[[#This Row],[Type]],ITEquipmentTable[[#This Row],[Brand]],ITEquipmentTable[[#This Row],[Model]]), "")</f>
        <v>Laptop~HP</v>
      </c>
      <c r="J229" s="151" t="b">
        <f xml:space="preserve"> _xlfn.IFNA(MATCH( ITSecondTable[[#This Row],[Tag]], StorageTable[Tag], 0)  &gt; -1, FALSE)</f>
        <v>0</v>
      </c>
      <c r="K229" s="168" t="b">
        <f>COUNTIFS(ITEquipmentTable[Serial], ITEquipmentTable[[#This Row],[Serial]], ITEquipmentTable[Serial], "&lt;&gt;N/A") &gt; 1</f>
        <v>0</v>
      </c>
      <c r="L229" s="168" t="b">
        <f>COUNTIFS(ITEquipmentTable[Name], ITEquipmentTable[[#This Row],[Name]], ITEquipmentTable[Name], "&lt;&gt;&lt;Unassigned&gt;",  ITEquipmentTable[Name], "&lt;&gt;N/A") &gt; 1</f>
        <v>0</v>
      </c>
      <c r="M229" s="168" t="b">
        <f>AND(COUNTIFS(ITEquipmentTable[IPv4 Address], ITEquipmentTable[[#This Row],[IPv4 Address]]) &gt; 1, ITEquipmentTable[[#This Row],[IPv4 Address]] &lt;&gt; "DHCP",  ITEquipmentTable[[#This Row],[IPv4 Address]] &lt;&gt; "N/A")</f>
        <v>0</v>
      </c>
    </row>
    <row r="230" spans="1:13" x14ac:dyDescent="0.2">
      <c r="A230" s="168">
        <f>IF(LEN(ITSecondTable[[#This Row],[Tag]]) &gt; 0, _xlfn.XLOOKUP(ITSecondTable[[#This Row],[Tag]],StorageTable[Tag], StorageTable[In Storage - Count Total], "Err", 0, 1), 0)</f>
        <v>0</v>
      </c>
      <c r="B230" s="1">
        <f>_xlfn.LET(_xlpm.loc, ITEquipmentTable[Storage Location],
COUNTIFS(ITSecondTable[Tag], ITSecondTable[[#This Row],[Tag]], _xlpm.loc, "&lt;&gt;In Use", _xlpm.loc, "&lt;&gt;",  _xlpm.loc, "&lt;&gt;E-Waste", _xlpm.loc, "&lt;&gt;Virtual",  _xlpm.loc, "&lt;&gt;Assigned to Employee", _xlpm.loc, "&lt;&gt;Decommisioned", _xlpm.loc, "&lt;&gt;Missing")
)</f>
        <v>0</v>
      </c>
      <c r="C230" s="1">
        <f>_xlfn.LET(_xlpm.loc, ITEquipmentTable[Storage Location],
COUNTIFS(ITSecondTable[Tag], ITSecondTable[[#This Row],[Tag]], _xlpm.loc, "&lt;&gt;E-Waste", _xlpm.loc, "&lt;&gt;Virtual", _xlpm.loc, "&lt;&gt;Decommisioned")
)</f>
        <v>78</v>
      </c>
      <c r="D230" s="168">
        <f>_xlfn.LET(_xlpm.loc, ITEquipmentTable[Storage Location],
COUNTIFS(ITSecondTable[Tag], ITSecondTable[[#This Row],[Tag]], _xlpm.loc, "Missing")
)</f>
        <v>0</v>
      </c>
      <c r="E230" s="168">
        <f>_xlfn.LET(_xlpm.loc, ITEquipmentTable[Storage Location],
COUNTIFS(ITSecondTable[Tag], ITSecondTable[[#This Row],[Tag]], _xlpm.loc, "In Use") + COUNTIFS(ITSecondTable[Tag], ITSecondTable[[#This Row],[Tag]], _xlpm.loc, "Assigned to Employee")
)</f>
        <v>44</v>
      </c>
      <c r="F230" s="168">
        <f>_xlfn.LET(_xlpm.loc, ITEquipmentTable[Storage Location],
COUNTIFS(ITSecondTable[Tag], ITSecondTable[[#This Row],[Tag]], _xlpm.loc, "")
)</f>
        <v>34</v>
      </c>
      <c r="G230" s="168">
        <f>MAX(ITSecondTable[[#This Row],[SQty]] - ITSecondTable[[#This Row],[IQty]], 0)</f>
        <v>0</v>
      </c>
      <c r="H230" s="168">
        <f>MAX(ITSecondTable[[#This Row],[IQty]]-ITSecondTable[[#This Row],[SQty]], 0)</f>
        <v>0</v>
      </c>
      <c r="I230" s="151" t="str">
        <f>IFERROR(_xlfn.TEXTJOIN("~", TRUE, ITEquipmentTable[[#This Row],[Type]],ITEquipmentTable[[#This Row],[Brand]],ITEquipmentTable[[#This Row],[Model]]), "")</f>
        <v>Laptop~HP</v>
      </c>
      <c r="J230" s="151" t="b">
        <f xml:space="preserve"> _xlfn.IFNA(MATCH( ITSecondTable[[#This Row],[Tag]], StorageTable[Tag], 0)  &gt; -1, FALSE)</f>
        <v>0</v>
      </c>
      <c r="K230" s="168" t="b">
        <f>COUNTIFS(ITEquipmentTable[Serial], ITEquipmentTable[[#This Row],[Serial]], ITEquipmentTable[Serial], "&lt;&gt;N/A") &gt; 1</f>
        <v>0</v>
      </c>
      <c r="L230" s="168" t="b">
        <f>COUNTIFS(ITEquipmentTable[Name], ITEquipmentTable[[#This Row],[Name]], ITEquipmentTable[Name], "&lt;&gt;&lt;Unassigned&gt;",  ITEquipmentTable[Name], "&lt;&gt;N/A") &gt; 1</f>
        <v>0</v>
      </c>
      <c r="M230" s="168" t="b">
        <f>AND(COUNTIFS(ITEquipmentTable[IPv4 Address], ITEquipmentTable[[#This Row],[IPv4 Address]]) &gt; 1, ITEquipmentTable[[#This Row],[IPv4 Address]] &lt;&gt; "DHCP",  ITEquipmentTable[[#This Row],[IPv4 Address]] &lt;&gt; "N/A")</f>
        <v>0</v>
      </c>
    </row>
    <row r="231" spans="1:13" x14ac:dyDescent="0.2">
      <c r="A231" s="168">
        <f>IF(LEN(ITSecondTable[[#This Row],[Tag]]) &gt; 0, _xlfn.XLOOKUP(ITSecondTable[[#This Row],[Tag]],StorageTable[Tag], StorageTable[In Storage - Count Total], "Err", 0, 1), 0)</f>
        <v>0</v>
      </c>
      <c r="B231" s="1">
        <f>_xlfn.LET(_xlpm.loc, ITEquipmentTable[Storage Location],
COUNTIFS(ITSecondTable[Tag], ITSecondTable[[#This Row],[Tag]], _xlpm.loc, "&lt;&gt;In Use", _xlpm.loc, "&lt;&gt;",  _xlpm.loc, "&lt;&gt;E-Waste", _xlpm.loc, "&lt;&gt;Virtual",  _xlpm.loc, "&lt;&gt;Assigned to Employee", _xlpm.loc, "&lt;&gt;Decommisioned", _xlpm.loc, "&lt;&gt;Missing")
)</f>
        <v>1</v>
      </c>
      <c r="C231" s="1">
        <f>_xlfn.LET(_xlpm.loc, ITEquipmentTable[Storage Location],
COUNTIFS(ITSecondTable[Tag], ITSecondTable[[#This Row],[Tag]], _xlpm.loc, "&lt;&gt;E-Waste", _xlpm.loc, "&lt;&gt;Virtual", _xlpm.loc, "&lt;&gt;Decommisioned")
)</f>
        <v>1</v>
      </c>
      <c r="D231" s="168">
        <f>_xlfn.LET(_xlpm.loc, ITEquipmentTable[Storage Location],
COUNTIFS(ITSecondTable[Tag], ITSecondTable[[#This Row],[Tag]], _xlpm.loc, "Missing")
)</f>
        <v>0</v>
      </c>
      <c r="E231" s="168">
        <f>_xlfn.LET(_xlpm.loc, ITEquipmentTable[Storage Location],
COUNTIFS(ITSecondTable[Tag], ITSecondTable[[#This Row],[Tag]], _xlpm.loc, "In Use") + COUNTIFS(ITSecondTable[Tag], ITSecondTable[[#This Row],[Tag]], _xlpm.loc, "Assigned to Employee")
)</f>
        <v>0</v>
      </c>
      <c r="F231" s="168">
        <f>_xlfn.LET(_xlpm.loc, ITEquipmentTable[Storage Location],
COUNTIFS(ITSecondTable[Tag], ITSecondTable[[#This Row],[Tag]], _xlpm.loc, "")
)</f>
        <v>0</v>
      </c>
      <c r="G231" s="168">
        <f>MAX(ITSecondTable[[#This Row],[SQty]] - ITSecondTable[[#This Row],[IQty]], 0)</f>
        <v>1</v>
      </c>
      <c r="H231" s="168">
        <f>MAX(ITSecondTable[[#This Row],[IQty]]-ITSecondTable[[#This Row],[SQty]], 0)</f>
        <v>0</v>
      </c>
      <c r="I231" s="151" t="str">
        <f>IFERROR(_xlfn.TEXTJOIN("~", TRUE, ITEquipmentTable[[#This Row],[Type]],ITEquipmentTable[[#This Row],[Brand]],ITEquipmentTable[[#This Row],[Model]]), "")</f>
        <v>Laptop~HP~HP ZBook 15u G6</v>
      </c>
      <c r="J231" s="151" t="b">
        <f xml:space="preserve"> _xlfn.IFNA(MATCH( ITSecondTable[[#This Row],[Tag]], StorageTable[Tag], 0)  &gt; -1, FALSE)</f>
        <v>0</v>
      </c>
      <c r="K231" s="168" t="b">
        <f>COUNTIFS(ITEquipmentTable[Serial], ITEquipmentTable[[#This Row],[Serial]], ITEquipmentTable[Serial], "&lt;&gt;N/A") &gt; 1</f>
        <v>0</v>
      </c>
      <c r="L231" s="168" t="b">
        <f>COUNTIFS(ITEquipmentTable[Name], ITEquipmentTable[[#This Row],[Name]], ITEquipmentTable[Name], "&lt;&gt;&lt;Unassigned&gt;",  ITEquipmentTable[Name], "&lt;&gt;N/A") &gt; 1</f>
        <v>0</v>
      </c>
      <c r="M231" s="168" t="b">
        <f>AND(COUNTIFS(ITEquipmentTable[IPv4 Address], ITEquipmentTable[[#This Row],[IPv4 Address]]) &gt; 1, ITEquipmentTable[[#This Row],[IPv4 Address]] &lt;&gt; "DHCP",  ITEquipmentTable[[#This Row],[IPv4 Address]] &lt;&gt; "N/A")</f>
        <v>0</v>
      </c>
    </row>
    <row r="232" spans="1:13" x14ac:dyDescent="0.2">
      <c r="A232" s="168">
        <f>IF(LEN(ITSecondTable[[#This Row],[Tag]]) &gt; 0, _xlfn.XLOOKUP(ITSecondTable[[#This Row],[Tag]],StorageTable[Tag], StorageTable[In Storage - Count Total], "Err", 0, 1), 0)</f>
        <v>0</v>
      </c>
      <c r="B232" s="1">
        <f>_xlfn.LET(_xlpm.loc, ITEquipmentTable[Storage Location],
COUNTIFS(ITSecondTable[Tag], ITSecondTable[[#This Row],[Tag]], _xlpm.loc, "&lt;&gt;In Use", _xlpm.loc, "&lt;&gt;",  _xlpm.loc, "&lt;&gt;E-Waste", _xlpm.loc, "&lt;&gt;Virtual",  _xlpm.loc, "&lt;&gt;Assigned to Employee", _xlpm.loc, "&lt;&gt;Decommisioned", _xlpm.loc, "&lt;&gt;Missing")
)</f>
        <v>2</v>
      </c>
      <c r="C232" s="1">
        <f>_xlfn.LET(_xlpm.loc, ITEquipmentTable[Storage Location],
COUNTIFS(ITSecondTable[Tag], ITSecondTable[[#This Row],[Tag]], _xlpm.loc, "&lt;&gt;E-Waste", _xlpm.loc, "&lt;&gt;Virtual", _xlpm.loc, "&lt;&gt;Decommisioned")
)</f>
        <v>17</v>
      </c>
      <c r="D232" s="168">
        <f>_xlfn.LET(_xlpm.loc, ITEquipmentTable[Storage Location],
COUNTIFS(ITSecondTable[Tag], ITSecondTable[[#This Row],[Tag]], _xlpm.loc, "Missing")
)</f>
        <v>0</v>
      </c>
      <c r="E232" s="168">
        <f>_xlfn.LET(_xlpm.loc, ITEquipmentTable[Storage Location],
COUNTIFS(ITSecondTable[Tag], ITSecondTable[[#This Row],[Tag]], _xlpm.loc, "In Use") + COUNTIFS(ITSecondTable[Tag], ITSecondTable[[#This Row],[Tag]], _xlpm.loc, "Assigned to Employee")
)</f>
        <v>5</v>
      </c>
      <c r="F232" s="168">
        <f>_xlfn.LET(_xlpm.loc, ITEquipmentTable[Storage Location],
COUNTIFS(ITSecondTable[Tag], ITSecondTable[[#This Row],[Tag]], _xlpm.loc, "")
)</f>
        <v>10</v>
      </c>
      <c r="G232" s="168">
        <f>MAX(ITSecondTable[[#This Row],[SQty]] - ITSecondTable[[#This Row],[IQty]], 0)</f>
        <v>2</v>
      </c>
      <c r="H232" s="168">
        <f>MAX(ITSecondTable[[#This Row],[IQty]]-ITSecondTable[[#This Row],[SQty]], 0)</f>
        <v>0</v>
      </c>
      <c r="I232" s="151" t="str">
        <f>IFERROR(_xlfn.TEXTJOIN("~", TRUE, ITEquipmentTable[[#This Row],[Type]],ITEquipmentTable[[#This Row],[Brand]],ITEquipmentTable[[#This Row],[Model]]), "")</f>
        <v>Laptop~HP~HP ProBook 640 G3</v>
      </c>
      <c r="J232" s="151" t="b">
        <f xml:space="preserve"> _xlfn.IFNA(MATCH( ITSecondTable[[#This Row],[Tag]], StorageTable[Tag], 0)  &gt; -1, FALSE)</f>
        <v>0</v>
      </c>
      <c r="K232" s="168" t="b">
        <f>COUNTIFS(ITEquipmentTable[Serial], ITEquipmentTable[[#This Row],[Serial]], ITEquipmentTable[Serial], "&lt;&gt;N/A") &gt; 1</f>
        <v>0</v>
      </c>
      <c r="L232" s="168" t="b">
        <f>COUNTIFS(ITEquipmentTable[Name], ITEquipmentTable[[#This Row],[Name]], ITEquipmentTable[Name], "&lt;&gt;&lt;Unassigned&gt;",  ITEquipmentTable[Name], "&lt;&gt;N/A") &gt; 1</f>
        <v>0</v>
      </c>
      <c r="M232" s="168" t="b">
        <f>AND(COUNTIFS(ITEquipmentTable[IPv4 Address], ITEquipmentTable[[#This Row],[IPv4 Address]]) &gt; 1, ITEquipmentTable[[#This Row],[IPv4 Address]] &lt;&gt; "DHCP",  ITEquipmentTable[[#This Row],[IPv4 Address]] &lt;&gt; "N/A")</f>
        <v>0</v>
      </c>
    </row>
    <row r="233" spans="1:13" x14ac:dyDescent="0.2">
      <c r="A233" s="168">
        <f>IF(LEN(ITSecondTable[[#This Row],[Tag]]) &gt; 0, _xlfn.XLOOKUP(ITSecondTable[[#This Row],[Tag]],StorageTable[Tag], StorageTable[In Storage - Count Total], "Err", 0, 1), 0)</f>
        <v>1</v>
      </c>
      <c r="B233" s="1">
        <f>_xlfn.LET(_xlpm.loc, ITEquipmentTable[Storage Location],
COUNTIFS(ITSecondTable[Tag], ITSecondTable[[#This Row],[Tag]], _xlpm.loc, "&lt;&gt;In Use", _xlpm.loc, "&lt;&gt;",  _xlpm.loc, "&lt;&gt;E-Waste", _xlpm.loc, "&lt;&gt;Virtual",  _xlpm.loc, "&lt;&gt;Assigned to Employee", _xlpm.loc, "&lt;&gt;Decommisioned", _xlpm.loc, "&lt;&gt;Missing")
)</f>
        <v>2</v>
      </c>
      <c r="C233" s="1">
        <f>_xlfn.LET(_xlpm.loc, ITEquipmentTable[Storage Location],
COUNTIFS(ITSecondTable[Tag], ITSecondTable[[#This Row],[Tag]], _xlpm.loc, "&lt;&gt;E-Waste", _xlpm.loc, "&lt;&gt;Virtual", _xlpm.loc, "&lt;&gt;Decommisioned")
)</f>
        <v>7</v>
      </c>
      <c r="D233" s="168">
        <f>_xlfn.LET(_xlpm.loc, ITEquipmentTable[Storage Location],
COUNTIFS(ITSecondTable[Tag], ITSecondTable[[#This Row],[Tag]], _xlpm.loc, "Missing")
)</f>
        <v>0</v>
      </c>
      <c r="E233" s="168">
        <f>_xlfn.LET(_xlpm.loc, ITEquipmentTable[Storage Location],
COUNTIFS(ITSecondTable[Tag], ITSecondTable[[#This Row],[Tag]], _xlpm.loc, "In Use") + COUNTIFS(ITSecondTable[Tag], ITSecondTable[[#This Row],[Tag]], _xlpm.loc, "Assigned to Employee")
)</f>
        <v>0</v>
      </c>
      <c r="F233" s="168">
        <f>_xlfn.LET(_xlpm.loc, ITEquipmentTable[Storage Location],
COUNTIFS(ITSecondTable[Tag], ITSecondTable[[#This Row],[Tag]], _xlpm.loc, "")
)</f>
        <v>5</v>
      </c>
      <c r="G233" s="168">
        <f>MAX(ITSecondTable[[#This Row],[SQty]] - ITSecondTable[[#This Row],[IQty]], 0)</f>
        <v>1</v>
      </c>
      <c r="H233" s="168">
        <f>MAX(ITSecondTable[[#This Row],[IQty]]-ITSecondTable[[#This Row],[SQty]], 0)</f>
        <v>0</v>
      </c>
      <c r="I233" s="151" t="str">
        <f>IFERROR(_xlfn.TEXTJOIN("~", TRUE, ITEquipmentTable[[#This Row],[Type]],ITEquipmentTable[[#This Row],[Brand]],ITEquipmentTable[[#This Row],[Model]]), "")</f>
        <v>Laptop~HP~HP ProBook 640 G2</v>
      </c>
      <c r="J233" s="151" t="b">
        <f xml:space="preserve"> _xlfn.IFNA(MATCH( ITSecondTable[[#This Row],[Tag]], StorageTable[Tag], 0)  &gt; -1, FALSE)</f>
        <v>0</v>
      </c>
      <c r="K233" s="168" t="b">
        <f>COUNTIFS(ITEquipmentTable[Serial], ITEquipmentTable[[#This Row],[Serial]], ITEquipmentTable[Serial], "&lt;&gt;N/A") &gt; 1</f>
        <v>0</v>
      </c>
      <c r="L233" s="168" t="b">
        <f>COUNTIFS(ITEquipmentTable[Name], ITEquipmentTable[[#This Row],[Name]], ITEquipmentTable[Name], "&lt;&gt;&lt;Unassigned&gt;",  ITEquipmentTable[Name], "&lt;&gt;N/A") &gt; 1</f>
        <v>0</v>
      </c>
      <c r="M233" s="168" t="b">
        <f>AND(COUNTIFS(ITEquipmentTable[IPv4 Address], ITEquipmentTable[[#This Row],[IPv4 Address]]) &gt; 1, ITEquipmentTable[[#This Row],[IPv4 Address]] &lt;&gt; "DHCP",  ITEquipmentTable[[#This Row],[IPv4 Address]] &lt;&gt; "N/A")</f>
        <v>0</v>
      </c>
    </row>
    <row r="234" spans="1:13" x14ac:dyDescent="0.2">
      <c r="A234" s="168">
        <f>IF(LEN(ITSecondTable[[#This Row],[Tag]]) &gt; 0, _xlfn.XLOOKUP(ITSecondTable[[#This Row],[Tag]],StorageTable[Tag], StorageTable[In Storage - Count Total], "Err", 0, 1), 0)</f>
        <v>0</v>
      </c>
      <c r="B234" s="1">
        <f>_xlfn.LET(_xlpm.loc, ITEquipmentTable[Storage Location],
COUNTIFS(ITSecondTable[Tag], ITSecondTable[[#This Row],[Tag]], _xlpm.loc, "&lt;&gt;In Use", _xlpm.loc, "&lt;&gt;",  _xlpm.loc, "&lt;&gt;E-Waste", _xlpm.loc, "&lt;&gt;Virtual",  _xlpm.loc, "&lt;&gt;Assigned to Employee", _xlpm.loc, "&lt;&gt;Decommisioned", _xlpm.loc, "&lt;&gt;Missing")
)</f>
        <v>0</v>
      </c>
      <c r="C234" s="1">
        <f>_xlfn.LET(_xlpm.loc, ITEquipmentTable[Storage Location],
COUNTIFS(ITSecondTable[Tag], ITSecondTable[[#This Row],[Tag]], _xlpm.loc, "&lt;&gt;E-Waste", _xlpm.loc, "&lt;&gt;Virtual", _xlpm.loc, "&lt;&gt;Decommisioned")
)</f>
        <v>78</v>
      </c>
      <c r="D234" s="168">
        <f>_xlfn.LET(_xlpm.loc, ITEquipmentTable[Storage Location],
COUNTIFS(ITSecondTable[Tag], ITSecondTable[[#This Row],[Tag]], _xlpm.loc, "Missing")
)</f>
        <v>0</v>
      </c>
      <c r="E234" s="168">
        <f>_xlfn.LET(_xlpm.loc, ITEquipmentTable[Storage Location],
COUNTIFS(ITSecondTable[Tag], ITSecondTable[[#This Row],[Tag]], _xlpm.loc, "In Use") + COUNTIFS(ITSecondTable[Tag], ITSecondTable[[#This Row],[Tag]], _xlpm.loc, "Assigned to Employee")
)</f>
        <v>44</v>
      </c>
      <c r="F234" s="168">
        <f>_xlfn.LET(_xlpm.loc, ITEquipmentTable[Storage Location],
COUNTIFS(ITSecondTable[Tag], ITSecondTable[[#This Row],[Tag]], _xlpm.loc, "")
)</f>
        <v>34</v>
      </c>
      <c r="G234" s="168">
        <f>MAX(ITSecondTable[[#This Row],[SQty]] - ITSecondTable[[#This Row],[IQty]], 0)</f>
        <v>0</v>
      </c>
      <c r="H234" s="168">
        <f>MAX(ITSecondTable[[#This Row],[IQty]]-ITSecondTable[[#This Row],[SQty]], 0)</f>
        <v>0</v>
      </c>
      <c r="I234" s="151" t="str">
        <f>IFERROR(_xlfn.TEXTJOIN("~", TRUE, ITEquipmentTable[[#This Row],[Type]],ITEquipmentTable[[#This Row],[Brand]],ITEquipmentTable[[#This Row],[Model]]), "")</f>
        <v>Laptop~HP</v>
      </c>
      <c r="J234" s="151" t="b">
        <f xml:space="preserve"> _xlfn.IFNA(MATCH( ITSecondTable[[#This Row],[Tag]], StorageTable[Tag], 0)  &gt; -1, FALSE)</f>
        <v>0</v>
      </c>
      <c r="K234" s="168" t="b">
        <f>COUNTIFS(ITEquipmentTable[Serial], ITEquipmentTable[[#This Row],[Serial]], ITEquipmentTable[Serial], "&lt;&gt;N/A") &gt; 1</f>
        <v>0</v>
      </c>
      <c r="L234" s="168" t="b">
        <f>COUNTIFS(ITEquipmentTable[Name], ITEquipmentTable[[#This Row],[Name]], ITEquipmentTable[Name], "&lt;&gt;&lt;Unassigned&gt;",  ITEquipmentTable[Name], "&lt;&gt;N/A") &gt; 1</f>
        <v>0</v>
      </c>
      <c r="M234" s="168" t="b">
        <f>AND(COUNTIFS(ITEquipmentTable[IPv4 Address], ITEquipmentTable[[#This Row],[IPv4 Address]]) &gt; 1, ITEquipmentTable[[#This Row],[IPv4 Address]] &lt;&gt; "DHCP",  ITEquipmentTable[[#This Row],[IPv4 Address]] &lt;&gt; "N/A")</f>
        <v>0</v>
      </c>
    </row>
    <row r="235" spans="1:13" x14ac:dyDescent="0.2">
      <c r="A235" s="168">
        <f>IF(LEN(ITSecondTable[[#This Row],[Tag]]) &gt; 0, _xlfn.XLOOKUP(ITSecondTable[[#This Row],[Tag]],StorageTable[Tag], StorageTable[In Storage - Count Total], "Err", 0, 1), 0)</f>
        <v>0</v>
      </c>
      <c r="B235" s="1">
        <f>_xlfn.LET(_xlpm.loc, ITEquipmentTable[Storage Location],
COUNTIFS(ITSecondTable[Tag], ITSecondTable[[#This Row],[Tag]], _xlpm.loc, "&lt;&gt;In Use", _xlpm.loc, "&lt;&gt;",  _xlpm.loc, "&lt;&gt;E-Waste", _xlpm.loc, "&lt;&gt;Virtual",  _xlpm.loc, "&lt;&gt;Assigned to Employee", _xlpm.loc, "&lt;&gt;Decommisioned", _xlpm.loc, "&lt;&gt;Missing")
)</f>
        <v>2</v>
      </c>
      <c r="C235" s="1">
        <f>_xlfn.LET(_xlpm.loc, ITEquipmentTable[Storage Location],
COUNTIFS(ITSecondTable[Tag], ITSecondTable[[#This Row],[Tag]], _xlpm.loc, "&lt;&gt;E-Waste", _xlpm.loc, "&lt;&gt;Virtual", _xlpm.loc, "&lt;&gt;Decommisioned")
)</f>
        <v>17</v>
      </c>
      <c r="D235" s="168">
        <f>_xlfn.LET(_xlpm.loc, ITEquipmentTable[Storage Location],
COUNTIFS(ITSecondTable[Tag], ITSecondTable[[#This Row],[Tag]], _xlpm.loc, "Missing")
)</f>
        <v>0</v>
      </c>
      <c r="E235" s="168">
        <f>_xlfn.LET(_xlpm.loc, ITEquipmentTable[Storage Location],
COUNTIFS(ITSecondTable[Tag], ITSecondTable[[#This Row],[Tag]], _xlpm.loc, "In Use") + COUNTIFS(ITSecondTable[Tag], ITSecondTable[[#This Row],[Tag]], _xlpm.loc, "Assigned to Employee")
)</f>
        <v>5</v>
      </c>
      <c r="F235" s="168">
        <f>_xlfn.LET(_xlpm.loc, ITEquipmentTable[Storage Location],
COUNTIFS(ITSecondTable[Tag], ITSecondTable[[#This Row],[Tag]], _xlpm.loc, "")
)</f>
        <v>10</v>
      </c>
      <c r="G235" s="168">
        <f>MAX(ITSecondTable[[#This Row],[SQty]] - ITSecondTable[[#This Row],[IQty]], 0)</f>
        <v>2</v>
      </c>
      <c r="H235" s="168">
        <f>MAX(ITSecondTable[[#This Row],[IQty]]-ITSecondTable[[#This Row],[SQty]], 0)</f>
        <v>0</v>
      </c>
      <c r="I235" s="151" t="str">
        <f>IFERROR(_xlfn.TEXTJOIN("~", TRUE, ITEquipmentTable[[#This Row],[Type]],ITEquipmentTable[[#This Row],[Brand]],ITEquipmentTable[[#This Row],[Model]]), "")</f>
        <v>Laptop~HP~HP ProBook 640 G3</v>
      </c>
      <c r="J235" s="151" t="b">
        <f xml:space="preserve"> _xlfn.IFNA(MATCH( ITSecondTable[[#This Row],[Tag]], StorageTable[Tag], 0)  &gt; -1, FALSE)</f>
        <v>0</v>
      </c>
      <c r="K235" s="168" t="b">
        <f>COUNTIFS(ITEquipmentTable[Serial], ITEquipmentTable[[#This Row],[Serial]], ITEquipmentTable[Serial], "&lt;&gt;N/A") &gt; 1</f>
        <v>0</v>
      </c>
      <c r="L235" s="168" t="b">
        <f>COUNTIFS(ITEquipmentTable[Name], ITEquipmentTable[[#This Row],[Name]], ITEquipmentTable[Name], "&lt;&gt;&lt;Unassigned&gt;",  ITEquipmentTable[Name], "&lt;&gt;N/A") &gt; 1</f>
        <v>0</v>
      </c>
      <c r="M235" s="168" t="b">
        <f>AND(COUNTIFS(ITEquipmentTable[IPv4 Address], ITEquipmentTable[[#This Row],[IPv4 Address]]) &gt; 1, ITEquipmentTable[[#This Row],[IPv4 Address]] &lt;&gt; "DHCP",  ITEquipmentTable[[#This Row],[IPv4 Address]] &lt;&gt; "N/A")</f>
        <v>0</v>
      </c>
    </row>
    <row r="236" spans="1:13" x14ac:dyDescent="0.2">
      <c r="A236" s="168">
        <f>IF(LEN(ITSecondTable[[#This Row],[Tag]]) &gt; 0, _xlfn.XLOOKUP(ITSecondTable[[#This Row],[Tag]],StorageTable[Tag], StorageTable[In Storage - Count Total], "Err", 0, 1), 0)</f>
        <v>0</v>
      </c>
      <c r="B236" s="1">
        <f>_xlfn.LET(_xlpm.loc, ITEquipmentTable[Storage Location],
COUNTIFS(ITSecondTable[Tag], ITSecondTable[[#This Row],[Tag]], _xlpm.loc, "&lt;&gt;In Use", _xlpm.loc, "&lt;&gt;",  _xlpm.loc, "&lt;&gt;E-Waste", _xlpm.loc, "&lt;&gt;Virtual",  _xlpm.loc, "&lt;&gt;Assigned to Employee", _xlpm.loc, "&lt;&gt;Decommisioned", _xlpm.loc, "&lt;&gt;Missing")
)</f>
        <v>0</v>
      </c>
      <c r="C236" s="1">
        <f>_xlfn.LET(_xlpm.loc, ITEquipmentTable[Storage Location],
COUNTIFS(ITSecondTable[Tag], ITSecondTable[[#This Row],[Tag]], _xlpm.loc, "&lt;&gt;E-Waste", _xlpm.loc, "&lt;&gt;Virtual", _xlpm.loc, "&lt;&gt;Decommisioned")
)</f>
        <v>78</v>
      </c>
      <c r="D236" s="168">
        <f>_xlfn.LET(_xlpm.loc, ITEquipmentTable[Storage Location],
COUNTIFS(ITSecondTable[Tag], ITSecondTable[[#This Row],[Tag]], _xlpm.loc, "Missing")
)</f>
        <v>0</v>
      </c>
      <c r="E236" s="168">
        <f>_xlfn.LET(_xlpm.loc, ITEquipmentTable[Storage Location],
COUNTIFS(ITSecondTable[Tag], ITSecondTable[[#This Row],[Tag]], _xlpm.loc, "In Use") + COUNTIFS(ITSecondTable[Tag], ITSecondTable[[#This Row],[Tag]], _xlpm.loc, "Assigned to Employee")
)</f>
        <v>44</v>
      </c>
      <c r="F236" s="168">
        <f>_xlfn.LET(_xlpm.loc, ITEquipmentTable[Storage Location],
COUNTIFS(ITSecondTable[Tag], ITSecondTable[[#This Row],[Tag]], _xlpm.loc, "")
)</f>
        <v>34</v>
      </c>
      <c r="G236" s="168">
        <f>MAX(ITSecondTable[[#This Row],[SQty]] - ITSecondTable[[#This Row],[IQty]], 0)</f>
        <v>0</v>
      </c>
      <c r="H236" s="168">
        <f>MAX(ITSecondTable[[#This Row],[IQty]]-ITSecondTable[[#This Row],[SQty]], 0)</f>
        <v>0</v>
      </c>
      <c r="I236" s="151" t="str">
        <f>IFERROR(_xlfn.TEXTJOIN("~", TRUE, ITEquipmentTable[[#This Row],[Type]],ITEquipmentTable[[#This Row],[Brand]],ITEquipmentTable[[#This Row],[Model]]), "")</f>
        <v>Laptop~HP</v>
      </c>
      <c r="J236" s="151" t="b">
        <f xml:space="preserve"> _xlfn.IFNA(MATCH( ITSecondTable[[#This Row],[Tag]], StorageTable[Tag], 0)  &gt; -1, FALSE)</f>
        <v>0</v>
      </c>
      <c r="K236" s="168" t="b">
        <f>COUNTIFS(ITEquipmentTable[Serial], ITEquipmentTable[[#This Row],[Serial]], ITEquipmentTable[Serial], "&lt;&gt;N/A") &gt; 1</f>
        <v>0</v>
      </c>
      <c r="L236" s="168" t="b">
        <f>COUNTIFS(ITEquipmentTable[Name], ITEquipmentTable[[#This Row],[Name]], ITEquipmentTable[Name], "&lt;&gt;&lt;Unassigned&gt;",  ITEquipmentTable[Name], "&lt;&gt;N/A") &gt; 1</f>
        <v>0</v>
      </c>
      <c r="M236" s="168" t="b">
        <f>AND(COUNTIFS(ITEquipmentTable[IPv4 Address], ITEquipmentTable[[#This Row],[IPv4 Address]]) &gt; 1, ITEquipmentTable[[#This Row],[IPv4 Address]] &lt;&gt; "DHCP",  ITEquipmentTable[[#This Row],[IPv4 Address]] &lt;&gt; "N/A")</f>
        <v>0</v>
      </c>
    </row>
    <row r="237" spans="1:13" x14ac:dyDescent="0.2">
      <c r="A237" s="168">
        <f>IF(LEN(ITSecondTable[[#This Row],[Tag]]) &gt; 0, _xlfn.XLOOKUP(ITSecondTable[[#This Row],[Tag]],StorageTable[Tag], StorageTable[In Storage - Count Total], "Err", 0, 1), 0)</f>
        <v>0</v>
      </c>
      <c r="B237" s="1">
        <f>_xlfn.LET(_xlpm.loc, ITEquipmentTable[Storage Location],
COUNTIFS(ITSecondTable[Tag], ITSecondTable[[#This Row],[Tag]], _xlpm.loc, "&lt;&gt;In Use", _xlpm.loc, "&lt;&gt;",  _xlpm.loc, "&lt;&gt;E-Waste", _xlpm.loc, "&lt;&gt;Virtual",  _xlpm.loc, "&lt;&gt;Assigned to Employee", _xlpm.loc, "&lt;&gt;Decommisioned", _xlpm.loc, "&lt;&gt;Missing")
)</f>
        <v>0</v>
      </c>
      <c r="C237" s="1">
        <f>_xlfn.LET(_xlpm.loc, ITEquipmentTable[Storage Location],
COUNTIFS(ITSecondTable[Tag], ITSecondTable[[#This Row],[Tag]], _xlpm.loc, "&lt;&gt;E-Waste", _xlpm.loc, "&lt;&gt;Virtual", _xlpm.loc, "&lt;&gt;Decommisioned")
)</f>
        <v>10</v>
      </c>
      <c r="D237" s="168">
        <f>_xlfn.LET(_xlpm.loc, ITEquipmentTable[Storage Location],
COUNTIFS(ITSecondTable[Tag], ITSecondTable[[#This Row],[Tag]], _xlpm.loc, "Missing")
)</f>
        <v>0</v>
      </c>
      <c r="E237" s="168">
        <f>_xlfn.LET(_xlpm.loc, ITEquipmentTable[Storage Location],
COUNTIFS(ITSecondTable[Tag], ITSecondTable[[#This Row],[Tag]], _xlpm.loc, "In Use") + COUNTIFS(ITSecondTable[Tag], ITSecondTable[[#This Row],[Tag]], _xlpm.loc, "Assigned to Employee")
)</f>
        <v>5</v>
      </c>
      <c r="F237" s="168">
        <f>_xlfn.LET(_xlpm.loc, ITEquipmentTable[Storage Location],
COUNTIFS(ITSecondTable[Tag], ITSecondTable[[#This Row],[Tag]], _xlpm.loc, "")
)</f>
        <v>5</v>
      </c>
      <c r="G237" s="168">
        <f>MAX(ITSecondTable[[#This Row],[SQty]] - ITSecondTable[[#This Row],[IQty]], 0)</f>
        <v>0</v>
      </c>
      <c r="H237" s="168">
        <f>MAX(ITSecondTable[[#This Row],[IQty]]-ITSecondTable[[#This Row],[SQty]], 0)</f>
        <v>0</v>
      </c>
      <c r="I237" s="151" t="str">
        <f>IFERROR(_xlfn.TEXTJOIN("~", TRUE, ITEquipmentTable[[#This Row],[Type]],ITEquipmentTable[[#This Row],[Brand]],ITEquipmentTable[[#This Row],[Model]]), "")</f>
        <v>Laptop~HP~HP ProBook 640 G4</v>
      </c>
      <c r="J237" s="151" t="b">
        <f xml:space="preserve"> _xlfn.IFNA(MATCH( ITSecondTable[[#This Row],[Tag]], StorageTable[Tag], 0)  &gt; -1, FALSE)</f>
        <v>0</v>
      </c>
      <c r="K237" s="168" t="b">
        <f>COUNTIFS(ITEquipmentTable[Serial], ITEquipmentTable[[#This Row],[Serial]], ITEquipmentTable[Serial], "&lt;&gt;N/A") &gt; 1</f>
        <v>0</v>
      </c>
      <c r="L237" s="168" t="b">
        <f>COUNTIFS(ITEquipmentTable[Name], ITEquipmentTable[[#This Row],[Name]], ITEquipmentTable[Name], "&lt;&gt;&lt;Unassigned&gt;",  ITEquipmentTable[Name], "&lt;&gt;N/A") &gt; 1</f>
        <v>0</v>
      </c>
      <c r="M237" s="168" t="b">
        <f>AND(COUNTIFS(ITEquipmentTable[IPv4 Address], ITEquipmentTable[[#This Row],[IPv4 Address]]) &gt; 1, ITEquipmentTable[[#This Row],[IPv4 Address]] &lt;&gt; "DHCP",  ITEquipmentTable[[#This Row],[IPv4 Address]] &lt;&gt; "N/A")</f>
        <v>0</v>
      </c>
    </row>
    <row r="238" spans="1:13" x14ac:dyDescent="0.2">
      <c r="A238" s="168">
        <f>IF(LEN(ITSecondTable[[#This Row],[Tag]]) &gt; 0, _xlfn.XLOOKUP(ITSecondTable[[#This Row],[Tag]],StorageTable[Tag], StorageTable[In Storage - Count Total], "Err", 0, 1), 0)</f>
        <v>0</v>
      </c>
      <c r="B238" s="1">
        <f>_xlfn.LET(_xlpm.loc, ITEquipmentTable[Storage Location],
COUNTIFS(ITSecondTable[Tag], ITSecondTable[[#This Row],[Tag]], _xlpm.loc, "&lt;&gt;In Use", _xlpm.loc, "&lt;&gt;",  _xlpm.loc, "&lt;&gt;E-Waste", _xlpm.loc, "&lt;&gt;Virtual",  _xlpm.loc, "&lt;&gt;Assigned to Employee", _xlpm.loc, "&lt;&gt;Decommisioned", _xlpm.loc, "&lt;&gt;Missing")
)</f>
        <v>0</v>
      </c>
      <c r="C238" s="1">
        <f>_xlfn.LET(_xlpm.loc, ITEquipmentTable[Storage Location],
COUNTIFS(ITSecondTable[Tag], ITSecondTable[[#This Row],[Tag]], _xlpm.loc, "&lt;&gt;E-Waste", _xlpm.loc, "&lt;&gt;Virtual", _xlpm.loc, "&lt;&gt;Decommisioned")
)</f>
        <v>78</v>
      </c>
      <c r="D238" s="168">
        <f>_xlfn.LET(_xlpm.loc, ITEquipmentTable[Storage Location],
COUNTIFS(ITSecondTable[Tag], ITSecondTable[[#This Row],[Tag]], _xlpm.loc, "Missing")
)</f>
        <v>0</v>
      </c>
      <c r="E238" s="168">
        <f>_xlfn.LET(_xlpm.loc, ITEquipmentTable[Storage Location],
COUNTIFS(ITSecondTable[Tag], ITSecondTable[[#This Row],[Tag]], _xlpm.loc, "In Use") + COUNTIFS(ITSecondTable[Tag], ITSecondTable[[#This Row],[Tag]], _xlpm.loc, "Assigned to Employee")
)</f>
        <v>44</v>
      </c>
      <c r="F238" s="168">
        <f>_xlfn.LET(_xlpm.loc, ITEquipmentTable[Storage Location],
COUNTIFS(ITSecondTable[Tag], ITSecondTable[[#This Row],[Tag]], _xlpm.loc, "")
)</f>
        <v>34</v>
      </c>
      <c r="G238" s="168">
        <f>MAX(ITSecondTable[[#This Row],[SQty]] - ITSecondTable[[#This Row],[IQty]], 0)</f>
        <v>0</v>
      </c>
      <c r="H238" s="168">
        <f>MAX(ITSecondTable[[#This Row],[IQty]]-ITSecondTable[[#This Row],[SQty]], 0)</f>
        <v>0</v>
      </c>
      <c r="I238" s="151" t="str">
        <f>IFERROR(_xlfn.TEXTJOIN("~", TRUE, ITEquipmentTable[[#This Row],[Type]],ITEquipmentTable[[#This Row],[Brand]],ITEquipmentTable[[#This Row],[Model]]), "")</f>
        <v>Laptop~HP</v>
      </c>
      <c r="J238" s="151" t="b">
        <f xml:space="preserve"> _xlfn.IFNA(MATCH( ITSecondTable[[#This Row],[Tag]], StorageTable[Tag], 0)  &gt; -1, FALSE)</f>
        <v>0</v>
      </c>
      <c r="K238" s="168" t="b">
        <f>COUNTIFS(ITEquipmentTable[Serial], ITEquipmentTable[[#This Row],[Serial]], ITEquipmentTable[Serial], "&lt;&gt;N/A") &gt; 1</f>
        <v>0</v>
      </c>
      <c r="L238" s="168" t="b">
        <f>COUNTIFS(ITEquipmentTable[Name], ITEquipmentTable[[#This Row],[Name]], ITEquipmentTable[Name], "&lt;&gt;&lt;Unassigned&gt;",  ITEquipmentTable[Name], "&lt;&gt;N/A") &gt; 1</f>
        <v>0</v>
      </c>
      <c r="M238" s="168" t="b">
        <f>AND(COUNTIFS(ITEquipmentTable[IPv4 Address], ITEquipmentTable[[#This Row],[IPv4 Address]]) &gt; 1, ITEquipmentTable[[#This Row],[IPv4 Address]] &lt;&gt; "DHCP",  ITEquipmentTable[[#This Row],[IPv4 Address]] &lt;&gt; "N/A")</f>
        <v>0</v>
      </c>
    </row>
    <row r="239" spans="1:13" x14ac:dyDescent="0.2">
      <c r="A239" s="168">
        <f>IF(LEN(ITSecondTable[[#This Row],[Tag]]) &gt; 0, _xlfn.XLOOKUP(ITSecondTable[[#This Row],[Tag]],StorageTable[Tag], StorageTable[In Storage - Count Total], "Err", 0, 1), 0)</f>
        <v>0</v>
      </c>
      <c r="B239" s="1">
        <f>_xlfn.LET(_xlpm.loc, ITEquipmentTable[Storage Location],
COUNTIFS(ITSecondTable[Tag], ITSecondTable[[#This Row],[Tag]], _xlpm.loc, "&lt;&gt;In Use", _xlpm.loc, "&lt;&gt;",  _xlpm.loc, "&lt;&gt;E-Waste", _xlpm.loc, "&lt;&gt;Virtual",  _xlpm.loc, "&lt;&gt;Assigned to Employee", _xlpm.loc, "&lt;&gt;Decommisioned", _xlpm.loc, "&lt;&gt;Missing")
)</f>
        <v>0</v>
      </c>
      <c r="C239" s="1">
        <f>_xlfn.LET(_xlpm.loc, ITEquipmentTable[Storage Location],
COUNTIFS(ITSecondTable[Tag], ITSecondTable[[#This Row],[Tag]], _xlpm.loc, "&lt;&gt;E-Waste", _xlpm.loc, "&lt;&gt;Virtual", _xlpm.loc, "&lt;&gt;Decommisioned")
)</f>
        <v>78</v>
      </c>
      <c r="D239" s="168">
        <f>_xlfn.LET(_xlpm.loc, ITEquipmentTable[Storage Location],
COUNTIFS(ITSecondTable[Tag], ITSecondTable[[#This Row],[Tag]], _xlpm.loc, "Missing")
)</f>
        <v>0</v>
      </c>
      <c r="E239" s="168">
        <f>_xlfn.LET(_xlpm.loc, ITEquipmentTable[Storage Location],
COUNTIFS(ITSecondTable[Tag], ITSecondTable[[#This Row],[Tag]], _xlpm.loc, "In Use") + COUNTIFS(ITSecondTable[Tag], ITSecondTable[[#This Row],[Tag]], _xlpm.loc, "Assigned to Employee")
)</f>
        <v>44</v>
      </c>
      <c r="F239" s="168">
        <f>_xlfn.LET(_xlpm.loc, ITEquipmentTable[Storage Location],
COUNTIFS(ITSecondTable[Tag], ITSecondTable[[#This Row],[Tag]], _xlpm.loc, "")
)</f>
        <v>34</v>
      </c>
      <c r="G239" s="168">
        <f>MAX(ITSecondTable[[#This Row],[SQty]] - ITSecondTable[[#This Row],[IQty]], 0)</f>
        <v>0</v>
      </c>
      <c r="H239" s="168">
        <f>MAX(ITSecondTable[[#This Row],[IQty]]-ITSecondTable[[#This Row],[SQty]], 0)</f>
        <v>0</v>
      </c>
      <c r="I239" s="151" t="str">
        <f>IFERROR(_xlfn.TEXTJOIN("~", TRUE, ITEquipmentTable[[#This Row],[Type]],ITEquipmentTable[[#This Row],[Brand]],ITEquipmentTable[[#This Row],[Model]]), "")</f>
        <v>Laptop~HP</v>
      </c>
      <c r="J239" s="151" t="b">
        <f xml:space="preserve"> _xlfn.IFNA(MATCH( ITSecondTable[[#This Row],[Tag]], StorageTable[Tag], 0)  &gt; -1, FALSE)</f>
        <v>0</v>
      </c>
      <c r="K239" s="168" t="b">
        <f>COUNTIFS(ITEquipmentTable[Serial], ITEquipmentTable[[#This Row],[Serial]], ITEquipmentTable[Serial], "&lt;&gt;N/A") &gt; 1</f>
        <v>0</v>
      </c>
      <c r="L239" s="168" t="b">
        <f>COUNTIFS(ITEquipmentTable[Name], ITEquipmentTable[[#This Row],[Name]], ITEquipmentTable[Name], "&lt;&gt;&lt;Unassigned&gt;",  ITEquipmentTable[Name], "&lt;&gt;N/A") &gt; 1</f>
        <v>0</v>
      </c>
      <c r="M239" s="168" t="b">
        <f>AND(COUNTIFS(ITEquipmentTable[IPv4 Address], ITEquipmentTable[[#This Row],[IPv4 Address]]) &gt; 1, ITEquipmentTable[[#This Row],[IPv4 Address]] &lt;&gt; "DHCP",  ITEquipmentTable[[#This Row],[IPv4 Address]] &lt;&gt; "N/A")</f>
        <v>0</v>
      </c>
    </row>
    <row r="240" spans="1:13" x14ac:dyDescent="0.2">
      <c r="A240" s="168">
        <f>IF(LEN(ITSecondTable[[#This Row],[Tag]]) &gt; 0, _xlfn.XLOOKUP(ITSecondTable[[#This Row],[Tag]],StorageTable[Tag], StorageTable[In Storage - Count Total], "Err", 0, 1), 0)</f>
        <v>0</v>
      </c>
      <c r="B240" s="1">
        <f>_xlfn.LET(_xlpm.loc, ITEquipmentTable[Storage Location],
COUNTIFS(ITSecondTable[Tag], ITSecondTable[[#This Row],[Tag]], _xlpm.loc, "&lt;&gt;In Use", _xlpm.loc, "&lt;&gt;",  _xlpm.loc, "&lt;&gt;E-Waste", _xlpm.loc, "&lt;&gt;Virtual",  _xlpm.loc, "&lt;&gt;Assigned to Employee", _xlpm.loc, "&lt;&gt;Decommisioned", _xlpm.loc, "&lt;&gt;Missing")
)</f>
        <v>0</v>
      </c>
      <c r="C240" s="1">
        <f>_xlfn.LET(_xlpm.loc, ITEquipmentTable[Storage Location],
COUNTIFS(ITSecondTable[Tag], ITSecondTable[[#This Row],[Tag]], _xlpm.loc, "&lt;&gt;E-Waste", _xlpm.loc, "&lt;&gt;Virtual", _xlpm.loc, "&lt;&gt;Decommisioned")
)</f>
        <v>10</v>
      </c>
      <c r="D240" s="168">
        <f>_xlfn.LET(_xlpm.loc, ITEquipmentTable[Storage Location],
COUNTIFS(ITSecondTable[Tag], ITSecondTable[[#This Row],[Tag]], _xlpm.loc, "Missing")
)</f>
        <v>0</v>
      </c>
      <c r="E240" s="168">
        <f>_xlfn.LET(_xlpm.loc, ITEquipmentTable[Storage Location],
COUNTIFS(ITSecondTable[Tag], ITSecondTable[[#This Row],[Tag]], _xlpm.loc, "In Use") + COUNTIFS(ITSecondTable[Tag], ITSecondTable[[#This Row],[Tag]], _xlpm.loc, "Assigned to Employee")
)</f>
        <v>5</v>
      </c>
      <c r="F240" s="168">
        <f>_xlfn.LET(_xlpm.loc, ITEquipmentTable[Storage Location],
COUNTIFS(ITSecondTable[Tag], ITSecondTable[[#This Row],[Tag]], _xlpm.loc, "")
)</f>
        <v>5</v>
      </c>
      <c r="G240" s="168">
        <f>MAX(ITSecondTable[[#This Row],[SQty]] - ITSecondTable[[#This Row],[IQty]], 0)</f>
        <v>0</v>
      </c>
      <c r="H240" s="168">
        <f>MAX(ITSecondTable[[#This Row],[IQty]]-ITSecondTable[[#This Row],[SQty]], 0)</f>
        <v>0</v>
      </c>
      <c r="I240" s="151" t="str">
        <f>IFERROR(_xlfn.TEXTJOIN("~", TRUE, ITEquipmentTable[[#This Row],[Type]],ITEquipmentTable[[#This Row],[Brand]],ITEquipmentTable[[#This Row],[Model]]), "")</f>
        <v>Laptop~HP~HP ProBook 640 G4</v>
      </c>
      <c r="J240" s="151" t="b">
        <f xml:space="preserve"> _xlfn.IFNA(MATCH( ITSecondTable[[#This Row],[Tag]], StorageTable[Tag], 0)  &gt; -1, FALSE)</f>
        <v>0</v>
      </c>
      <c r="K240" s="168" t="b">
        <f>COUNTIFS(ITEquipmentTable[Serial], ITEquipmentTable[[#This Row],[Serial]], ITEquipmentTable[Serial], "&lt;&gt;N/A") &gt; 1</f>
        <v>0</v>
      </c>
      <c r="L240" s="168" t="b">
        <f>COUNTIFS(ITEquipmentTable[Name], ITEquipmentTable[[#This Row],[Name]], ITEquipmentTable[Name], "&lt;&gt;&lt;Unassigned&gt;",  ITEquipmentTable[Name], "&lt;&gt;N/A") &gt; 1</f>
        <v>0</v>
      </c>
      <c r="M240" s="168" t="b">
        <f>AND(COUNTIFS(ITEquipmentTable[IPv4 Address], ITEquipmentTable[[#This Row],[IPv4 Address]]) &gt; 1, ITEquipmentTable[[#This Row],[IPv4 Address]] &lt;&gt; "DHCP",  ITEquipmentTable[[#This Row],[IPv4 Address]] &lt;&gt; "N/A")</f>
        <v>0</v>
      </c>
    </row>
    <row r="241" spans="1:13" x14ac:dyDescent="0.2">
      <c r="A241" s="168">
        <f>IF(LEN(ITSecondTable[[#This Row],[Tag]]) &gt; 0, _xlfn.XLOOKUP(ITSecondTable[[#This Row],[Tag]],StorageTable[Tag], StorageTable[In Storage - Count Total], "Err", 0, 1), 0)</f>
        <v>0</v>
      </c>
      <c r="B241" s="1">
        <f>_xlfn.LET(_xlpm.loc, ITEquipmentTable[Storage Location],
COUNTIFS(ITSecondTable[Tag], ITSecondTable[[#This Row],[Tag]], _xlpm.loc, "&lt;&gt;In Use", _xlpm.loc, "&lt;&gt;",  _xlpm.loc, "&lt;&gt;E-Waste", _xlpm.loc, "&lt;&gt;Virtual",  _xlpm.loc, "&lt;&gt;Assigned to Employee", _xlpm.loc, "&lt;&gt;Decommisioned", _xlpm.loc, "&lt;&gt;Missing")
)</f>
        <v>0</v>
      </c>
      <c r="C241" s="1">
        <f>_xlfn.LET(_xlpm.loc, ITEquipmentTable[Storage Location],
COUNTIFS(ITSecondTable[Tag], ITSecondTable[[#This Row],[Tag]], _xlpm.loc, "&lt;&gt;E-Waste", _xlpm.loc, "&lt;&gt;Virtual", _xlpm.loc, "&lt;&gt;Decommisioned")
)</f>
        <v>78</v>
      </c>
      <c r="D241" s="168">
        <f>_xlfn.LET(_xlpm.loc, ITEquipmentTable[Storage Location],
COUNTIFS(ITSecondTable[Tag], ITSecondTable[[#This Row],[Tag]], _xlpm.loc, "Missing")
)</f>
        <v>0</v>
      </c>
      <c r="E241" s="168">
        <f>_xlfn.LET(_xlpm.loc, ITEquipmentTable[Storage Location],
COUNTIFS(ITSecondTable[Tag], ITSecondTable[[#This Row],[Tag]], _xlpm.loc, "In Use") + COUNTIFS(ITSecondTable[Tag], ITSecondTable[[#This Row],[Tag]], _xlpm.loc, "Assigned to Employee")
)</f>
        <v>44</v>
      </c>
      <c r="F241" s="168">
        <f>_xlfn.LET(_xlpm.loc, ITEquipmentTable[Storage Location],
COUNTIFS(ITSecondTable[Tag], ITSecondTable[[#This Row],[Tag]], _xlpm.loc, "")
)</f>
        <v>34</v>
      </c>
      <c r="G241" s="168">
        <f>MAX(ITSecondTable[[#This Row],[SQty]] - ITSecondTable[[#This Row],[IQty]], 0)</f>
        <v>0</v>
      </c>
      <c r="H241" s="168">
        <f>MAX(ITSecondTable[[#This Row],[IQty]]-ITSecondTable[[#This Row],[SQty]], 0)</f>
        <v>0</v>
      </c>
      <c r="I241" s="151" t="str">
        <f>IFERROR(_xlfn.TEXTJOIN("~", TRUE, ITEquipmentTable[[#This Row],[Type]],ITEquipmentTable[[#This Row],[Brand]],ITEquipmentTable[[#This Row],[Model]]), "")</f>
        <v>Laptop~HP</v>
      </c>
      <c r="J241" s="151" t="b">
        <f xml:space="preserve"> _xlfn.IFNA(MATCH( ITSecondTable[[#This Row],[Tag]], StorageTable[Tag], 0)  &gt; -1, FALSE)</f>
        <v>0</v>
      </c>
      <c r="K241" s="168" t="b">
        <f>COUNTIFS(ITEquipmentTable[Serial], ITEquipmentTable[[#This Row],[Serial]], ITEquipmentTable[Serial], "&lt;&gt;N/A") &gt; 1</f>
        <v>0</v>
      </c>
      <c r="L241" s="168" t="b">
        <f>COUNTIFS(ITEquipmentTable[Name], ITEquipmentTable[[#This Row],[Name]], ITEquipmentTable[Name], "&lt;&gt;&lt;Unassigned&gt;",  ITEquipmentTable[Name], "&lt;&gt;N/A") &gt; 1</f>
        <v>0</v>
      </c>
      <c r="M241" s="168" t="b">
        <f>AND(COUNTIFS(ITEquipmentTable[IPv4 Address], ITEquipmentTable[[#This Row],[IPv4 Address]]) &gt; 1, ITEquipmentTable[[#This Row],[IPv4 Address]] &lt;&gt; "DHCP",  ITEquipmentTable[[#This Row],[IPv4 Address]] &lt;&gt; "N/A")</f>
        <v>0</v>
      </c>
    </row>
    <row r="242" spans="1:13" x14ac:dyDescent="0.2">
      <c r="A242" s="168">
        <f>IF(LEN(ITSecondTable[[#This Row],[Tag]]) &gt; 0, _xlfn.XLOOKUP(ITSecondTable[[#This Row],[Tag]],StorageTable[Tag], StorageTable[In Storage - Count Total], "Err", 0, 1), 0)</f>
        <v>0</v>
      </c>
      <c r="B242" s="1">
        <f>_xlfn.LET(_xlpm.loc, ITEquipmentTable[Storage Location],
COUNTIFS(ITSecondTable[Tag], ITSecondTable[[#This Row],[Tag]], _xlpm.loc, "&lt;&gt;In Use", _xlpm.loc, "&lt;&gt;",  _xlpm.loc, "&lt;&gt;E-Waste", _xlpm.loc, "&lt;&gt;Virtual",  _xlpm.loc, "&lt;&gt;Assigned to Employee", _xlpm.loc, "&lt;&gt;Decommisioned", _xlpm.loc, "&lt;&gt;Missing")
)</f>
        <v>0</v>
      </c>
      <c r="C242" s="1">
        <f>_xlfn.LET(_xlpm.loc, ITEquipmentTable[Storage Location],
COUNTIFS(ITSecondTable[Tag], ITSecondTable[[#This Row],[Tag]], _xlpm.loc, "&lt;&gt;E-Waste", _xlpm.loc, "&lt;&gt;Virtual", _xlpm.loc, "&lt;&gt;Decommisioned")
)</f>
        <v>78</v>
      </c>
      <c r="D242" s="168">
        <f>_xlfn.LET(_xlpm.loc, ITEquipmentTable[Storage Location],
COUNTIFS(ITSecondTable[Tag], ITSecondTable[[#This Row],[Tag]], _xlpm.loc, "Missing")
)</f>
        <v>0</v>
      </c>
      <c r="E242" s="168">
        <f>_xlfn.LET(_xlpm.loc, ITEquipmentTable[Storage Location],
COUNTIFS(ITSecondTable[Tag], ITSecondTable[[#This Row],[Tag]], _xlpm.loc, "In Use") + COUNTIFS(ITSecondTable[Tag], ITSecondTable[[#This Row],[Tag]], _xlpm.loc, "Assigned to Employee")
)</f>
        <v>44</v>
      </c>
      <c r="F242" s="168">
        <f>_xlfn.LET(_xlpm.loc, ITEquipmentTable[Storage Location],
COUNTIFS(ITSecondTable[Tag], ITSecondTable[[#This Row],[Tag]], _xlpm.loc, "")
)</f>
        <v>34</v>
      </c>
      <c r="G242" s="168">
        <f>MAX(ITSecondTable[[#This Row],[SQty]] - ITSecondTable[[#This Row],[IQty]], 0)</f>
        <v>0</v>
      </c>
      <c r="H242" s="168">
        <f>MAX(ITSecondTable[[#This Row],[IQty]]-ITSecondTable[[#This Row],[SQty]], 0)</f>
        <v>0</v>
      </c>
      <c r="I242" s="151" t="str">
        <f>IFERROR(_xlfn.TEXTJOIN("~", TRUE, ITEquipmentTable[[#This Row],[Type]],ITEquipmentTable[[#This Row],[Brand]],ITEquipmentTable[[#This Row],[Model]]), "")</f>
        <v>Laptop~HP</v>
      </c>
      <c r="J242" s="151" t="b">
        <f xml:space="preserve"> _xlfn.IFNA(MATCH( ITSecondTable[[#This Row],[Tag]], StorageTable[Tag], 0)  &gt; -1, FALSE)</f>
        <v>0</v>
      </c>
      <c r="K242" s="168" t="b">
        <f>COUNTIFS(ITEquipmentTable[Serial], ITEquipmentTable[[#This Row],[Serial]], ITEquipmentTable[Serial], "&lt;&gt;N/A") &gt; 1</f>
        <v>0</v>
      </c>
      <c r="L242" s="168" t="b">
        <f>COUNTIFS(ITEquipmentTable[Name], ITEquipmentTable[[#This Row],[Name]], ITEquipmentTable[Name], "&lt;&gt;&lt;Unassigned&gt;",  ITEquipmentTable[Name], "&lt;&gt;N/A") &gt; 1</f>
        <v>0</v>
      </c>
      <c r="M242" s="168" t="b">
        <f>AND(COUNTIFS(ITEquipmentTable[IPv4 Address], ITEquipmentTable[[#This Row],[IPv4 Address]]) &gt; 1, ITEquipmentTable[[#This Row],[IPv4 Address]] &lt;&gt; "DHCP",  ITEquipmentTable[[#This Row],[IPv4 Address]] &lt;&gt; "N/A")</f>
        <v>0</v>
      </c>
    </row>
    <row r="243" spans="1:13" x14ac:dyDescent="0.2">
      <c r="A243" s="168">
        <f>IF(LEN(ITSecondTable[[#This Row],[Tag]]) &gt; 0, _xlfn.XLOOKUP(ITSecondTable[[#This Row],[Tag]],StorageTable[Tag], StorageTable[In Storage - Count Total], "Err", 0, 1), 0)</f>
        <v>0</v>
      </c>
      <c r="B243" s="1">
        <f>_xlfn.LET(_xlpm.loc, ITEquipmentTable[Storage Location],
COUNTIFS(ITSecondTable[Tag], ITSecondTable[[#This Row],[Tag]], _xlpm.loc, "&lt;&gt;In Use", _xlpm.loc, "&lt;&gt;",  _xlpm.loc, "&lt;&gt;E-Waste", _xlpm.loc, "&lt;&gt;Virtual",  _xlpm.loc, "&lt;&gt;Assigned to Employee", _xlpm.loc, "&lt;&gt;Decommisioned", _xlpm.loc, "&lt;&gt;Missing")
)</f>
        <v>0</v>
      </c>
      <c r="C243" s="1">
        <f>_xlfn.LET(_xlpm.loc, ITEquipmentTable[Storage Location],
COUNTIFS(ITSecondTable[Tag], ITSecondTable[[#This Row],[Tag]], _xlpm.loc, "&lt;&gt;E-Waste", _xlpm.loc, "&lt;&gt;Virtual", _xlpm.loc, "&lt;&gt;Decommisioned")
)</f>
        <v>78</v>
      </c>
      <c r="D243" s="168">
        <f>_xlfn.LET(_xlpm.loc, ITEquipmentTable[Storage Location],
COUNTIFS(ITSecondTable[Tag], ITSecondTable[[#This Row],[Tag]], _xlpm.loc, "Missing")
)</f>
        <v>0</v>
      </c>
      <c r="E243" s="168">
        <f>_xlfn.LET(_xlpm.loc, ITEquipmentTable[Storage Location],
COUNTIFS(ITSecondTable[Tag], ITSecondTable[[#This Row],[Tag]], _xlpm.loc, "In Use") + COUNTIFS(ITSecondTable[Tag], ITSecondTable[[#This Row],[Tag]], _xlpm.loc, "Assigned to Employee")
)</f>
        <v>44</v>
      </c>
      <c r="F243" s="168">
        <f>_xlfn.LET(_xlpm.loc, ITEquipmentTable[Storage Location],
COUNTIFS(ITSecondTable[Tag], ITSecondTable[[#This Row],[Tag]], _xlpm.loc, "")
)</f>
        <v>34</v>
      </c>
      <c r="G243" s="168">
        <f>MAX(ITSecondTable[[#This Row],[SQty]] - ITSecondTable[[#This Row],[IQty]], 0)</f>
        <v>0</v>
      </c>
      <c r="H243" s="168">
        <f>MAX(ITSecondTable[[#This Row],[IQty]]-ITSecondTable[[#This Row],[SQty]], 0)</f>
        <v>0</v>
      </c>
      <c r="I243" s="151" t="str">
        <f>IFERROR(_xlfn.TEXTJOIN("~", TRUE, ITEquipmentTable[[#This Row],[Type]],ITEquipmentTable[[#This Row],[Brand]],ITEquipmentTable[[#This Row],[Model]]), "")</f>
        <v>Laptop~HP</v>
      </c>
      <c r="J243" s="151" t="b">
        <f xml:space="preserve"> _xlfn.IFNA(MATCH( ITSecondTable[[#This Row],[Tag]], StorageTable[Tag], 0)  &gt; -1, FALSE)</f>
        <v>0</v>
      </c>
      <c r="K243" s="168" t="b">
        <f>COUNTIFS(ITEquipmentTable[Serial], ITEquipmentTable[[#This Row],[Serial]], ITEquipmentTable[Serial], "&lt;&gt;N/A") &gt; 1</f>
        <v>0</v>
      </c>
      <c r="L243" s="168" t="b">
        <f>COUNTIFS(ITEquipmentTable[Name], ITEquipmentTable[[#This Row],[Name]], ITEquipmentTable[Name], "&lt;&gt;&lt;Unassigned&gt;",  ITEquipmentTable[Name], "&lt;&gt;N/A") &gt; 1</f>
        <v>0</v>
      </c>
      <c r="M243" s="168" t="b">
        <f>AND(COUNTIFS(ITEquipmentTable[IPv4 Address], ITEquipmentTable[[#This Row],[IPv4 Address]]) &gt; 1, ITEquipmentTable[[#This Row],[IPv4 Address]] &lt;&gt; "DHCP",  ITEquipmentTable[[#This Row],[IPv4 Address]] &lt;&gt; "N/A")</f>
        <v>0</v>
      </c>
    </row>
    <row r="244" spans="1:13" x14ac:dyDescent="0.2">
      <c r="A244" s="168">
        <f>IF(LEN(ITSecondTable[[#This Row],[Tag]]) &gt; 0, _xlfn.XLOOKUP(ITSecondTable[[#This Row],[Tag]],StorageTable[Tag], StorageTable[In Storage - Count Total], "Err", 0, 1), 0)</f>
        <v>0</v>
      </c>
      <c r="B244" s="1">
        <f>_xlfn.LET(_xlpm.loc, ITEquipmentTable[Storage Location],
COUNTIFS(ITSecondTable[Tag], ITSecondTable[[#This Row],[Tag]], _xlpm.loc, "&lt;&gt;In Use", _xlpm.loc, "&lt;&gt;",  _xlpm.loc, "&lt;&gt;E-Waste", _xlpm.loc, "&lt;&gt;Virtual",  _xlpm.loc, "&lt;&gt;Assigned to Employee", _xlpm.loc, "&lt;&gt;Decommisioned", _xlpm.loc, "&lt;&gt;Missing")
)</f>
        <v>0</v>
      </c>
      <c r="C244" s="1">
        <f>_xlfn.LET(_xlpm.loc, ITEquipmentTable[Storage Location],
COUNTIFS(ITSecondTable[Tag], ITSecondTable[[#This Row],[Tag]], _xlpm.loc, "&lt;&gt;E-Waste", _xlpm.loc, "&lt;&gt;Virtual", _xlpm.loc, "&lt;&gt;Decommisioned")
)</f>
        <v>29</v>
      </c>
      <c r="D244" s="168">
        <f>_xlfn.LET(_xlpm.loc, ITEquipmentTable[Storage Location],
COUNTIFS(ITSecondTable[Tag], ITSecondTable[[#This Row],[Tag]], _xlpm.loc, "Missing")
)</f>
        <v>0</v>
      </c>
      <c r="E244" s="168">
        <f>_xlfn.LET(_xlpm.loc, ITEquipmentTable[Storage Location],
COUNTIFS(ITSecondTable[Tag], ITSecondTable[[#This Row],[Tag]], _xlpm.loc, "In Use") + COUNTIFS(ITSecondTable[Tag], ITSecondTable[[#This Row],[Tag]], _xlpm.loc, "Assigned to Employee")
)</f>
        <v>3</v>
      </c>
      <c r="F244" s="168">
        <f>_xlfn.LET(_xlpm.loc, ITEquipmentTable[Storage Location],
COUNTIFS(ITSecondTable[Tag], ITSecondTable[[#This Row],[Tag]], _xlpm.loc, "")
)</f>
        <v>26</v>
      </c>
      <c r="G244" s="168">
        <f>MAX(ITSecondTable[[#This Row],[SQty]] - ITSecondTable[[#This Row],[IQty]], 0)</f>
        <v>0</v>
      </c>
      <c r="H244" s="168">
        <f>MAX(ITSecondTable[[#This Row],[IQty]]-ITSecondTable[[#This Row],[SQty]], 0)</f>
        <v>0</v>
      </c>
      <c r="I244" s="151" t="str">
        <f>IFERROR(_xlfn.TEXTJOIN("~", TRUE, ITEquipmentTable[[#This Row],[Type]],ITEquipmentTable[[#This Row],[Brand]],ITEquipmentTable[[#This Row],[Model]]), "")</f>
        <v>Laptop~HP~HP ProBook 650 G2</v>
      </c>
      <c r="J244" s="151" t="b">
        <f xml:space="preserve"> _xlfn.IFNA(MATCH( ITSecondTable[[#This Row],[Tag]], StorageTable[Tag], 0)  &gt; -1, FALSE)</f>
        <v>0</v>
      </c>
      <c r="K244" s="168" t="b">
        <f>COUNTIFS(ITEquipmentTable[Serial], ITEquipmentTable[[#This Row],[Serial]], ITEquipmentTable[Serial], "&lt;&gt;N/A") &gt; 1</f>
        <v>0</v>
      </c>
      <c r="L244" s="168" t="b">
        <f>COUNTIFS(ITEquipmentTable[Name], ITEquipmentTable[[#This Row],[Name]], ITEquipmentTable[Name], "&lt;&gt;&lt;Unassigned&gt;",  ITEquipmentTable[Name], "&lt;&gt;N/A") &gt; 1</f>
        <v>0</v>
      </c>
      <c r="M244" s="168" t="b">
        <f>AND(COUNTIFS(ITEquipmentTable[IPv4 Address], ITEquipmentTable[[#This Row],[IPv4 Address]]) &gt; 1, ITEquipmentTable[[#This Row],[IPv4 Address]] &lt;&gt; "DHCP",  ITEquipmentTable[[#This Row],[IPv4 Address]] &lt;&gt; "N/A")</f>
        <v>0</v>
      </c>
    </row>
    <row r="245" spans="1:13" x14ac:dyDescent="0.2">
      <c r="A245" s="168" t="str">
        <f>IF(LEN(ITSecondTable[[#This Row],[Tag]]) &gt; 0, _xlfn.XLOOKUP(ITSecondTable[[#This Row],[Tag]],StorageTable[Tag], StorageTable[In Storage - Count Total], "Err", 0, 1), 0)</f>
        <v>Err</v>
      </c>
      <c r="B245" s="1">
        <f>_xlfn.LET(_xlpm.loc, ITEquipmentTable[Storage Location],
COUNTIFS(ITSecondTable[Tag], ITSecondTable[[#This Row],[Tag]], _xlpm.loc, "&lt;&gt;In Use", _xlpm.loc, "&lt;&gt;",  _xlpm.loc, "&lt;&gt;E-Waste", _xlpm.loc, "&lt;&gt;Virtual",  _xlpm.loc, "&lt;&gt;Assigned to Employee", _xlpm.loc, "&lt;&gt;Decommisioned", _xlpm.loc, "&lt;&gt;Missing")
)</f>
        <v>1</v>
      </c>
      <c r="C245" s="1">
        <f>_xlfn.LET(_xlpm.loc, ITEquipmentTable[Storage Location],
COUNTIFS(ITSecondTable[Tag], ITSecondTable[[#This Row],[Tag]], _xlpm.loc, "&lt;&gt;E-Waste", _xlpm.loc, "&lt;&gt;Virtual", _xlpm.loc, "&lt;&gt;Decommisioned")
)</f>
        <v>1</v>
      </c>
      <c r="D245" s="168">
        <f>_xlfn.LET(_xlpm.loc, ITEquipmentTable[Storage Location],
COUNTIFS(ITSecondTable[Tag], ITSecondTable[[#This Row],[Tag]], _xlpm.loc, "Missing")
)</f>
        <v>0</v>
      </c>
      <c r="E245" s="168">
        <f>_xlfn.LET(_xlpm.loc, ITEquipmentTable[Storage Location],
COUNTIFS(ITSecondTable[Tag], ITSecondTable[[#This Row],[Tag]], _xlpm.loc, "In Use") + COUNTIFS(ITSecondTable[Tag], ITSecondTable[[#This Row],[Tag]], _xlpm.loc, "Assigned to Employee")
)</f>
        <v>0</v>
      </c>
      <c r="F245" s="168">
        <f>_xlfn.LET(_xlpm.loc, ITEquipmentTable[Storage Location],
COUNTIFS(ITSecondTable[Tag], ITSecondTable[[#This Row],[Tag]], _xlpm.loc, "")
)</f>
        <v>0</v>
      </c>
      <c r="G245" s="168" t="e">
        <f>MAX(ITSecondTable[[#This Row],[SQty]] - ITSecondTable[[#This Row],[IQty]], 0)</f>
        <v>#VALUE!</v>
      </c>
      <c r="H245" s="168" t="e">
        <f>MAX(ITSecondTable[[#This Row],[IQty]]-ITSecondTable[[#This Row],[SQty]], 0)</f>
        <v>#VALUE!</v>
      </c>
      <c r="I245" s="151" t="str">
        <f>IFERROR(_xlfn.TEXTJOIN("~", TRUE, ITEquipmentTable[[#This Row],[Type]],ITEquipmentTable[[#This Row],[Brand]],ITEquipmentTable[[#This Row],[Model]]), "")</f>
        <v>Laptop~HP~HP ProBook</v>
      </c>
      <c r="J245" s="151" t="b">
        <f xml:space="preserve"> _xlfn.IFNA(MATCH( ITSecondTable[[#This Row],[Tag]], StorageTable[Tag], 0)  &gt; -1, FALSE)</f>
        <v>0</v>
      </c>
      <c r="K245" s="168" t="b">
        <f>COUNTIFS(ITEquipmentTable[Serial], ITEquipmentTable[[#This Row],[Serial]], ITEquipmentTable[Serial], "&lt;&gt;N/A") &gt; 1</f>
        <v>0</v>
      </c>
      <c r="L245" s="168" t="b">
        <f>COUNTIFS(ITEquipmentTable[Name], ITEquipmentTable[[#This Row],[Name]], ITEquipmentTable[Name], "&lt;&gt;&lt;Unassigned&gt;",  ITEquipmentTable[Name], "&lt;&gt;N/A") &gt; 1</f>
        <v>0</v>
      </c>
      <c r="M245" s="168" t="b">
        <f>AND(COUNTIFS(ITEquipmentTable[IPv4 Address], ITEquipmentTable[[#This Row],[IPv4 Address]]) &gt; 1, ITEquipmentTable[[#This Row],[IPv4 Address]] &lt;&gt; "DHCP",  ITEquipmentTable[[#This Row],[IPv4 Address]] &lt;&gt; "N/A")</f>
        <v>0</v>
      </c>
    </row>
    <row r="246" spans="1:13" x14ac:dyDescent="0.2">
      <c r="A246" s="168">
        <f>IF(LEN(ITSecondTable[[#This Row],[Tag]]) &gt; 0, _xlfn.XLOOKUP(ITSecondTable[[#This Row],[Tag]],StorageTable[Tag], StorageTable[In Storage - Count Total], "Err", 0, 1), 0)</f>
        <v>0</v>
      </c>
      <c r="B246" s="1">
        <f>_xlfn.LET(_xlpm.loc, ITEquipmentTable[Storage Location],
COUNTIFS(ITSecondTable[Tag], ITSecondTable[[#This Row],[Tag]], _xlpm.loc, "&lt;&gt;In Use", _xlpm.loc, "&lt;&gt;",  _xlpm.loc, "&lt;&gt;E-Waste", _xlpm.loc, "&lt;&gt;Virtual",  _xlpm.loc, "&lt;&gt;Assigned to Employee", _xlpm.loc, "&lt;&gt;Decommisioned", _xlpm.loc, "&lt;&gt;Missing")
)</f>
        <v>0</v>
      </c>
      <c r="C246" s="1">
        <f>_xlfn.LET(_xlpm.loc, ITEquipmentTable[Storage Location],
COUNTIFS(ITSecondTable[Tag], ITSecondTable[[#This Row],[Tag]], _xlpm.loc, "&lt;&gt;E-Waste", _xlpm.loc, "&lt;&gt;Virtual", _xlpm.loc, "&lt;&gt;Decommisioned")
)</f>
        <v>78</v>
      </c>
      <c r="D246" s="168">
        <f>_xlfn.LET(_xlpm.loc, ITEquipmentTable[Storage Location],
COUNTIFS(ITSecondTable[Tag], ITSecondTable[[#This Row],[Tag]], _xlpm.loc, "Missing")
)</f>
        <v>0</v>
      </c>
      <c r="E246" s="168">
        <f>_xlfn.LET(_xlpm.loc, ITEquipmentTable[Storage Location],
COUNTIFS(ITSecondTable[Tag], ITSecondTable[[#This Row],[Tag]], _xlpm.loc, "In Use") + COUNTIFS(ITSecondTable[Tag], ITSecondTable[[#This Row],[Tag]], _xlpm.loc, "Assigned to Employee")
)</f>
        <v>44</v>
      </c>
      <c r="F246" s="168">
        <f>_xlfn.LET(_xlpm.loc, ITEquipmentTable[Storage Location],
COUNTIFS(ITSecondTable[Tag], ITSecondTable[[#This Row],[Tag]], _xlpm.loc, "")
)</f>
        <v>34</v>
      </c>
      <c r="G246" s="168">
        <f>MAX(ITSecondTable[[#This Row],[SQty]] - ITSecondTable[[#This Row],[IQty]], 0)</f>
        <v>0</v>
      </c>
      <c r="H246" s="168">
        <f>MAX(ITSecondTable[[#This Row],[IQty]]-ITSecondTable[[#This Row],[SQty]], 0)</f>
        <v>0</v>
      </c>
      <c r="I246" s="151" t="str">
        <f>IFERROR(_xlfn.TEXTJOIN("~", TRUE, ITEquipmentTable[[#This Row],[Type]],ITEquipmentTable[[#This Row],[Brand]],ITEquipmentTable[[#This Row],[Model]]), "")</f>
        <v>Laptop~HP</v>
      </c>
      <c r="J246" s="151" t="b">
        <f xml:space="preserve"> _xlfn.IFNA(MATCH( ITSecondTable[[#This Row],[Tag]], StorageTable[Tag], 0)  &gt; -1, FALSE)</f>
        <v>0</v>
      </c>
      <c r="K246" s="168" t="b">
        <f>COUNTIFS(ITEquipmentTable[Serial], ITEquipmentTable[[#This Row],[Serial]], ITEquipmentTable[Serial], "&lt;&gt;N/A") &gt; 1</f>
        <v>0</v>
      </c>
      <c r="L246" s="168" t="b">
        <f>COUNTIFS(ITEquipmentTable[Name], ITEquipmentTable[[#This Row],[Name]], ITEquipmentTable[Name], "&lt;&gt;&lt;Unassigned&gt;",  ITEquipmentTable[Name], "&lt;&gt;N/A") &gt; 1</f>
        <v>0</v>
      </c>
      <c r="M246" s="168" t="b">
        <f>AND(COUNTIFS(ITEquipmentTable[IPv4 Address], ITEquipmentTable[[#This Row],[IPv4 Address]]) &gt; 1, ITEquipmentTable[[#This Row],[IPv4 Address]] &lt;&gt; "DHCP",  ITEquipmentTable[[#This Row],[IPv4 Address]] &lt;&gt; "N/A")</f>
        <v>0</v>
      </c>
    </row>
    <row r="247" spans="1:13" x14ac:dyDescent="0.2">
      <c r="A247" s="168">
        <f>IF(LEN(ITSecondTable[[#This Row],[Tag]]) &gt; 0, _xlfn.XLOOKUP(ITSecondTable[[#This Row],[Tag]],StorageTable[Tag], StorageTable[In Storage - Count Total], "Err", 0, 1), 0)</f>
        <v>0</v>
      </c>
      <c r="B247" s="1">
        <f>_xlfn.LET(_xlpm.loc, ITEquipmentTable[Storage Location],
COUNTIFS(ITSecondTable[Tag], ITSecondTable[[#This Row],[Tag]], _xlpm.loc, "&lt;&gt;In Use", _xlpm.loc, "&lt;&gt;",  _xlpm.loc, "&lt;&gt;E-Waste", _xlpm.loc, "&lt;&gt;Virtual",  _xlpm.loc, "&lt;&gt;Assigned to Employee", _xlpm.loc, "&lt;&gt;Decommisioned", _xlpm.loc, "&lt;&gt;Missing")
)</f>
        <v>0</v>
      </c>
      <c r="C247" s="1">
        <f>_xlfn.LET(_xlpm.loc, ITEquipmentTable[Storage Location],
COUNTIFS(ITSecondTable[Tag], ITSecondTable[[#This Row],[Tag]], _xlpm.loc, "&lt;&gt;E-Waste", _xlpm.loc, "&lt;&gt;Virtual", _xlpm.loc, "&lt;&gt;Decommisioned")
)</f>
        <v>78</v>
      </c>
      <c r="D247" s="168">
        <f>_xlfn.LET(_xlpm.loc, ITEquipmentTable[Storage Location],
COUNTIFS(ITSecondTable[Tag], ITSecondTable[[#This Row],[Tag]], _xlpm.loc, "Missing")
)</f>
        <v>0</v>
      </c>
      <c r="E247" s="168">
        <f>_xlfn.LET(_xlpm.loc, ITEquipmentTable[Storage Location],
COUNTIFS(ITSecondTable[Tag], ITSecondTable[[#This Row],[Tag]], _xlpm.loc, "In Use") + COUNTIFS(ITSecondTable[Tag], ITSecondTable[[#This Row],[Tag]], _xlpm.loc, "Assigned to Employee")
)</f>
        <v>44</v>
      </c>
      <c r="F247" s="168">
        <f>_xlfn.LET(_xlpm.loc, ITEquipmentTable[Storage Location],
COUNTIFS(ITSecondTable[Tag], ITSecondTable[[#This Row],[Tag]], _xlpm.loc, "")
)</f>
        <v>34</v>
      </c>
      <c r="G247" s="168">
        <f>MAX(ITSecondTable[[#This Row],[SQty]] - ITSecondTable[[#This Row],[IQty]], 0)</f>
        <v>0</v>
      </c>
      <c r="H247" s="168">
        <f>MAX(ITSecondTable[[#This Row],[IQty]]-ITSecondTable[[#This Row],[SQty]], 0)</f>
        <v>0</v>
      </c>
      <c r="I247" s="151" t="str">
        <f>IFERROR(_xlfn.TEXTJOIN("~", TRUE, ITEquipmentTable[[#This Row],[Type]],ITEquipmentTable[[#This Row],[Brand]],ITEquipmentTable[[#This Row],[Model]]), "")</f>
        <v>Laptop~HP</v>
      </c>
      <c r="J247" s="151" t="b">
        <f xml:space="preserve"> _xlfn.IFNA(MATCH( ITSecondTable[[#This Row],[Tag]], StorageTable[Tag], 0)  &gt; -1, FALSE)</f>
        <v>0</v>
      </c>
      <c r="K247" s="168" t="b">
        <f>COUNTIFS(ITEquipmentTable[Serial], ITEquipmentTable[[#This Row],[Serial]], ITEquipmentTable[Serial], "&lt;&gt;N/A") &gt; 1</f>
        <v>0</v>
      </c>
      <c r="L247" s="168" t="b">
        <f>COUNTIFS(ITEquipmentTable[Name], ITEquipmentTable[[#This Row],[Name]], ITEquipmentTable[Name], "&lt;&gt;&lt;Unassigned&gt;",  ITEquipmentTable[Name], "&lt;&gt;N/A") &gt; 1</f>
        <v>0</v>
      </c>
      <c r="M247" s="168" t="b">
        <f>AND(COUNTIFS(ITEquipmentTable[IPv4 Address], ITEquipmentTable[[#This Row],[IPv4 Address]]) &gt; 1, ITEquipmentTable[[#This Row],[IPv4 Address]] &lt;&gt; "DHCP",  ITEquipmentTable[[#This Row],[IPv4 Address]] &lt;&gt; "N/A")</f>
        <v>0</v>
      </c>
    </row>
    <row r="248" spans="1:13" x14ac:dyDescent="0.2">
      <c r="A248" s="168">
        <f>IF(LEN(ITSecondTable[[#This Row],[Tag]]) &gt; 0, _xlfn.XLOOKUP(ITSecondTable[[#This Row],[Tag]],StorageTable[Tag], StorageTable[In Storage - Count Total], "Err", 0, 1), 0)</f>
        <v>0</v>
      </c>
      <c r="B248" s="1">
        <f>_xlfn.LET(_xlpm.loc, ITEquipmentTable[Storage Location],
COUNTIFS(ITSecondTable[Tag], ITSecondTable[[#This Row],[Tag]], _xlpm.loc, "&lt;&gt;In Use", _xlpm.loc, "&lt;&gt;",  _xlpm.loc, "&lt;&gt;E-Waste", _xlpm.loc, "&lt;&gt;Virtual",  _xlpm.loc, "&lt;&gt;Assigned to Employee", _xlpm.loc, "&lt;&gt;Decommisioned", _xlpm.loc, "&lt;&gt;Missing")
)</f>
        <v>0</v>
      </c>
      <c r="C248" s="1">
        <f>_xlfn.LET(_xlpm.loc, ITEquipmentTable[Storage Location],
COUNTIFS(ITSecondTable[Tag], ITSecondTable[[#This Row],[Tag]], _xlpm.loc, "&lt;&gt;E-Waste", _xlpm.loc, "&lt;&gt;Virtual", _xlpm.loc, "&lt;&gt;Decommisioned")
)</f>
        <v>78</v>
      </c>
      <c r="D248" s="168">
        <f>_xlfn.LET(_xlpm.loc, ITEquipmentTable[Storage Location],
COUNTIFS(ITSecondTable[Tag], ITSecondTable[[#This Row],[Tag]], _xlpm.loc, "Missing")
)</f>
        <v>0</v>
      </c>
      <c r="E248" s="168">
        <f>_xlfn.LET(_xlpm.loc, ITEquipmentTable[Storage Location],
COUNTIFS(ITSecondTable[Tag], ITSecondTable[[#This Row],[Tag]], _xlpm.loc, "In Use") + COUNTIFS(ITSecondTable[Tag], ITSecondTable[[#This Row],[Tag]], _xlpm.loc, "Assigned to Employee")
)</f>
        <v>44</v>
      </c>
      <c r="F248" s="168">
        <f>_xlfn.LET(_xlpm.loc, ITEquipmentTable[Storage Location],
COUNTIFS(ITSecondTable[Tag], ITSecondTable[[#This Row],[Tag]], _xlpm.loc, "")
)</f>
        <v>34</v>
      </c>
      <c r="G248" s="168">
        <f>MAX(ITSecondTable[[#This Row],[SQty]] - ITSecondTable[[#This Row],[IQty]], 0)</f>
        <v>0</v>
      </c>
      <c r="H248" s="168">
        <f>MAX(ITSecondTable[[#This Row],[IQty]]-ITSecondTable[[#This Row],[SQty]], 0)</f>
        <v>0</v>
      </c>
      <c r="I248" s="151" t="str">
        <f>IFERROR(_xlfn.TEXTJOIN("~", TRUE, ITEquipmentTable[[#This Row],[Type]],ITEquipmentTable[[#This Row],[Brand]],ITEquipmentTable[[#This Row],[Model]]), "")</f>
        <v>Laptop~HP</v>
      </c>
      <c r="J248" s="151" t="b">
        <f xml:space="preserve"> _xlfn.IFNA(MATCH( ITSecondTable[[#This Row],[Tag]], StorageTable[Tag], 0)  &gt; -1, FALSE)</f>
        <v>0</v>
      </c>
      <c r="K248" s="168" t="b">
        <f>COUNTIFS(ITEquipmentTable[Serial], ITEquipmentTable[[#This Row],[Serial]], ITEquipmentTable[Serial], "&lt;&gt;N/A") &gt; 1</f>
        <v>0</v>
      </c>
      <c r="L248" s="168" t="b">
        <f>COUNTIFS(ITEquipmentTable[Name], ITEquipmentTable[[#This Row],[Name]], ITEquipmentTable[Name], "&lt;&gt;&lt;Unassigned&gt;",  ITEquipmentTable[Name], "&lt;&gt;N/A") &gt; 1</f>
        <v>0</v>
      </c>
      <c r="M248" s="168" t="b">
        <f>AND(COUNTIFS(ITEquipmentTable[IPv4 Address], ITEquipmentTable[[#This Row],[IPv4 Address]]) &gt; 1, ITEquipmentTable[[#This Row],[IPv4 Address]] &lt;&gt; "DHCP",  ITEquipmentTable[[#This Row],[IPv4 Address]] &lt;&gt; "N/A")</f>
        <v>0</v>
      </c>
    </row>
    <row r="249" spans="1:13" x14ac:dyDescent="0.2">
      <c r="A249" s="168">
        <f>IF(LEN(ITSecondTable[[#This Row],[Tag]]) &gt; 0, _xlfn.XLOOKUP(ITSecondTable[[#This Row],[Tag]],StorageTable[Tag], StorageTable[In Storage - Count Total], "Err", 0, 1), 0)</f>
        <v>0</v>
      </c>
      <c r="B249" s="1">
        <f>_xlfn.LET(_xlpm.loc, ITEquipmentTable[Storage Location],
COUNTIFS(ITSecondTable[Tag], ITSecondTable[[#This Row],[Tag]], _xlpm.loc, "&lt;&gt;In Use", _xlpm.loc, "&lt;&gt;",  _xlpm.loc, "&lt;&gt;E-Waste", _xlpm.loc, "&lt;&gt;Virtual",  _xlpm.loc, "&lt;&gt;Assigned to Employee", _xlpm.loc, "&lt;&gt;Decommisioned", _xlpm.loc, "&lt;&gt;Missing")
)</f>
        <v>0</v>
      </c>
      <c r="C249" s="1">
        <f>_xlfn.LET(_xlpm.loc, ITEquipmentTable[Storage Location],
COUNTIFS(ITSecondTable[Tag], ITSecondTable[[#This Row],[Tag]], _xlpm.loc, "&lt;&gt;E-Waste", _xlpm.loc, "&lt;&gt;Virtual", _xlpm.loc, "&lt;&gt;Decommisioned")
)</f>
        <v>78</v>
      </c>
      <c r="D249" s="168">
        <f>_xlfn.LET(_xlpm.loc, ITEquipmentTable[Storage Location],
COUNTIFS(ITSecondTable[Tag], ITSecondTable[[#This Row],[Tag]], _xlpm.loc, "Missing")
)</f>
        <v>0</v>
      </c>
      <c r="E249" s="168">
        <f>_xlfn.LET(_xlpm.loc, ITEquipmentTable[Storage Location],
COUNTIFS(ITSecondTable[Tag], ITSecondTable[[#This Row],[Tag]], _xlpm.loc, "In Use") + COUNTIFS(ITSecondTable[Tag], ITSecondTable[[#This Row],[Tag]], _xlpm.loc, "Assigned to Employee")
)</f>
        <v>44</v>
      </c>
      <c r="F249" s="168">
        <f>_xlfn.LET(_xlpm.loc, ITEquipmentTable[Storage Location],
COUNTIFS(ITSecondTable[Tag], ITSecondTable[[#This Row],[Tag]], _xlpm.loc, "")
)</f>
        <v>34</v>
      </c>
      <c r="G249" s="168">
        <f>MAX(ITSecondTable[[#This Row],[SQty]] - ITSecondTable[[#This Row],[IQty]], 0)</f>
        <v>0</v>
      </c>
      <c r="H249" s="168">
        <f>MAX(ITSecondTable[[#This Row],[IQty]]-ITSecondTable[[#This Row],[SQty]], 0)</f>
        <v>0</v>
      </c>
      <c r="I249" s="151" t="str">
        <f>IFERROR(_xlfn.TEXTJOIN("~", TRUE, ITEquipmentTable[[#This Row],[Type]],ITEquipmentTable[[#This Row],[Brand]],ITEquipmentTable[[#This Row],[Model]]), "")</f>
        <v>Laptop~HP</v>
      </c>
      <c r="J249" s="151" t="b">
        <f xml:space="preserve"> _xlfn.IFNA(MATCH( ITSecondTable[[#This Row],[Tag]], StorageTable[Tag], 0)  &gt; -1, FALSE)</f>
        <v>0</v>
      </c>
      <c r="K249" s="168" t="b">
        <f>COUNTIFS(ITEquipmentTable[Serial], ITEquipmentTable[[#This Row],[Serial]], ITEquipmentTable[Serial], "&lt;&gt;N/A") &gt; 1</f>
        <v>0</v>
      </c>
      <c r="L249" s="168" t="b">
        <f>COUNTIFS(ITEquipmentTable[Name], ITEquipmentTable[[#This Row],[Name]], ITEquipmentTable[Name], "&lt;&gt;&lt;Unassigned&gt;",  ITEquipmentTable[Name], "&lt;&gt;N/A") &gt; 1</f>
        <v>0</v>
      </c>
      <c r="M249" s="168" t="b">
        <f>AND(COUNTIFS(ITEquipmentTable[IPv4 Address], ITEquipmentTable[[#This Row],[IPv4 Address]]) &gt; 1, ITEquipmentTable[[#This Row],[IPv4 Address]] &lt;&gt; "DHCP",  ITEquipmentTable[[#This Row],[IPv4 Address]] &lt;&gt; "N/A")</f>
        <v>0</v>
      </c>
    </row>
    <row r="250" spans="1:13" x14ac:dyDescent="0.2">
      <c r="A250" s="168">
        <f>IF(LEN(ITSecondTable[[#This Row],[Tag]]) &gt; 0, _xlfn.XLOOKUP(ITSecondTable[[#This Row],[Tag]],StorageTable[Tag], StorageTable[In Storage - Count Total], "Err", 0, 1), 0)</f>
        <v>0</v>
      </c>
      <c r="B250" s="1">
        <f>_xlfn.LET(_xlpm.loc, ITEquipmentTable[Storage Location],
COUNTIFS(ITSecondTable[Tag], ITSecondTable[[#This Row],[Tag]], _xlpm.loc, "&lt;&gt;In Use", _xlpm.loc, "&lt;&gt;",  _xlpm.loc, "&lt;&gt;E-Waste", _xlpm.loc, "&lt;&gt;Virtual",  _xlpm.loc, "&lt;&gt;Assigned to Employee", _xlpm.loc, "&lt;&gt;Decommisioned", _xlpm.loc, "&lt;&gt;Missing")
)</f>
        <v>0</v>
      </c>
      <c r="C250" s="1">
        <f>_xlfn.LET(_xlpm.loc, ITEquipmentTable[Storage Location],
COUNTIFS(ITSecondTable[Tag], ITSecondTable[[#This Row],[Tag]], _xlpm.loc, "&lt;&gt;E-Waste", _xlpm.loc, "&lt;&gt;Virtual", _xlpm.loc, "&lt;&gt;Decommisioned")
)</f>
        <v>78</v>
      </c>
      <c r="D250" s="168">
        <f>_xlfn.LET(_xlpm.loc, ITEquipmentTable[Storage Location],
COUNTIFS(ITSecondTable[Tag], ITSecondTable[[#This Row],[Tag]], _xlpm.loc, "Missing")
)</f>
        <v>0</v>
      </c>
      <c r="E250" s="168">
        <f>_xlfn.LET(_xlpm.loc, ITEquipmentTable[Storage Location],
COUNTIFS(ITSecondTable[Tag], ITSecondTable[[#This Row],[Tag]], _xlpm.loc, "In Use") + COUNTIFS(ITSecondTable[Tag], ITSecondTable[[#This Row],[Tag]], _xlpm.loc, "Assigned to Employee")
)</f>
        <v>44</v>
      </c>
      <c r="F250" s="168">
        <f>_xlfn.LET(_xlpm.loc, ITEquipmentTable[Storage Location],
COUNTIFS(ITSecondTable[Tag], ITSecondTable[[#This Row],[Tag]], _xlpm.loc, "")
)</f>
        <v>34</v>
      </c>
      <c r="G250" s="168">
        <f>MAX(ITSecondTable[[#This Row],[SQty]] - ITSecondTable[[#This Row],[IQty]], 0)</f>
        <v>0</v>
      </c>
      <c r="H250" s="168">
        <f>MAX(ITSecondTable[[#This Row],[IQty]]-ITSecondTable[[#This Row],[SQty]], 0)</f>
        <v>0</v>
      </c>
      <c r="I250" s="151" t="str">
        <f>IFERROR(_xlfn.TEXTJOIN("~", TRUE, ITEquipmentTable[[#This Row],[Type]],ITEquipmentTable[[#This Row],[Brand]],ITEquipmentTable[[#This Row],[Model]]), "")</f>
        <v>Laptop~HP</v>
      </c>
      <c r="J250" s="151" t="b">
        <f xml:space="preserve"> _xlfn.IFNA(MATCH( ITSecondTable[[#This Row],[Tag]], StorageTable[Tag], 0)  &gt; -1, FALSE)</f>
        <v>0</v>
      </c>
      <c r="K250" s="168" t="b">
        <f>COUNTIFS(ITEquipmentTable[Serial], ITEquipmentTable[[#This Row],[Serial]], ITEquipmentTable[Serial], "&lt;&gt;N/A") &gt; 1</f>
        <v>0</v>
      </c>
      <c r="L250" s="168" t="b">
        <f>COUNTIFS(ITEquipmentTable[Name], ITEquipmentTable[[#This Row],[Name]], ITEquipmentTable[Name], "&lt;&gt;&lt;Unassigned&gt;",  ITEquipmentTable[Name], "&lt;&gt;N/A") &gt; 1</f>
        <v>0</v>
      </c>
      <c r="M250" s="168" t="b">
        <f>AND(COUNTIFS(ITEquipmentTable[IPv4 Address], ITEquipmentTable[[#This Row],[IPv4 Address]]) &gt; 1, ITEquipmentTable[[#This Row],[IPv4 Address]] &lt;&gt; "DHCP",  ITEquipmentTable[[#This Row],[IPv4 Address]] &lt;&gt; "N/A")</f>
        <v>0</v>
      </c>
    </row>
    <row r="251" spans="1:13" x14ac:dyDescent="0.2">
      <c r="A251" s="168">
        <f>IF(LEN(ITSecondTable[[#This Row],[Tag]]) &gt; 0, _xlfn.XLOOKUP(ITSecondTable[[#This Row],[Tag]],StorageTable[Tag], StorageTable[In Storage - Count Total], "Err", 0, 1), 0)</f>
        <v>0</v>
      </c>
      <c r="B251" s="1">
        <f>_xlfn.LET(_xlpm.loc, ITEquipmentTable[Storage Location],
COUNTIFS(ITSecondTable[Tag], ITSecondTable[[#This Row],[Tag]], _xlpm.loc, "&lt;&gt;In Use", _xlpm.loc, "&lt;&gt;",  _xlpm.loc, "&lt;&gt;E-Waste", _xlpm.loc, "&lt;&gt;Virtual",  _xlpm.loc, "&lt;&gt;Assigned to Employee", _xlpm.loc, "&lt;&gt;Decommisioned", _xlpm.loc, "&lt;&gt;Missing")
)</f>
        <v>0</v>
      </c>
      <c r="C251" s="1">
        <f>_xlfn.LET(_xlpm.loc, ITEquipmentTable[Storage Location],
COUNTIFS(ITSecondTable[Tag], ITSecondTable[[#This Row],[Tag]], _xlpm.loc, "&lt;&gt;E-Waste", _xlpm.loc, "&lt;&gt;Virtual", _xlpm.loc, "&lt;&gt;Decommisioned")
)</f>
        <v>78</v>
      </c>
      <c r="D251" s="168">
        <f>_xlfn.LET(_xlpm.loc, ITEquipmentTable[Storage Location],
COUNTIFS(ITSecondTable[Tag], ITSecondTable[[#This Row],[Tag]], _xlpm.loc, "Missing")
)</f>
        <v>0</v>
      </c>
      <c r="E251" s="168">
        <f>_xlfn.LET(_xlpm.loc, ITEquipmentTable[Storage Location],
COUNTIFS(ITSecondTable[Tag], ITSecondTable[[#This Row],[Tag]], _xlpm.loc, "In Use") + COUNTIFS(ITSecondTable[Tag], ITSecondTable[[#This Row],[Tag]], _xlpm.loc, "Assigned to Employee")
)</f>
        <v>44</v>
      </c>
      <c r="F251" s="168">
        <f>_xlfn.LET(_xlpm.loc, ITEquipmentTable[Storage Location],
COUNTIFS(ITSecondTable[Tag], ITSecondTable[[#This Row],[Tag]], _xlpm.loc, "")
)</f>
        <v>34</v>
      </c>
      <c r="G251" s="168">
        <f>MAX(ITSecondTable[[#This Row],[SQty]] - ITSecondTable[[#This Row],[IQty]], 0)</f>
        <v>0</v>
      </c>
      <c r="H251" s="168">
        <f>MAX(ITSecondTable[[#This Row],[IQty]]-ITSecondTable[[#This Row],[SQty]], 0)</f>
        <v>0</v>
      </c>
      <c r="I251" s="151" t="str">
        <f>IFERROR(_xlfn.TEXTJOIN("~", TRUE, ITEquipmentTable[[#This Row],[Type]],ITEquipmentTable[[#This Row],[Brand]],ITEquipmentTable[[#This Row],[Model]]), "")</f>
        <v>Laptop~HP</v>
      </c>
      <c r="J251" s="151" t="b">
        <f xml:space="preserve"> _xlfn.IFNA(MATCH( ITSecondTable[[#This Row],[Tag]], StorageTable[Tag], 0)  &gt; -1, FALSE)</f>
        <v>0</v>
      </c>
      <c r="K251" s="168" t="b">
        <f>COUNTIFS(ITEquipmentTable[Serial], ITEquipmentTable[[#This Row],[Serial]], ITEquipmentTable[Serial], "&lt;&gt;N/A") &gt; 1</f>
        <v>0</v>
      </c>
      <c r="L251" s="168" t="b">
        <f>COUNTIFS(ITEquipmentTable[Name], ITEquipmentTable[[#This Row],[Name]], ITEquipmentTable[Name], "&lt;&gt;&lt;Unassigned&gt;",  ITEquipmentTable[Name], "&lt;&gt;N/A") &gt; 1</f>
        <v>0</v>
      </c>
      <c r="M251" s="168" t="b">
        <f>AND(COUNTIFS(ITEquipmentTable[IPv4 Address], ITEquipmentTable[[#This Row],[IPv4 Address]]) &gt; 1, ITEquipmentTable[[#This Row],[IPv4 Address]] &lt;&gt; "DHCP",  ITEquipmentTable[[#This Row],[IPv4 Address]] &lt;&gt; "N/A")</f>
        <v>0</v>
      </c>
    </row>
    <row r="252" spans="1:13" x14ac:dyDescent="0.2">
      <c r="A252" s="168">
        <f>IF(LEN(ITSecondTable[[#This Row],[Tag]]) &gt; 0, _xlfn.XLOOKUP(ITSecondTable[[#This Row],[Tag]],StorageTable[Tag], StorageTable[In Storage - Count Total], "Err", 0, 1), 0)</f>
        <v>0</v>
      </c>
      <c r="B252" s="1">
        <f>_xlfn.LET(_xlpm.loc, ITEquipmentTable[Storage Location],
COUNTIFS(ITSecondTable[Tag], ITSecondTable[[#This Row],[Tag]], _xlpm.loc, "&lt;&gt;In Use", _xlpm.loc, "&lt;&gt;",  _xlpm.loc, "&lt;&gt;E-Waste", _xlpm.loc, "&lt;&gt;Virtual",  _xlpm.loc, "&lt;&gt;Assigned to Employee", _xlpm.loc, "&lt;&gt;Decommisioned", _xlpm.loc, "&lt;&gt;Missing")
)</f>
        <v>0</v>
      </c>
      <c r="C252" s="1">
        <f>_xlfn.LET(_xlpm.loc, ITEquipmentTable[Storage Location],
COUNTIFS(ITSecondTable[Tag], ITSecondTable[[#This Row],[Tag]], _xlpm.loc, "&lt;&gt;E-Waste", _xlpm.loc, "&lt;&gt;Virtual", _xlpm.loc, "&lt;&gt;Decommisioned")
)</f>
        <v>78</v>
      </c>
      <c r="D252" s="168">
        <f>_xlfn.LET(_xlpm.loc, ITEquipmentTable[Storage Location],
COUNTIFS(ITSecondTable[Tag], ITSecondTable[[#This Row],[Tag]], _xlpm.loc, "Missing")
)</f>
        <v>0</v>
      </c>
      <c r="E252" s="168">
        <f>_xlfn.LET(_xlpm.loc, ITEquipmentTable[Storage Location],
COUNTIFS(ITSecondTable[Tag], ITSecondTable[[#This Row],[Tag]], _xlpm.loc, "In Use") + COUNTIFS(ITSecondTable[Tag], ITSecondTable[[#This Row],[Tag]], _xlpm.loc, "Assigned to Employee")
)</f>
        <v>44</v>
      </c>
      <c r="F252" s="168">
        <f>_xlfn.LET(_xlpm.loc, ITEquipmentTable[Storage Location],
COUNTIFS(ITSecondTable[Tag], ITSecondTable[[#This Row],[Tag]], _xlpm.loc, "")
)</f>
        <v>34</v>
      </c>
      <c r="G252" s="168">
        <f>MAX(ITSecondTable[[#This Row],[SQty]] - ITSecondTable[[#This Row],[IQty]], 0)</f>
        <v>0</v>
      </c>
      <c r="H252" s="168">
        <f>MAX(ITSecondTable[[#This Row],[IQty]]-ITSecondTable[[#This Row],[SQty]], 0)</f>
        <v>0</v>
      </c>
      <c r="I252" s="151" t="str">
        <f>IFERROR(_xlfn.TEXTJOIN("~", TRUE, ITEquipmentTable[[#This Row],[Type]],ITEquipmentTable[[#This Row],[Brand]],ITEquipmentTable[[#This Row],[Model]]), "")</f>
        <v>Laptop~HP</v>
      </c>
      <c r="J252" s="151" t="b">
        <f xml:space="preserve"> _xlfn.IFNA(MATCH( ITSecondTable[[#This Row],[Tag]], StorageTable[Tag], 0)  &gt; -1, FALSE)</f>
        <v>0</v>
      </c>
      <c r="K252" s="168" t="b">
        <f>COUNTIFS(ITEquipmentTable[Serial], ITEquipmentTable[[#This Row],[Serial]], ITEquipmentTable[Serial], "&lt;&gt;N/A") &gt; 1</f>
        <v>0</v>
      </c>
      <c r="L252" s="168" t="b">
        <f>COUNTIFS(ITEquipmentTable[Name], ITEquipmentTable[[#This Row],[Name]], ITEquipmentTable[Name], "&lt;&gt;&lt;Unassigned&gt;",  ITEquipmentTable[Name], "&lt;&gt;N/A") &gt; 1</f>
        <v>0</v>
      </c>
      <c r="M252" s="168" t="b">
        <f>AND(COUNTIFS(ITEquipmentTable[IPv4 Address], ITEquipmentTable[[#This Row],[IPv4 Address]]) &gt; 1, ITEquipmentTable[[#This Row],[IPv4 Address]] &lt;&gt; "DHCP",  ITEquipmentTable[[#This Row],[IPv4 Address]] &lt;&gt; "N/A")</f>
        <v>0</v>
      </c>
    </row>
    <row r="253" spans="1:13" x14ac:dyDescent="0.2">
      <c r="A253" s="168">
        <f>IF(LEN(ITSecondTable[[#This Row],[Tag]]) &gt; 0, _xlfn.XLOOKUP(ITSecondTable[[#This Row],[Tag]],StorageTable[Tag], StorageTable[In Storage - Count Total], "Err", 0, 1), 0)</f>
        <v>0</v>
      </c>
      <c r="B253" s="1">
        <f>_xlfn.LET(_xlpm.loc, ITEquipmentTable[Storage Location],
COUNTIFS(ITSecondTable[Tag], ITSecondTable[[#This Row],[Tag]], _xlpm.loc, "&lt;&gt;In Use", _xlpm.loc, "&lt;&gt;",  _xlpm.loc, "&lt;&gt;E-Waste", _xlpm.loc, "&lt;&gt;Virtual",  _xlpm.loc, "&lt;&gt;Assigned to Employee", _xlpm.loc, "&lt;&gt;Decommisioned", _xlpm.loc, "&lt;&gt;Missing")
)</f>
        <v>0</v>
      </c>
      <c r="C253" s="1">
        <f>_xlfn.LET(_xlpm.loc, ITEquipmentTable[Storage Location],
COUNTIFS(ITSecondTable[Tag], ITSecondTable[[#This Row],[Tag]], _xlpm.loc, "&lt;&gt;E-Waste", _xlpm.loc, "&lt;&gt;Virtual", _xlpm.loc, "&lt;&gt;Decommisioned")
)</f>
        <v>78</v>
      </c>
      <c r="D253" s="168">
        <f>_xlfn.LET(_xlpm.loc, ITEquipmentTable[Storage Location],
COUNTIFS(ITSecondTable[Tag], ITSecondTable[[#This Row],[Tag]], _xlpm.loc, "Missing")
)</f>
        <v>0</v>
      </c>
      <c r="E253" s="168">
        <f>_xlfn.LET(_xlpm.loc, ITEquipmentTable[Storage Location],
COUNTIFS(ITSecondTable[Tag], ITSecondTable[[#This Row],[Tag]], _xlpm.loc, "In Use") + COUNTIFS(ITSecondTable[Tag], ITSecondTable[[#This Row],[Tag]], _xlpm.loc, "Assigned to Employee")
)</f>
        <v>44</v>
      </c>
      <c r="F253" s="168">
        <f>_xlfn.LET(_xlpm.loc, ITEquipmentTable[Storage Location],
COUNTIFS(ITSecondTable[Tag], ITSecondTable[[#This Row],[Tag]], _xlpm.loc, "")
)</f>
        <v>34</v>
      </c>
      <c r="G253" s="168">
        <f>MAX(ITSecondTable[[#This Row],[SQty]] - ITSecondTable[[#This Row],[IQty]], 0)</f>
        <v>0</v>
      </c>
      <c r="H253" s="168">
        <f>MAX(ITSecondTable[[#This Row],[IQty]]-ITSecondTable[[#This Row],[SQty]], 0)</f>
        <v>0</v>
      </c>
      <c r="I253" s="151" t="str">
        <f>IFERROR(_xlfn.TEXTJOIN("~", TRUE, ITEquipmentTable[[#This Row],[Type]],ITEquipmentTable[[#This Row],[Brand]],ITEquipmentTable[[#This Row],[Model]]), "")</f>
        <v>Laptop~HP</v>
      </c>
      <c r="J253" s="151" t="b">
        <f xml:space="preserve"> _xlfn.IFNA(MATCH( ITSecondTable[[#This Row],[Tag]], StorageTable[Tag], 0)  &gt; -1, FALSE)</f>
        <v>0</v>
      </c>
      <c r="K253" s="168" t="b">
        <f>COUNTIFS(ITEquipmentTable[Serial], ITEquipmentTable[[#This Row],[Serial]], ITEquipmentTable[Serial], "&lt;&gt;N/A") &gt; 1</f>
        <v>0</v>
      </c>
      <c r="L253" s="168" t="b">
        <f>COUNTIFS(ITEquipmentTable[Name], ITEquipmentTable[[#This Row],[Name]], ITEquipmentTable[Name], "&lt;&gt;&lt;Unassigned&gt;",  ITEquipmentTable[Name], "&lt;&gt;N/A") &gt; 1</f>
        <v>0</v>
      </c>
      <c r="M253" s="168" t="b">
        <f>AND(COUNTIFS(ITEquipmentTable[IPv4 Address], ITEquipmentTable[[#This Row],[IPv4 Address]]) &gt; 1, ITEquipmentTable[[#This Row],[IPv4 Address]] &lt;&gt; "DHCP",  ITEquipmentTable[[#This Row],[IPv4 Address]] &lt;&gt; "N/A")</f>
        <v>0</v>
      </c>
    </row>
    <row r="254" spans="1:13" x14ac:dyDescent="0.2">
      <c r="A254" s="168">
        <f>IF(LEN(ITSecondTable[[#This Row],[Tag]]) &gt; 0, _xlfn.XLOOKUP(ITSecondTable[[#This Row],[Tag]],StorageTable[Tag], StorageTable[In Storage - Count Total], "Err", 0, 1), 0)</f>
        <v>0</v>
      </c>
      <c r="B254" s="1">
        <f>_xlfn.LET(_xlpm.loc, ITEquipmentTable[Storage Location],
COUNTIFS(ITSecondTable[Tag], ITSecondTable[[#This Row],[Tag]], _xlpm.loc, "&lt;&gt;In Use", _xlpm.loc, "&lt;&gt;",  _xlpm.loc, "&lt;&gt;E-Waste", _xlpm.loc, "&lt;&gt;Virtual",  _xlpm.loc, "&lt;&gt;Assigned to Employee", _xlpm.loc, "&lt;&gt;Decommisioned", _xlpm.loc, "&lt;&gt;Missing")
)</f>
        <v>0</v>
      </c>
      <c r="C254" s="1">
        <f>_xlfn.LET(_xlpm.loc, ITEquipmentTable[Storage Location],
COUNTIFS(ITSecondTable[Tag], ITSecondTable[[#This Row],[Tag]], _xlpm.loc, "&lt;&gt;E-Waste", _xlpm.loc, "&lt;&gt;Virtual", _xlpm.loc, "&lt;&gt;Decommisioned")
)</f>
        <v>78</v>
      </c>
      <c r="D254" s="168">
        <f>_xlfn.LET(_xlpm.loc, ITEquipmentTable[Storage Location],
COUNTIFS(ITSecondTable[Tag], ITSecondTable[[#This Row],[Tag]], _xlpm.loc, "Missing")
)</f>
        <v>0</v>
      </c>
      <c r="E254" s="168">
        <f>_xlfn.LET(_xlpm.loc, ITEquipmentTable[Storage Location],
COUNTIFS(ITSecondTable[Tag], ITSecondTable[[#This Row],[Tag]], _xlpm.loc, "In Use") + COUNTIFS(ITSecondTable[Tag], ITSecondTable[[#This Row],[Tag]], _xlpm.loc, "Assigned to Employee")
)</f>
        <v>44</v>
      </c>
      <c r="F254" s="168">
        <f>_xlfn.LET(_xlpm.loc, ITEquipmentTable[Storage Location],
COUNTIFS(ITSecondTable[Tag], ITSecondTable[[#This Row],[Tag]], _xlpm.loc, "")
)</f>
        <v>34</v>
      </c>
      <c r="G254" s="168">
        <f>MAX(ITSecondTable[[#This Row],[SQty]] - ITSecondTable[[#This Row],[IQty]], 0)</f>
        <v>0</v>
      </c>
      <c r="H254" s="168">
        <f>MAX(ITSecondTable[[#This Row],[IQty]]-ITSecondTable[[#This Row],[SQty]], 0)</f>
        <v>0</v>
      </c>
      <c r="I254" s="151" t="str">
        <f>IFERROR(_xlfn.TEXTJOIN("~", TRUE, ITEquipmentTable[[#This Row],[Type]],ITEquipmentTable[[#This Row],[Brand]],ITEquipmentTable[[#This Row],[Model]]), "")</f>
        <v>Laptop~HP</v>
      </c>
      <c r="J254" s="151" t="b">
        <f xml:space="preserve"> _xlfn.IFNA(MATCH( ITSecondTable[[#This Row],[Tag]], StorageTable[Tag], 0)  &gt; -1, FALSE)</f>
        <v>0</v>
      </c>
      <c r="K254" s="168" t="b">
        <f>COUNTIFS(ITEquipmentTable[Serial], ITEquipmentTable[[#This Row],[Serial]], ITEquipmentTable[Serial], "&lt;&gt;N/A") &gt; 1</f>
        <v>0</v>
      </c>
      <c r="L254" s="168" t="b">
        <f>COUNTIFS(ITEquipmentTable[Name], ITEquipmentTable[[#This Row],[Name]], ITEquipmentTable[Name], "&lt;&gt;&lt;Unassigned&gt;",  ITEquipmentTable[Name], "&lt;&gt;N/A") &gt; 1</f>
        <v>0</v>
      </c>
      <c r="M254" s="168" t="b">
        <f>AND(COUNTIFS(ITEquipmentTable[IPv4 Address], ITEquipmentTable[[#This Row],[IPv4 Address]]) &gt; 1, ITEquipmentTable[[#This Row],[IPv4 Address]] &lt;&gt; "DHCP",  ITEquipmentTable[[#This Row],[IPv4 Address]] &lt;&gt; "N/A")</f>
        <v>0</v>
      </c>
    </row>
    <row r="255" spans="1:13" x14ac:dyDescent="0.2">
      <c r="A255" s="168">
        <f>IF(LEN(ITSecondTable[[#This Row],[Tag]]) &gt; 0, _xlfn.XLOOKUP(ITSecondTable[[#This Row],[Tag]],StorageTable[Tag], StorageTable[In Storage - Count Total], "Err", 0, 1), 0)</f>
        <v>0</v>
      </c>
      <c r="B255" s="1">
        <f>_xlfn.LET(_xlpm.loc, ITEquipmentTable[Storage Location],
COUNTIFS(ITSecondTable[Tag], ITSecondTable[[#This Row],[Tag]], _xlpm.loc, "&lt;&gt;In Use", _xlpm.loc, "&lt;&gt;",  _xlpm.loc, "&lt;&gt;E-Waste", _xlpm.loc, "&lt;&gt;Virtual",  _xlpm.loc, "&lt;&gt;Assigned to Employee", _xlpm.loc, "&lt;&gt;Decommisioned", _xlpm.loc, "&lt;&gt;Missing")
)</f>
        <v>0</v>
      </c>
      <c r="C255" s="1">
        <f>_xlfn.LET(_xlpm.loc, ITEquipmentTable[Storage Location],
COUNTIFS(ITSecondTable[Tag], ITSecondTable[[#This Row],[Tag]], _xlpm.loc, "&lt;&gt;E-Waste", _xlpm.loc, "&lt;&gt;Virtual", _xlpm.loc, "&lt;&gt;Decommisioned")
)</f>
        <v>78</v>
      </c>
      <c r="D255" s="168">
        <f>_xlfn.LET(_xlpm.loc, ITEquipmentTable[Storage Location],
COUNTIFS(ITSecondTable[Tag], ITSecondTable[[#This Row],[Tag]], _xlpm.loc, "Missing")
)</f>
        <v>0</v>
      </c>
      <c r="E255" s="168">
        <f>_xlfn.LET(_xlpm.loc, ITEquipmentTable[Storage Location],
COUNTIFS(ITSecondTable[Tag], ITSecondTable[[#This Row],[Tag]], _xlpm.loc, "In Use") + COUNTIFS(ITSecondTable[Tag], ITSecondTable[[#This Row],[Tag]], _xlpm.loc, "Assigned to Employee")
)</f>
        <v>44</v>
      </c>
      <c r="F255" s="168">
        <f>_xlfn.LET(_xlpm.loc, ITEquipmentTable[Storage Location],
COUNTIFS(ITSecondTable[Tag], ITSecondTable[[#This Row],[Tag]], _xlpm.loc, "")
)</f>
        <v>34</v>
      </c>
      <c r="G255" s="168">
        <f>MAX(ITSecondTable[[#This Row],[SQty]] - ITSecondTable[[#This Row],[IQty]], 0)</f>
        <v>0</v>
      </c>
      <c r="H255" s="168">
        <f>MAX(ITSecondTable[[#This Row],[IQty]]-ITSecondTable[[#This Row],[SQty]], 0)</f>
        <v>0</v>
      </c>
      <c r="I255" s="151" t="str">
        <f>IFERROR(_xlfn.TEXTJOIN("~", TRUE, ITEquipmentTable[[#This Row],[Type]],ITEquipmentTable[[#This Row],[Brand]],ITEquipmentTable[[#This Row],[Model]]), "")</f>
        <v>Laptop~HP</v>
      </c>
      <c r="J255" s="151" t="b">
        <f xml:space="preserve"> _xlfn.IFNA(MATCH( ITSecondTable[[#This Row],[Tag]], StorageTable[Tag], 0)  &gt; -1, FALSE)</f>
        <v>0</v>
      </c>
      <c r="K255" s="168" t="b">
        <f>COUNTIFS(ITEquipmentTable[Serial], ITEquipmentTable[[#This Row],[Serial]], ITEquipmentTable[Serial], "&lt;&gt;N/A") &gt; 1</f>
        <v>0</v>
      </c>
      <c r="L255" s="168" t="b">
        <f>COUNTIFS(ITEquipmentTable[Name], ITEquipmentTable[[#This Row],[Name]], ITEquipmentTable[Name], "&lt;&gt;&lt;Unassigned&gt;",  ITEquipmentTable[Name], "&lt;&gt;N/A") &gt; 1</f>
        <v>0</v>
      </c>
      <c r="M255" s="168" t="b">
        <f>AND(COUNTIFS(ITEquipmentTable[IPv4 Address], ITEquipmentTable[[#This Row],[IPv4 Address]]) &gt; 1, ITEquipmentTable[[#This Row],[IPv4 Address]] &lt;&gt; "DHCP",  ITEquipmentTable[[#This Row],[IPv4 Address]] &lt;&gt; "N/A")</f>
        <v>0</v>
      </c>
    </row>
    <row r="256" spans="1:13" x14ac:dyDescent="0.2">
      <c r="A256" s="168">
        <f>IF(LEN(ITSecondTable[[#This Row],[Tag]]) &gt; 0, _xlfn.XLOOKUP(ITSecondTable[[#This Row],[Tag]],StorageTable[Tag], StorageTable[In Storage - Count Total], "Err", 0, 1), 0)</f>
        <v>0</v>
      </c>
      <c r="B256" s="1">
        <f>_xlfn.LET(_xlpm.loc, ITEquipmentTable[Storage Location],
COUNTIFS(ITSecondTable[Tag], ITSecondTable[[#This Row],[Tag]], _xlpm.loc, "&lt;&gt;In Use", _xlpm.loc, "&lt;&gt;",  _xlpm.loc, "&lt;&gt;E-Waste", _xlpm.loc, "&lt;&gt;Virtual",  _xlpm.loc, "&lt;&gt;Assigned to Employee", _xlpm.loc, "&lt;&gt;Decommisioned", _xlpm.loc, "&lt;&gt;Missing")
)</f>
        <v>0</v>
      </c>
      <c r="C256" s="1">
        <f>_xlfn.LET(_xlpm.loc, ITEquipmentTable[Storage Location],
COUNTIFS(ITSecondTable[Tag], ITSecondTable[[#This Row],[Tag]], _xlpm.loc, "&lt;&gt;E-Waste", _xlpm.loc, "&lt;&gt;Virtual", _xlpm.loc, "&lt;&gt;Decommisioned")
)</f>
        <v>78</v>
      </c>
      <c r="D256" s="168">
        <f>_xlfn.LET(_xlpm.loc, ITEquipmentTable[Storage Location],
COUNTIFS(ITSecondTable[Tag], ITSecondTable[[#This Row],[Tag]], _xlpm.loc, "Missing")
)</f>
        <v>0</v>
      </c>
      <c r="E256" s="168">
        <f>_xlfn.LET(_xlpm.loc, ITEquipmentTable[Storage Location],
COUNTIFS(ITSecondTable[Tag], ITSecondTable[[#This Row],[Tag]], _xlpm.loc, "In Use") + COUNTIFS(ITSecondTable[Tag], ITSecondTable[[#This Row],[Tag]], _xlpm.loc, "Assigned to Employee")
)</f>
        <v>44</v>
      </c>
      <c r="F256" s="168">
        <f>_xlfn.LET(_xlpm.loc, ITEquipmentTable[Storage Location],
COUNTIFS(ITSecondTable[Tag], ITSecondTable[[#This Row],[Tag]], _xlpm.loc, "")
)</f>
        <v>34</v>
      </c>
      <c r="G256" s="168">
        <f>MAX(ITSecondTable[[#This Row],[SQty]] - ITSecondTable[[#This Row],[IQty]], 0)</f>
        <v>0</v>
      </c>
      <c r="H256" s="168">
        <f>MAX(ITSecondTable[[#This Row],[IQty]]-ITSecondTable[[#This Row],[SQty]], 0)</f>
        <v>0</v>
      </c>
      <c r="I256" s="151" t="str">
        <f>IFERROR(_xlfn.TEXTJOIN("~", TRUE, ITEquipmentTable[[#This Row],[Type]],ITEquipmentTable[[#This Row],[Brand]],ITEquipmentTable[[#This Row],[Model]]), "")</f>
        <v>Laptop~HP</v>
      </c>
      <c r="J256" s="151" t="b">
        <f xml:space="preserve"> _xlfn.IFNA(MATCH( ITSecondTable[[#This Row],[Tag]], StorageTable[Tag], 0)  &gt; -1, FALSE)</f>
        <v>0</v>
      </c>
      <c r="K256" s="168" t="b">
        <f>COUNTIFS(ITEquipmentTable[Serial], ITEquipmentTable[[#This Row],[Serial]], ITEquipmentTable[Serial], "&lt;&gt;N/A") &gt; 1</f>
        <v>0</v>
      </c>
      <c r="L256" s="168" t="b">
        <f>COUNTIFS(ITEquipmentTable[Name], ITEquipmentTable[[#This Row],[Name]], ITEquipmentTable[Name], "&lt;&gt;&lt;Unassigned&gt;",  ITEquipmentTable[Name], "&lt;&gt;N/A") &gt; 1</f>
        <v>0</v>
      </c>
      <c r="M256" s="168" t="b">
        <f>AND(COUNTIFS(ITEquipmentTable[IPv4 Address], ITEquipmentTable[[#This Row],[IPv4 Address]]) &gt; 1, ITEquipmentTable[[#This Row],[IPv4 Address]] &lt;&gt; "DHCP",  ITEquipmentTable[[#This Row],[IPv4 Address]] &lt;&gt; "N/A")</f>
        <v>0</v>
      </c>
    </row>
    <row r="257" spans="1:13" x14ac:dyDescent="0.2">
      <c r="A257" s="168">
        <f>IF(LEN(ITSecondTable[[#This Row],[Tag]]) &gt; 0, _xlfn.XLOOKUP(ITSecondTable[[#This Row],[Tag]],StorageTable[Tag], StorageTable[In Storage - Count Total], "Err", 0, 1), 0)</f>
        <v>0</v>
      </c>
      <c r="B257" s="1">
        <f>_xlfn.LET(_xlpm.loc, ITEquipmentTable[Storage Location],
COUNTIFS(ITSecondTable[Tag], ITSecondTable[[#This Row],[Tag]], _xlpm.loc, "&lt;&gt;In Use", _xlpm.loc, "&lt;&gt;",  _xlpm.loc, "&lt;&gt;E-Waste", _xlpm.loc, "&lt;&gt;Virtual",  _xlpm.loc, "&lt;&gt;Assigned to Employee", _xlpm.loc, "&lt;&gt;Decommisioned", _xlpm.loc, "&lt;&gt;Missing")
)</f>
        <v>0</v>
      </c>
      <c r="C257" s="1">
        <f>_xlfn.LET(_xlpm.loc, ITEquipmentTable[Storage Location],
COUNTIFS(ITSecondTable[Tag], ITSecondTable[[#This Row],[Tag]], _xlpm.loc, "&lt;&gt;E-Waste", _xlpm.loc, "&lt;&gt;Virtual", _xlpm.loc, "&lt;&gt;Decommisioned")
)</f>
        <v>78</v>
      </c>
      <c r="D257" s="168">
        <f>_xlfn.LET(_xlpm.loc, ITEquipmentTable[Storage Location],
COUNTIFS(ITSecondTable[Tag], ITSecondTable[[#This Row],[Tag]], _xlpm.loc, "Missing")
)</f>
        <v>0</v>
      </c>
      <c r="E257" s="168">
        <f>_xlfn.LET(_xlpm.loc, ITEquipmentTable[Storage Location],
COUNTIFS(ITSecondTable[Tag], ITSecondTable[[#This Row],[Tag]], _xlpm.loc, "In Use") + COUNTIFS(ITSecondTable[Tag], ITSecondTable[[#This Row],[Tag]], _xlpm.loc, "Assigned to Employee")
)</f>
        <v>44</v>
      </c>
      <c r="F257" s="168">
        <f>_xlfn.LET(_xlpm.loc, ITEquipmentTable[Storage Location],
COUNTIFS(ITSecondTable[Tag], ITSecondTable[[#This Row],[Tag]], _xlpm.loc, "")
)</f>
        <v>34</v>
      </c>
      <c r="G257" s="168">
        <f>MAX(ITSecondTable[[#This Row],[SQty]] - ITSecondTable[[#This Row],[IQty]], 0)</f>
        <v>0</v>
      </c>
      <c r="H257" s="168">
        <f>MAX(ITSecondTable[[#This Row],[IQty]]-ITSecondTable[[#This Row],[SQty]], 0)</f>
        <v>0</v>
      </c>
      <c r="I257" s="151" t="str">
        <f>IFERROR(_xlfn.TEXTJOIN("~", TRUE, ITEquipmentTable[[#This Row],[Type]],ITEquipmentTable[[#This Row],[Brand]],ITEquipmentTable[[#This Row],[Model]]), "")</f>
        <v>Laptop~HP</v>
      </c>
      <c r="J257" s="151" t="b">
        <f xml:space="preserve"> _xlfn.IFNA(MATCH( ITSecondTable[[#This Row],[Tag]], StorageTable[Tag], 0)  &gt; -1, FALSE)</f>
        <v>0</v>
      </c>
      <c r="K257" s="168" t="b">
        <f>COUNTIFS(ITEquipmentTable[Serial], ITEquipmentTable[[#This Row],[Serial]], ITEquipmentTable[Serial], "&lt;&gt;N/A") &gt; 1</f>
        <v>0</v>
      </c>
      <c r="L257" s="168" t="b">
        <f>COUNTIFS(ITEquipmentTable[Name], ITEquipmentTable[[#This Row],[Name]], ITEquipmentTable[Name], "&lt;&gt;&lt;Unassigned&gt;",  ITEquipmentTable[Name], "&lt;&gt;N/A") &gt; 1</f>
        <v>0</v>
      </c>
      <c r="M257" s="168" t="b">
        <f>AND(COUNTIFS(ITEquipmentTable[IPv4 Address], ITEquipmentTable[[#This Row],[IPv4 Address]]) &gt; 1, ITEquipmentTable[[#This Row],[IPv4 Address]] &lt;&gt; "DHCP",  ITEquipmentTable[[#This Row],[IPv4 Address]] &lt;&gt; "N/A")</f>
        <v>0</v>
      </c>
    </row>
    <row r="258" spans="1:13" x14ac:dyDescent="0.2">
      <c r="A258" s="168">
        <f>IF(LEN(ITSecondTable[[#This Row],[Tag]]) &gt; 0, _xlfn.XLOOKUP(ITSecondTable[[#This Row],[Tag]],StorageTable[Tag], StorageTable[In Storage - Count Total], "Err", 0, 1), 0)</f>
        <v>0</v>
      </c>
      <c r="B258" s="1">
        <f>_xlfn.LET(_xlpm.loc, ITEquipmentTable[Storage Location],
COUNTIFS(ITSecondTable[Tag], ITSecondTable[[#This Row],[Tag]], _xlpm.loc, "&lt;&gt;In Use", _xlpm.loc, "&lt;&gt;",  _xlpm.loc, "&lt;&gt;E-Waste", _xlpm.loc, "&lt;&gt;Virtual",  _xlpm.loc, "&lt;&gt;Assigned to Employee", _xlpm.loc, "&lt;&gt;Decommisioned", _xlpm.loc, "&lt;&gt;Missing")
)</f>
        <v>0</v>
      </c>
      <c r="C258" s="1">
        <f>_xlfn.LET(_xlpm.loc, ITEquipmentTable[Storage Location],
COUNTIFS(ITSecondTable[Tag], ITSecondTable[[#This Row],[Tag]], _xlpm.loc, "&lt;&gt;E-Waste", _xlpm.loc, "&lt;&gt;Virtual", _xlpm.loc, "&lt;&gt;Decommisioned")
)</f>
        <v>78</v>
      </c>
      <c r="D258" s="168">
        <f>_xlfn.LET(_xlpm.loc, ITEquipmentTable[Storage Location],
COUNTIFS(ITSecondTable[Tag], ITSecondTable[[#This Row],[Tag]], _xlpm.loc, "Missing")
)</f>
        <v>0</v>
      </c>
      <c r="E258" s="168">
        <f>_xlfn.LET(_xlpm.loc, ITEquipmentTable[Storage Location],
COUNTIFS(ITSecondTable[Tag], ITSecondTable[[#This Row],[Tag]], _xlpm.loc, "In Use") + COUNTIFS(ITSecondTable[Tag], ITSecondTable[[#This Row],[Tag]], _xlpm.loc, "Assigned to Employee")
)</f>
        <v>44</v>
      </c>
      <c r="F258" s="168">
        <f>_xlfn.LET(_xlpm.loc, ITEquipmentTable[Storage Location],
COUNTIFS(ITSecondTable[Tag], ITSecondTable[[#This Row],[Tag]], _xlpm.loc, "")
)</f>
        <v>34</v>
      </c>
      <c r="G258" s="168">
        <f>MAX(ITSecondTable[[#This Row],[SQty]] - ITSecondTable[[#This Row],[IQty]], 0)</f>
        <v>0</v>
      </c>
      <c r="H258" s="168">
        <f>MAX(ITSecondTable[[#This Row],[IQty]]-ITSecondTable[[#This Row],[SQty]], 0)</f>
        <v>0</v>
      </c>
      <c r="I258" s="151" t="str">
        <f>IFERROR(_xlfn.TEXTJOIN("~", TRUE, ITEquipmentTable[[#This Row],[Type]],ITEquipmentTable[[#This Row],[Brand]],ITEquipmentTable[[#This Row],[Model]]), "")</f>
        <v>Laptop~HP</v>
      </c>
      <c r="J258" s="151" t="b">
        <f xml:space="preserve"> _xlfn.IFNA(MATCH( ITSecondTable[[#This Row],[Tag]], StorageTable[Tag], 0)  &gt; -1, FALSE)</f>
        <v>0</v>
      </c>
      <c r="K258" s="168" t="b">
        <f>COUNTIFS(ITEquipmentTable[Serial], ITEquipmentTable[[#This Row],[Serial]], ITEquipmentTable[Serial], "&lt;&gt;N/A") &gt; 1</f>
        <v>0</v>
      </c>
      <c r="L258" s="168" t="b">
        <f>COUNTIFS(ITEquipmentTable[Name], ITEquipmentTable[[#This Row],[Name]], ITEquipmentTable[Name], "&lt;&gt;&lt;Unassigned&gt;",  ITEquipmentTable[Name], "&lt;&gt;N/A") &gt; 1</f>
        <v>0</v>
      </c>
      <c r="M258" s="168" t="b">
        <f>AND(COUNTIFS(ITEquipmentTable[IPv4 Address], ITEquipmentTable[[#This Row],[IPv4 Address]]) &gt; 1, ITEquipmentTable[[#This Row],[IPv4 Address]] &lt;&gt; "DHCP",  ITEquipmentTable[[#This Row],[IPv4 Address]] &lt;&gt; "N/A")</f>
        <v>0</v>
      </c>
    </row>
    <row r="259" spans="1:13" x14ac:dyDescent="0.2">
      <c r="A259" s="168">
        <f>IF(LEN(ITSecondTable[[#This Row],[Tag]]) &gt; 0, _xlfn.XLOOKUP(ITSecondTable[[#This Row],[Tag]],StorageTable[Tag], StorageTable[In Storage - Count Total], "Err", 0, 1), 0)</f>
        <v>0</v>
      </c>
      <c r="B259" s="1">
        <f>_xlfn.LET(_xlpm.loc, ITEquipmentTable[Storage Location],
COUNTIFS(ITSecondTable[Tag], ITSecondTable[[#This Row],[Tag]], _xlpm.loc, "&lt;&gt;In Use", _xlpm.loc, "&lt;&gt;",  _xlpm.loc, "&lt;&gt;E-Waste", _xlpm.loc, "&lt;&gt;Virtual",  _xlpm.loc, "&lt;&gt;Assigned to Employee", _xlpm.loc, "&lt;&gt;Decommisioned", _xlpm.loc, "&lt;&gt;Missing")
)</f>
        <v>0</v>
      </c>
      <c r="C259" s="1">
        <f>_xlfn.LET(_xlpm.loc, ITEquipmentTable[Storage Location],
COUNTIFS(ITSecondTable[Tag], ITSecondTable[[#This Row],[Tag]], _xlpm.loc, "&lt;&gt;E-Waste", _xlpm.loc, "&lt;&gt;Virtual", _xlpm.loc, "&lt;&gt;Decommisioned")
)</f>
        <v>2</v>
      </c>
      <c r="D259" s="168">
        <f>_xlfn.LET(_xlpm.loc, ITEquipmentTable[Storage Location],
COUNTIFS(ITSecondTable[Tag], ITSecondTable[[#This Row],[Tag]], _xlpm.loc, "Missing")
)</f>
        <v>0</v>
      </c>
      <c r="E259" s="168">
        <f>_xlfn.LET(_xlpm.loc, ITEquipmentTable[Storage Location],
COUNTIFS(ITSecondTable[Tag], ITSecondTable[[#This Row],[Tag]], _xlpm.loc, "In Use") + COUNTIFS(ITSecondTable[Tag], ITSecondTable[[#This Row],[Tag]], _xlpm.loc, "Assigned to Employee")
)</f>
        <v>1</v>
      </c>
      <c r="F259" s="168">
        <f>_xlfn.LET(_xlpm.loc, ITEquipmentTable[Storage Location],
COUNTIFS(ITSecondTable[Tag], ITSecondTable[[#This Row],[Tag]], _xlpm.loc, "")
)</f>
        <v>1</v>
      </c>
      <c r="G259" s="168">
        <f>MAX(ITSecondTable[[#This Row],[SQty]] - ITSecondTable[[#This Row],[IQty]], 0)</f>
        <v>0</v>
      </c>
      <c r="H259" s="168">
        <f>MAX(ITSecondTable[[#This Row],[IQty]]-ITSecondTable[[#This Row],[SQty]], 0)</f>
        <v>0</v>
      </c>
      <c r="I259" s="151" t="str">
        <f>IFERROR(_xlfn.TEXTJOIN("~", TRUE, ITEquipmentTable[[#This Row],[Type]],ITEquipmentTable[[#This Row],[Brand]],ITEquipmentTable[[#This Row],[Model]]), "")</f>
        <v>Laptop~HP~HP ProBook 650 G4</v>
      </c>
      <c r="J259" s="151" t="b">
        <f xml:space="preserve"> _xlfn.IFNA(MATCH( ITSecondTable[[#This Row],[Tag]], StorageTable[Tag], 0)  &gt; -1, FALSE)</f>
        <v>0</v>
      </c>
      <c r="K259" s="168" t="b">
        <f>COUNTIFS(ITEquipmentTable[Serial], ITEquipmentTable[[#This Row],[Serial]], ITEquipmentTable[Serial], "&lt;&gt;N/A") &gt; 1</f>
        <v>0</v>
      </c>
      <c r="L259" s="168" t="b">
        <f>COUNTIFS(ITEquipmentTable[Name], ITEquipmentTable[[#This Row],[Name]], ITEquipmentTable[Name], "&lt;&gt;&lt;Unassigned&gt;",  ITEquipmentTable[Name], "&lt;&gt;N/A") &gt; 1</f>
        <v>0</v>
      </c>
      <c r="M259" s="168" t="b">
        <f>AND(COUNTIFS(ITEquipmentTable[IPv4 Address], ITEquipmentTable[[#This Row],[IPv4 Address]]) &gt; 1, ITEquipmentTable[[#This Row],[IPv4 Address]] &lt;&gt; "DHCP",  ITEquipmentTable[[#This Row],[IPv4 Address]] &lt;&gt; "N/A")</f>
        <v>0</v>
      </c>
    </row>
    <row r="260" spans="1:13" x14ac:dyDescent="0.2">
      <c r="A260" s="168">
        <f>IF(LEN(ITSecondTable[[#This Row],[Tag]]) &gt; 0, _xlfn.XLOOKUP(ITSecondTable[[#This Row],[Tag]],StorageTable[Tag], StorageTable[In Storage - Count Total], "Err", 0, 1), 0)</f>
        <v>0</v>
      </c>
      <c r="B260" s="1">
        <f>_xlfn.LET(_xlpm.loc, ITEquipmentTable[Storage Location],
COUNTIFS(ITSecondTable[Tag], ITSecondTable[[#This Row],[Tag]], _xlpm.loc, "&lt;&gt;In Use", _xlpm.loc, "&lt;&gt;",  _xlpm.loc, "&lt;&gt;E-Waste", _xlpm.loc, "&lt;&gt;Virtual",  _xlpm.loc, "&lt;&gt;Assigned to Employee", _xlpm.loc, "&lt;&gt;Decommisioned", _xlpm.loc, "&lt;&gt;Missing")
)</f>
        <v>0</v>
      </c>
      <c r="C260" s="1">
        <f>_xlfn.LET(_xlpm.loc, ITEquipmentTable[Storage Location],
COUNTIFS(ITSecondTable[Tag], ITSecondTable[[#This Row],[Tag]], _xlpm.loc, "&lt;&gt;E-Waste", _xlpm.loc, "&lt;&gt;Virtual", _xlpm.loc, "&lt;&gt;Decommisioned")
)</f>
        <v>78</v>
      </c>
      <c r="D260" s="168">
        <f>_xlfn.LET(_xlpm.loc, ITEquipmentTable[Storage Location],
COUNTIFS(ITSecondTable[Tag], ITSecondTable[[#This Row],[Tag]], _xlpm.loc, "Missing")
)</f>
        <v>0</v>
      </c>
      <c r="E260" s="168">
        <f>_xlfn.LET(_xlpm.loc, ITEquipmentTable[Storage Location],
COUNTIFS(ITSecondTable[Tag], ITSecondTable[[#This Row],[Tag]], _xlpm.loc, "In Use") + COUNTIFS(ITSecondTable[Tag], ITSecondTable[[#This Row],[Tag]], _xlpm.loc, "Assigned to Employee")
)</f>
        <v>44</v>
      </c>
      <c r="F260" s="168">
        <f>_xlfn.LET(_xlpm.loc, ITEquipmentTable[Storage Location],
COUNTIFS(ITSecondTable[Tag], ITSecondTable[[#This Row],[Tag]], _xlpm.loc, "")
)</f>
        <v>34</v>
      </c>
      <c r="G260" s="168">
        <f>MAX(ITSecondTable[[#This Row],[SQty]] - ITSecondTable[[#This Row],[IQty]], 0)</f>
        <v>0</v>
      </c>
      <c r="H260" s="168">
        <f>MAX(ITSecondTable[[#This Row],[IQty]]-ITSecondTable[[#This Row],[SQty]], 0)</f>
        <v>0</v>
      </c>
      <c r="I260" s="151" t="str">
        <f>IFERROR(_xlfn.TEXTJOIN("~", TRUE, ITEquipmentTable[[#This Row],[Type]],ITEquipmentTable[[#This Row],[Brand]],ITEquipmentTable[[#This Row],[Model]]), "")</f>
        <v>Laptop~HP</v>
      </c>
      <c r="J260" s="151" t="b">
        <f xml:space="preserve"> _xlfn.IFNA(MATCH( ITSecondTable[[#This Row],[Tag]], StorageTable[Tag], 0)  &gt; -1, FALSE)</f>
        <v>0</v>
      </c>
      <c r="K260" s="168" t="b">
        <f>COUNTIFS(ITEquipmentTable[Serial], ITEquipmentTable[[#This Row],[Serial]], ITEquipmentTable[Serial], "&lt;&gt;N/A") &gt; 1</f>
        <v>0</v>
      </c>
      <c r="L260" s="168" t="b">
        <f>COUNTIFS(ITEquipmentTable[Name], ITEquipmentTable[[#This Row],[Name]], ITEquipmentTable[Name], "&lt;&gt;&lt;Unassigned&gt;",  ITEquipmentTable[Name], "&lt;&gt;N/A") &gt; 1</f>
        <v>0</v>
      </c>
      <c r="M260" s="168" t="b">
        <f>AND(COUNTIFS(ITEquipmentTable[IPv4 Address], ITEquipmentTable[[#This Row],[IPv4 Address]]) &gt; 1, ITEquipmentTable[[#This Row],[IPv4 Address]] &lt;&gt; "DHCP",  ITEquipmentTable[[#This Row],[IPv4 Address]] &lt;&gt; "N/A")</f>
        <v>0</v>
      </c>
    </row>
    <row r="261" spans="1:13" x14ac:dyDescent="0.2">
      <c r="A261" s="168">
        <f>IF(LEN(ITSecondTable[[#This Row],[Tag]]) &gt; 0, _xlfn.XLOOKUP(ITSecondTable[[#This Row],[Tag]],StorageTable[Tag], StorageTable[In Storage - Count Total], "Err", 0, 1), 0)</f>
        <v>0</v>
      </c>
      <c r="B261" s="1">
        <f>_xlfn.LET(_xlpm.loc, ITEquipmentTable[Storage Location],
COUNTIFS(ITSecondTable[Tag], ITSecondTable[[#This Row],[Tag]], _xlpm.loc, "&lt;&gt;In Use", _xlpm.loc, "&lt;&gt;",  _xlpm.loc, "&lt;&gt;E-Waste", _xlpm.loc, "&lt;&gt;Virtual",  _xlpm.loc, "&lt;&gt;Assigned to Employee", _xlpm.loc, "&lt;&gt;Decommisioned", _xlpm.loc, "&lt;&gt;Missing")
)</f>
        <v>0</v>
      </c>
      <c r="C261" s="1">
        <f>_xlfn.LET(_xlpm.loc, ITEquipmentTable[Storage Location],
COUNTIFS(ITSecondTable[Tag], ITSecondTable[[#This Row],[Tag]], _xlpm.loc, "&lt;&gt;E-Waste", _xlpm.loc, "&lt;&gt;Virtual", _xlpm.loc, "&lt;&gt;Decommisioned")
)</f>
        <v>15</v>
      </c>
      <c r="D261" s="168">
        <f>_xlfn.LET(_xlpm.loc, ITEquipmentTable[Storage Location],
COUNTIFS(ITSecondTable[Tag], ITSecondTable[[#This Row],[Tag]], _xlpm.loc, "Missing")
)</f>
        <v>0</v>
      </c>
      <c r="E261" s="168">
        <f>_xlfn.LET(_xlpm.loc, ITEquipmentTable[Storage Location],
COUNTIFS(ITSecondTable[Tag], ITSecondTable[[#This Row],[Tag]], _xlpm.loc, "In Use") + COUNTIFS(ITSecondTable[Tag], ITSecondTable[[#This Row],[Tag]], _xlpm.loc, "Assigned to Employee")
)</f>
        <v>2</v>
      </c>
      <c r="F261" s="168">
        <f>_xlfn.LET(_xlpm.loc, ITEquipmentTable[Storage Location],
COUNTIFS(ITSecondTable[Tag], ITSecondTable[[#This Row],[Tag]], _xlpm.loc, "")
)</f>
        <v>13</v>
      </c>
      <c r="G261" s="168">
        <f>MAX(ITSecondTable[[#This Row],[SQty]] - ITSecondTable[[#This Row],[IQty]], 0)</f>
        <v>0</v>
      </c>
      <c r="H261" s="168">
        <f>MAX(ITSecondTable[[#This Row],[IQty]]-ITSecondTable[[#This Row],[SQty]], 0)</f>
        <v>0</v>
      </c>
      <c r="I261" s="151" t="str">
        <f>IFERROR(_xlfn.TEXTJOIN("~", TRUE, ITEquipmentTable[[#This Row],[Type]],ITEquipmentTable[[#This Row],[Brand]],ITEquipmentTable[[#This Row],[Model]]), "")</f>
        <v>Tablet</v>
      </c>
      <c r="J261" s="151" t="b">
        <f xml:space="preserve"> _xlfn.IFNA(MATCH( ITSecondTable[[#This Row],[Tag]], StorageTable[Tag], 0)  &gt; -1, FALSE)</f>
        <v>1</v>
      </c>
      <c r="K261" s="168" t="b">
        <f>COUNTIFS(ITEquipmentTable[Serial], ITEquipmentTable[[#This Row],[Serial]], ITEquipmentTable[Serial], "&lt;&gt;N/A") &gt; 1</f>
        <v>0</v>
      </c>
      <c r="L261" s="168" t="b">
        <f>COUNTIFS(ITEquipmentTable[Name], ITEquipmentTable[[#This Row],[Name]], ITEquipmentTable[Name], "&lt;&gt;&lt;Unassigned&gt;",  ITEquipmentTable[Name], "&lt;&gt;N/A") &gt; 1</f>
        <v>0</v>
      </c>
      <c r="M261" s="168" t="b">
        <f>AND(COUNTIFS(ITEquipmentTable[IPv4 Address], ITEquipmentTable[[#This Row],[IPv4 Address]]) &gt; 1, ITEquipmentTable[[#This Row],[IPv4 Address]] &lt;&gt; "DHCP",  ITEquipmentTable[[#This Row],[IPv4 Address]] &lt;&gt; "N/A")</f>
        <v>0</v>
      </c>
    </row>
    <row r="262" spans="1:13" x14ac:dyDescent="0.2">
      <c r="A262" s="168">
        <f>IF(LEN(ITSecondTable[[#This Row],[Tag]]) &gt; 0, _xlfn.XLOOKUP(ITSecondTable[[#This Row],[Tag]],StorageTable[Tag], StorageTable[In Storage - Count Total], "Err", 0, 1), 0)</f>
        <v>0</v>
      </c>
      <c r="B262" s="1">
        <f>_xlfn.LET(_xlpm.loc, ITEquipmentTable[Storage Location],
COUNTIFS(ITSecondTable[Tag], ITSecondTable[[#This Row],[Tag]], _xlpm.loc, "&lt;&gt;In Use", _xlpm.loc, "&lt;&gt;",  _xlpm.loc, "&lt;&gt;E-Waste", _xlpm.loc, "&lt;&gt;Virtual",  _xlpm.loc, "&lt;&gt;Assigned to Employee", _xlpm.loc, "&lt;&gt;Decommisioned", _xlpm.loc, "&lt;&gt;Missing")
)</f>
        <v>0</v>
      </c>
      <c r="C262" s="1">
        <f>_xlfn.LET(_xlpm.loc, ITEquipmentTable[Storage Location],
COUNTIFS(ITSecondTable[Tag], ITSecondTable[[#This Row],[Tag]], _xlpm.loc, "&lt;&gt;E-Waste", _xlpm.loc, "&lt;&gt;Virtual", _xlpm.loc, "&lt;&gt;Decommisioned")
)</f>
        <v>78</v>
      </c>
      <c r="D262" s="168">
        <f>_xlfn.LET(_xlpm.loc, ITEquipmentTable[Storage Location],
COUNTIFS(ITSecondTable[Tag], ITSecondTable[[#This Row],[Tag]], _xlpm.loc, "Missing")
)</f>
        <v>0</v>
      </c>
      <c r="E262" s="168">
        <f>_xlfn.LET(_xlpm.loc, ITEquipmentTable[Storage Location],
COUNTIFS(ITSecondTable[Tag], ITSecondTable[[#This Row],[Tag]], _xlpm.loc, "In Use") + COUNTIFS(ITSecondTable[Tag], ITSecondTable[[#This Row],[Tag]], _xlpm.loc, "Assigned to Employee")
)</f>
        <v>44</v>
      </c>
      <c r="F262" s="168">
        <f>_xlfn.LET(_xlpm.loc, ITEquipmentTable[Storage Location],
COUNTIFS(ITSecondTable[Tag], ITSecondTable[[#This Row],[Tag]], _xlpm.loc, "")
)</f>
        <v>34</v>
      </c>
      <c r="G262" s="168">
        <f>MAX(ITSecondTable[[#This Row],[SQty]] - ITSecondTable[[#This Row],[IQty]], 0)</f>
        <v>0</v>
      </c>
      <c r="H262" s="168">
        <f>MAX(ITSecondTable[[#This Row],[IQty]]-ITSecondTable[[#This Row],[SQty]], 0)</f>
        <v>0</v>
      </c>
      <c r="I262" s="151" t="str">
        <f>IFERROR(_xlfn.TEXTJOIN("~", TRUE, ITEquipmentTable[[#This Row],[Type]],ITEquipmentTable[[#This Row],[Brand]],ITEquipmentTable[[#This Row],[Model]]), "")</f>
        <v>Laptop~HP</v>
      </c>
      <c r="J262" s="151" t="b">
        <f xml:space="preserve"> _xlfn.IFNA(MATCH( ITSecondTable[[#This Row],[Tag]], StorageTable[Tag], 0)  &gt; -1, FALSE)</f>
        <v>0</v>
      </c>
      <c r="K262" s="168" t="b">
        <f>COUNTIFS(ITEquipmentTable[Serial], ITEquipmentTable[[#This Row],[Serial]], ITEquipmentTable[Serial], "&lt;&gt;N/A") &gt; 1</f>
        <v>0</v>
      </c>
      <c r="L262" s="168" t="b">
        <f>COUNTIFS(ITEquipmentTable[Name], ITEquipmentTable[[#This Row],[Name]], ITEquipmentTable[Name], "&lt;&gt;&lt;Unassigned&gt;",  ITEquipmentTable[Name], "&lt;&gt;N/A") &gt; 1</f>
        <v>0</v>
      </c>
      <c r="M262" s="168" t="b">
        <f>AND(COUNTIFS(ITEquipmentTable[IPv4 Address], ITEquipmentTable[[#This Row],[IPv4 Address]]) &gt; 1, ITEquipmentTable[[#This Row],[IPv4 Address]] &lt;&gt; "DHCP",  ITEquipmentTable[[#This Row],[IPv4 Address]] &lt;&gt; "N/A")</f>
        <v>0</v>
      </c>
    </row>
    <row r="263" spans="1:13" x14ac:dyDescent="0.2">
      <c r="A263" s="168">
        <f>IF(LEN(ITSecondTable[[#This Row],[Tag]]) &gt; 0, _xlfn.XLOOKUP(ITSecondTable[[#This Row],[Tag]],StorageTable[Tag], StorageTable[In Storage - Count Total], "Err", 0, 1), 0)</f>
        <v>0</v>
      </c>
      <c r="B263" s="1">
        <f>_xlfn.LET(_xlpm.loc, ITEquipmentTable[Storage Location],
COUNTIFS(ITSecondTable[Tag], ITSecondTable[[#This Row],[Tag]], _xlpm.loc, "&lt;&gt;In Use", _xlpm.loc, "&lt;&gt;",  _xlpm.loc, "&lt;&gt;E-Waste", _xlpm.loc, "&lt;&gt;Virtual",  _xlpm.loc, "&lt;&gt;Assigned to Employee", _xlpm.loc, "&lt;&gt;Decommisioned", _xlpm.loc, "&lt;&gt;Missing")
)</f>
        <v>0</v>
      </c>
      <c r="C263" s="1">
        <f>_xlfn.LET(_xlpm.loc, ITEquipmentTable[Storage Location],
COUNTIFS(ITSecondTable[Tag], ITSecondTable[[#This Row],[Tag]], _xlpm.loc, "&lt;&gt;E-Waste", _xlpm.loc, "&lt;&gt;Virtual", _xlpm.loc, "&lt;&gt;Decommisioned")
)</f>
        <v>78</v>
      </c>
      <c r="D263" s="168">
        <f>_xlfn.LET(_xlpm.loc, ITEquipmentTable[Storage Location],
COUNTIFS(ITSecondTable[Tag], ITSecondTable[[#This Row],[Tag]], _xlpm.loc, "Missing")
)</f>
        <v>0</v>
      </c>
      <c r="E263" s="168">
        <f>_xlfn.LET(_xlpm.loc, ITEquipmentTable[Storage Location],
COUNTIFS(ITSecondTable[Tag], ITSecondTable[[#This Row],[Tag]], _xlpm.loc, "In Use") + COUNTIFS(ITSecondTable[Tag], ITSecondTable[[#This Row],[Tag]], _xlpm.loc, "Assigned to Employee")
)</f>
        <v>44</v>
      </c>
      <c r="F263" s="168">
        <f>_xlfn.LET(_xlpm.loc, ITEquipmentTable[Storage Location],
COUNTIFS(ITSecondTable[Tag], ITSecondTable[[#This Row],[Tag]], _xlpm.loc, "")
)</f>
        <v>34</v>
      </c>
      <c r="G263" s="168">
        <f>MAX(ITSecondTable[[#This Row],[SQty]] - ITSecondTable[[#This Row],[IQty]], 0)</f>
        <v>0</v>
      </c>
      <c r="H263" s="168">
        <f>MAX(ITSecondTable[[#This Row],[IQty]]-ITSecondTable[[#This Row],[SQty]], 0)</f>
        <v>0</v>
      </c>
      <c r="I263" s="151" t="str">
        <f>IFERROR(_xlfn.TEXTJOIN("~", TRUE, ITEquipmentTable[[#This Row],[Type]],ITEquipmentTable[[#This Row],[Brand]],ITEquipmentTable[[#This Row],[Model]]), "")</f>
        <v>Laptop~HP</v>
      </c>
      <c r="J263" s="151" t="b">
        <f xml:space="preserve"> _xlfn.IFNA(MATCH( ITSecondTable[[#This Row],[Tag]], StorageTable[Tag], 0)  &gt; -1, FALSE)</f>
        <v>0</v>
      </c>
      <c r="K263" s="168" t="b">
        <f>COUNTIFS(ITEquipmentTable[Serial], ITEquipmentTable[[#This Row],[Serial]], ITEquipmentTable[Serial], "&lt;&gt;N/A") &gt; 1</f>
        <v>0</v>
      </c>
      <c r="L263" s="168" t="b">
        <f>COUNTIFS(ITEquipmentTable[Name], ITEquipmentTable[[#This Row],[Name]], ITEquipmentTable[Name], "&lt;&gt;&lt;Unassigned&gt;",  ITEquipmentTable[Name], "&lt;&gt;N/A") &gt; 1</f>
        <v>0</v>
      </c>
      <c r="M263" s="168" t="b">
        <f>AND(COUNTIFS(ITEquipmentTable[IPv4 Address], ITEquipmentTable[[#This Row],[IPv4 Address]]) &gt; 1, ITEquipmentTable[[#This Row],[IPv4 Address]] &lt;&gt; "DHCP",  ITEquipmentTable[[#This Row],[IPv4 Address]] &lt;&gt; "N/A")</f>
        <v>0</v>
      </c>
    </row>
    <row r="264" spans="1:13" x14ac:dyDescent="0.2">
      <c r="A264" s="168">
        <f>IF(LEN(ITSecondTable[[#This Row],[Tag]]) &gt; 0, _xlfn.XLOOKUP(ITSecondTable[[#This Row],[Tag]],StorageTable[Tag], StorageTable[In Storage - Count Total], "Err", 0, 1), 0)</f>
        <v>0</v>
      </c>
      <c r="B264" s="1">
        <f>_xlfn.LET(_xlpm.loc, ITEquipmentTable[Storage Location],
COUNTIFS(ITSecondTable[Tag], ITSecondTable[[#This Row],[Tag]], _xlpm.loc, "&lt;&gt;In Use", _xlpm.loc, "&lt;&gt;",  _xlpm.loc, "&lt;&gt;E-Waste", _xlpm.loc, "&lt;&gt;Virtual",  _xlpm.loc, "&lt;&gt;Assigned to Employee", _xlpm.loc, "&lt;&gt;Decommisioned", _xlpm.loc, "&lt;&gt;Missing")
)</f>
        <v>0</v>
      </c>
      <c r="C264" s="1">
        <f>_xlfn.LET(_xlpm.loc, ITEquipmentTable[Storage Location],
COUNTIFS(ITSecondTable[Tag], ITSecondTable[[#This Row],[Tag]], _xlpm.loc, "&lt;&gt;E-Waste", _xlpm.loc, "&lt;&gt;Virtual", _xlpm.loc, "&lt;&gt;Decommisioned")
)</f>
        <v>15</v>
      </c>
      <c r="D264" s="168">
        <f>_xlfn.LET(_xlpm.loc, ITEquipmentTable[Storage Location],
COUNTIFS(ITSecondTable[Tag], ITSecondTable[[#This Row],[Tag]], _xlpm.loc, "Missing")
)</f>
        <v>0</v>
      </c>
      <c r="E264" s="168">
        <f>_xlfn.LET(_xlpm.loc, ITEquipmentTable[Storage Location],
COUNTIFS(ITSecondTable[Tag], ITSecondTable[[#This Row],[Tag]], _xlpm.loc, "In Use") + COUNTIFS(ITSecondTable[Tag], ITSecondTable[[#This Row],[Tag]], _xlpm.loc, "Assigned to Employee")
)</f>
        <v>2</v>
      </c>
      <c r="F264" s="168">
        <f>_xlfn.LET(_xlpm.loc, ITEquipmentTable[Storage Location],
COUNTIFS(ITSecondTable[Tag], ITSecondTable[[#This Row],[Tag]], _xlpm.loc, "")
)</f>
        <v>13</v>
      </c>
      <c r="G264" s="168">
        <f>MAX(ITSecondTable[[#This Row],[SQty]] - ITSecondTable[[#This Row],[IQty]], 0)</f>
        <v>0</v>
      </c>
      <c r="H264" s="168">
        <f>MAX(ITSecondTable[[#This Row],[IQty]]-ITSecondTable[[#This Row],[SQty]], 0)</f>
        <v>0</v>
      </c>
      <c r="I264" s="151" t="str">
        <f>IFERROR(_xlfn.TEXTJOIN("~", TRUE, ITEquipmentTable[[#This Row],[Type]],ITEquipmentTable[[#This Row],[Brand]],ITEquipmentTable[[#This Row],[Model]]), "")</f>
        <v>Tablet</v>
      </c>
      <c r="J264" s="151" t="b">
        <f xml:space="preserve"> _xlfn.IFNA(MATCH( ITSecondTable[[#This Row],[Tag]], StorageTable[Tag], 0)  &gt; -1, FALSE)</f>
        <v>1</v>
      </c>
      <c r="K264" s="168" t="b">
        <f>COUNTIFS(ITEquipmentTable[Serial], ITEquipmentTable[[#This Row],[Serial]], ITEquipmentTable[Serial], "&lt;&gt;N/A") &gt; 1</f>
        <v>0</v>
      </c>
      <c r="L264" s="168" t="b">
        <f>COUNTIFS(ITEquipmentTable[Name], ITEquipmentTable[[#This Row],[Name]], ITEquipmentTable[Name], "&lt;&gt;&lt;Unassigned&gt;",  ITEquipmentTable[Name], "&lt;&gt;N/A") &gt; 1</f>
        <v>0</v>
      </c>
      <c r="M264" s="168" t="b">
        <f>AND(COUNTIFS(ITEquipmentTable[IPv4 Address], ITEquipmentTable[[#This Row],[IPv4 Address]]) &gt; 1, ITEquipmentTable[[#This Row],[IPv4 Address]] &lt;&gt; "DHCP",  ITEquipmentTable[[#This Row],[IPv4 Address]] &lt;&gt; "N/A")</f>
        <v>0</v>
      </c>
    </row>
    <row r="265" spans="1:13" x14ac:dyDescent="0.2">
      <c r="A265" s="168">
        <f>IF(LEN(ITSecondTable[[#This Row],[Tag]]) &gt; 0, _xlfn.XLOOKUP(ITSecondTable[[#This Row],[Tag]],StorageTable[Tag], StorageTable[In Storage - Count Total], "Err", 0, 1), 0)</f>
        <v>0</v>
      </c>
      <c r="B265" s="1">
        <f>_xlfn.LET(_xlpm.loc, ITEquipmentTable[Storage Location],
COUNTIFS(ITSecondTable[Tag], ITSecondTable[[#This Row],[Tag]], _xlpm.loc, "&lt;&gt;In Use", _xlpm.loc, "&lt;&gt;",  _xlpm.loc, "&lt;&gt;E-Waste", _xlpm.loc, "&lt;&gt;Virtual",  _xlpm.loc, "&lt;&gt;Assigned to Employee", _xlpm.loc, "&lt;&gt;Decommisioned", _xlpm.loc, "&lt;&gt;Missing")
)</f>
        <v>0</v>
      </c>
      <c r="C265" s="1">
        <f>_xlfn.LET(_xlpm.loc, ITEquipmentTable[Storage Location],
COUNTIFS(ITSecondTable[Tag], ITSecondTable[[#This Row],[Tag]], _xlpm.loc, "&lt;&gt;E-Waste", _xlpm.loc, "&lt;&gt;Virtual", _xlpm.loc, "&lt;&gt;Decommisioned")
)</f>
        <v>15</v>
      </c>
      <c r="D265" s="168">
        <f>_xlfn.LET(_xlpm.loc, ITEquipmentTable[Storage Location],
COUNTIFS(ITSecondTable[Tag], ITSecondTable[[#This Row],[Tag]], _xlpm.loc, "Missing")
)</f>
        <v>0</v>
      </c>
      <c r="E265" s="168">
        <f>_xlfn.LET(_xlpm.loc, ITEquipmentTable[Storage Location],
COUNTIFS(ITSecondTable[Tag], ITSecondTable[[#This Row],[Tag]], _xlpm.loc, "In Use") + COUNTIFS(ITSecondTable[Tag], ITSecondTable[[#This Row],[Tag]], _xlpm.loc, "Assigned to Employee")
)</f>
        <v>2</v>
      </c>
      <c r="F265" s="168">
        <f>_xlfn.LET(_xlpm.loc, ITEquipmentTable[Storage Location],
COUNTIFS(ITSecondTable[Tag], ITSecondTable[[#This Row],[Tag]], _xlpm.loc, "")
)</f>
        <v>13</v>
      </c>
      <c r="G265" s="168">
        <f>MAX(ITSecondTable[[#This Row],[SQty]] - ITSecondTable[[#This Row],[IQty]], 0)</f>
        <v>0</v>
      </c>
      <c r="H265" s="168">
        <f>MAX(ITSecondTable[[#This Row],[IQty]]-ITSecondTable[[#This Row],[SQty]], 0)</f>
        <v>0</v>
      </c>
      <c r="I265" s="151" t="str">
        <f>IFERROR(_xlfn.TEXTJOIN("~", TRUE, ITEquipmentTable[[#This Row],[Type]],ITEquipmentTable[[#This Row],[Brand]],ITEquipmentTable[[#This Row],[Model]]), "")</f>
        <v>Tablet</v>
      </c>
      <c r="J265" s="151" t="b">
        <f xml:space="preserve"> _xlfn.IFNA(MATCH( ITSecondTable[[#This Row],[Tag]], StorageTable[Tag], 0)  &gt; -1, FALSE)</f>
        <v>1</v>
      </c>
      <c r="K265" s="168" t="b">
        <f>COUNTIFS(ITEquipmentTable[Serial], ITEquipmentTable[[#This Row],[Serial]], ITEquipmentTable[Serial], "&lt;&gt;N/A") &gt; 1</f>
        <v>0</v>
      </c>
      <c r="L265" s="168" t="b">
        <f>COUNTIFS(ITEquipmentTable[Name], ITEquipmentTable[[#This Row],[Name]], ITEquipmentTable[Name], "&lt;&gt;&lt;Unassigned&gt;",  ITEquipmentTable[Name], "&lt;&gt;N/A") &gt; 1</f>
        <v>0</v>
      </c>
      <c r="M265" s="168" t="b">
        <f>AND(COUNTIFS(ITEquipmentTable[IPv4 Address], ITEquipmentTable[[#This Row],[IPv4 Address]]) &gt; 1, ITEquipmentTable[[#This Row],[IPv4 Address]] &lt;&gt; "DHCP",  ITEquipmentTable[[#This Row],[IPv4 Address]] &lt;&gt; "N/A")</f>
        <v>0</v>
      </c>
    </row>
    <row r="266" spans="1:13" x14ac:dyDescent="0.2">
      <c r="A266" s="168">
        <f>IF(LEN(ITSecondTable[[#This Row],[Tag]]) &gt; 0, _xlfn.XLOOKUP(ITSecondTable[[#This Row],[Tag]],StorageTable[Tag], StorageTable[In Storage - Count Total], "Err", 0, 1), 0)</f>
        <v>0</v>
      </c>
      <c r="B266" s="1">
        <f>_xlfn.LET(_xlpm.loc, ITEquipmentTable[Storage Location],
COUNTIFS(ITSecondTable[Tag], ITSecondTable[[#This Row],[Tag]], _xlpm.loc, "&lt;&gt;In Use", _xlpm.loc, "&lt;&gt;",  _xlpm.loc, "&lt;&gt;E-Waste", _xlpm.loc, "&lt;&gt;Virtual",  _xlpm.loc, "&lt;&gt;Assigned to Employee", _xlpm.loc, "&lt;&gt;Decommisioned", _xlpm.loc, "&lt;&gt;Missing")
)</f>
        <v>0</v>
      </c>
      <c r="C266" s="1">
        <f>_xlfn.LET(_xlpm.loc, ITEquipmentTable[Storage Location],
COUNTIFS(ITSecondTable[Tag], ITSecondTable[[#This Row],[Tag]], _xlpm.loc, "&lt;&gt;E-Waste", _xlpm.loc, "&lt;&gt;Virtual", _xlpm.loc, "&lt;&gt;Decommisioned")
)</f>
        <v>1</v>
      </c>
      <c r="D266" s="168">
        <f>_xlfn.LET(_xlpm.loc, ITEquipmentTable[Storage Location],
COUNTIFS(ITSecondTable[Tag], ITSecondTable[[#This Row],[Tag]], _xlpm.loc, "Missing")
)</f>
        <v>0</v>
      </c>
      <c r="E266" s="168">
        <f>_xlfn.LET(_xlpm.loc, ITEquipmentTable[Storage Location],
COUNTIFS(ITSecondTable[Tag], ITSecondTable[[#This Row],[Tag]], _xlpm.loc, "In Use") + COUNTIFS(ITSecondTable[Tag], ITSecondTable[[#This Row],[Tag]], _xlpm.loc, "Assigned to Employee")
)</f>
        <v>1</v>
      </c>
      <c r="F266" s="168">
        <f>_xlfn.LET(_xlpm.loc, ITEquipmentTable[Storage Location],
COUNTIFS(ITSecondTable[Tag], ITSecondTable[[#This Row],[Tag]], _xlpm.loc, "")
)</f>
        <v>0</v>
      </c>
      <c r="G266" s="168">
        <f>MAX(ITSecondTable[[#This Row],[SQty]] - ITSecondTable[[#This Row],[IQty]], 0)</f>
        <v>0</v>
      </c>
      <c r="H266" s="168">
        <f>MAX(ITSecondTable[[#This Row],[IQty]]-ITSecondTable[[#This Row],[SQty]], 0)</f>
        <v>0</v>
      </c>
      <c r="I266" s="151" t="str">
        <f>IFERROR(_xlfn.TEXTJOIN("~", TRUE, ITEquipmentTable[[#This Row],[Type]],ITEquipmentTable[[#This Row],[Brand]],ITEquipmentTable[[#This Row],[Model]]), "")</f>
        <v>Tablet~Microsoft~Surface Pro Model 1866</v>
      </c>
      <c r="J266" s="151" t="b">
        <f xml:space="preserve"> _xlfn.IFNA(MATCH( ITSecondTable[[#This Row],[Tag]], StorageTable[Tag], 0)  &gt; -1, FALSE)</f>
        <v>0</v>
      </c>
      <c r="K266" s="168" t="b">
        <f>COUNTIFS(ITEquipmentTable[Serial], ITEquipmentTable[[#This Row],[Serial]], ITEquipmentTable[Serial], "&lt;&gt;N/A") &gt; 1</f>
        <v>0</v>
      </c>
      <c r="L266" s="168" t="b">
        <f>COUNTIFS(ITEquipmentTable[Name], ITEquipmentTable[[#This Row],[Name]], ITEquipmentTable[Name], "&lt;&gt;&lt;Unassigned&gt;",  ITEquipmentTable[Name], "&lt;&gt;N/A") &gt; 1</f>
        <v>0</v>
      </c>
      <c r="M266" s="168" t="b">
        <f>AND(COUNTIFS(ITEquipmentTable[IPv4 Address], ITEquipmentTable[[#This Row],[IPv4 Address]]) &gt; 1, ITEquipmentTable[[#This Row],[IPv4 Address]] &lt;&gt; "DHCP",  ITEquipmentTable[[#This Row],[IPv4 Address]] &lt;&gt; "N/A")</f>
        <v>0</v>
      </c>
    </row>
    <row r="267" spans="1:13" x14ac:dyDescent="0.2">
      <c r="A267" s="168">
        <f>IF(LEN(ITSecondTable[[#This Row],[Tag]]) &gt; 0, _xlfn.XLOOKUP(ITSecondTable[[#This Row],[Tag]],StorageTable[Tag], StorageTable[In Storage - Count Total], "Err", 0, 1), 0)</f>
        <v>6</v>
      </c>
      <c r="B267" s="1">
        <f>_xlfn.LET(_xlpm.loc, ITEquipmentTable[Storage Location],
COUNTIFS(ITSecondTable[Tag], ITSecondTable[[#This Row],[Tag]], _xlpm.loc, "&lt;&gt;In Use", _xlpm.loc, "&lt;&gt;",  _xlpm.loc, "&lt;&gt;E-Waste", _xlpm.loc, "&lt;&gt;Virtual",  _xlpm.loc, "&lt;&gt;Assigned to Employee", _xlpm.loc, "&lt;&gt;Decommisioned", _xlpm.loc, "&lt;&gt;Missing")
)</f>
        <v>17</v>
      </c>
      <c r="C267" s="1">
        <f>_xlfn.LET(_xlpm.loc, ITEquipmentTable[Storage Location],
COUNTIFS(ITSecondTable[Tag], ITSecondTable[[#This Row],[Tag]], _xlpm.loc, "&lt;&gt;E-Waste", _xlpm.loc, "&lt;&gt;Virtual", _xlpm.loc, "&lt;&gt;Decommisioned")
)</f>
        <v>64</v>
      </c>
      <c r="D267" s="168">
        <f>_xlfn.LET(_xlpm.loc, ITEquipmentTable[Storage Location],
COUNTIFS(ITSecondTable[Tag], ITSecondTable[[#This Row],[Tag]], _xlpm.loc, "Missing")
)</f>
        <v>0</v>
      </c>
      <c r="E267" s="168">
        <f>_xlfn.LET(_xlpm.loc, ITEquipmentTable[Storage Location],
COUNTIFS(ITSecondTable[Tag], ITSecondTable[[#This Row],[Tag]], _xlpm.loc, "In Use") + COUNTIFS(ITSecondTable[Tag], ITSecondTable[[#This Row],[Tag]], _xlpm.loc, "Assigned to Employee")
)</f>
        <v>30</v>
      </c>
      <c r="F267" s="168">
        <f>_xlfn.LET(_xlpm.loc, ITEquipmentTable[Storage Location],
COUNTIFS(ITSecondTable[Tag], ITSecondTable[[#This Row],[Tag]], _xlpm.loc, "")
)</f>
        <v>17</v>
      </c>
      <c r="G267" s="168">
        <f>MAX(ITSecondTable[[#This Row],[SQty]] - ITSecondTable[[#This Row],[IQty]], 0)</f>
        <v>11</v>
      </c>
      <c r="H267" s="168">
        <f>MAX(ITSecondTable[[#This Row],[IQty]]-ITSecondTable[[#This Row],[SQty]], 0)</f>
        <v>0</v>
      </c>
      <c r="I267" s="151" t="str">
        <f>IFERROR(_xlfn.TEXTJOIN("~", TRUE, ITEquipmentTable[[#This Row],[Type]],ITEquipmentTable[[#This Row],[Brand]],ITEquipmentTable[[#This Row],[Model]]), "")</f>
        <v>Desktop~Dell~OptiPlex 3040</v>
      </c>
      <c r="J267" s="151" t="b">
        <f xml:space="preserve"> _xlfn.IFNA(MATCH( ITSecondTable[[#This Row],[Tag]], StorageTable[Tag], 0)  &gt; -1, FALSE)</f>
        <v>0</v>
      </c>
      <c r="K267" s="168" t="b">
        <f>COUNTIFS(ITEquipmentTable[Serial], ITEquipmentTable[[#This Row],[Serial]], ITEquipmentTable[Serial], "&lt;&gt;N/A") &gt; 1</f>
        <v>0</v>
      </c>
      <c r="L267" s="168" t="b">
        <f>COUNTIFS(ITEquipmentTable[Name], ITEquipmentTable[[#This Row],[Name]], ITEquipmentTable[Name], "&lt;&gt;&lt;Unassigned&gt;",  ITEquipmentTable[Name], "&lt;&gt;N/A") &gt; 1</f>
        <v>0</v>
      </c>
      <c r="M267" s="168" t="b">
        <f>AND(COUNTIFS(ITEquipmentTable[IPv4 Address], ITEquipmentTable[[#This Row],[IPv4 Address]]) &gt; 1, ITEquipmentTable[[#This Row],[IPv4 Address]] &lt;&gt; "DHCP",  ITEquipmentTable[[#This Row],[IPv4 Address]] &lt;&gt; "N/A")</f>
        <v>0</v>
      </c>
    </row>
    <row r="268" spans="1:13" x14ac:dyDescent="0.2">
      <c r="A268" s="168">
        <f>IF(LEN(ITSecondTable[[#This Row],[Tag]]) &gt; 0, _xlfn.XLOOKUP(ITSecondTable[[#This Row],[Tag]],StorageTable[Tag], StorageTable[In Storage - Count Total], "Err", 0, 1), 0)</f>
        <v>0</v>
      </c>
      <c r="B268" s="1">
        <f>_xlfn.LET(_xlpm.loc, ITEquipmentTable[Storage Location],
COUNTIFS(ITSecondTable[Tag], ITSecondTable[[#This Row],[Tag]], _xlpm.loc, "&lt;&gt;In Use", _xlpm.loc, "&lt;&gt;",  _xlpm.loc, "&lt;&gt;E-Waste", _xlpm.loc, "&lt;&gt;Virtual",  _xlpm.loc, "&lt;&gt;Assigned to Employee", _xlpm.loc, "&lt;&gt;Decommisioned", _xlpm.loc, "&lt;&gt;Missing")
)</f>
        <v>0</v>
      </c>
      <c r="C268" s="1">
        <f>_xlfn.LET(_xlpm.loc, ITEquipmentTable[Storage Location],
COUNTIFS(ITSecondTable[Tag], ITSecondTable[[#This Row],[Tag]], _xlpm.loc, "&lt;&gt;E-Waste", _xlpm.loc, "&lt;&gt;Virtual", _xlpm.loc, "&lt;&gt;Decommisioned")
)</f>
        <v>12</v>
      </c>
      <c r="D268" s="168">
        <f>_xlfn.LET(_xlpm.loc, ITEquipmentTable[Storage Location],
COUNTIFS(ITSecondTable[Tag], ITSecondTable[[#This Row],[Tag]], _xlpm.loc, "Missing")
)</f>
        <v>0</v>
      </c>
      <c r="E268" s="168">
        <f>_xlfn.LET(_xlpm.loc, ITEquipmentTable[Storage Location],
COUNTIFS(ITSecondTable[Tag], ITSecondTable[[#This Row],[Tag]], _xlpm.loc, "In Use") + COUNTIFS(ITSecondTable[Tag], ITSecondTable[[#This Row],[Tag]], _xlpm.loc, "Assigned to Employee")
)</f>
        <v>8</v>
      </c>
      <c r="F268" s="168">
        <f>_xlfn.LET(_xlpm.loc, ITEquipmentTable[Storage Location],
COUNTIFS(ITSecondTable[Tag], ITSecondTable[[#This Row],[Tag]], _xlpm.loc, "")
)</f>
        <v>4</v>
      </c>
      <c r="G268" s="168">
        <f>MAX(ITSecondTable[[#This Row],[SQty]] - ITSecondTable[[#This Row],[IQty]], 0)</f>
        <v>0</v>
      </c>
      <c r="H268" s="168">
        <f>MAX(ITSecondTable[[#This Row],[IQty]]-ITSecondTable[[#This Row],[SQty]], 0)</f>
        <v>0</v>
      </c>
      <c r="I268" s="151" t="str">
        <f>IFERROR(_xlfn.TEXTJOIN("~", TRUE, ITEquipmentTable[[#This Row],[Type]],ITEquipmentTable[[#This Row],[Brand]],ITEquipmentTable[[#This Row],[Model]]), "")</f>
        <v>Tablet~Microsoft~Surface Pro</v>
      </c>
      <c r="J268" s="151" t="b">
        <f xml:space="preserve"> _xlfn.IFNA(MATCH( ITSecondTable[[#This Row],[Tag]], StorageTable[Tag], 0)  &gt; -1, FALSE)</f>
        <v>0</v>
      </c>
      <c r="K268" s="168" t="b">
        <f>COUNTIFS(ITEquipmentTable[Serial], ITEquipmentTable[[#This Row],[Serial]], ITEquipmentTable[Serial], "&lt;&gt;N/A") &gt; 1</f>
        <v>0</v>
      </c>
      <c r="L268" s="168" t="b">
        <f>COUNTIFS(ITEquipmentTable[Name], ITEquipmentTable[[#This Row],[Name]], ITEquipmentTable[Name], "&lt;&gt;&lt;Unassigned&gt;",  ITEquipmentTable[Name], "&lt;&gt;N/A") &gt; 1</f>
        <v>0</v>
      </c>
      <c r="M268" s="168" t="b">
        <f>AND(COUNTIFS(ITEquipmentTable[IPv4 Address], ITEquipmentTable[[#This Row],[IPv4 Address]]) &gt; 1, ITEquipmentTable[[#This Row],[IPv4 Address]] &lt;&gt; "DHCP",  ITEquipmentTable[[#This Row],[IPv4 Address]] &lt;&gt; "N/A")</f>
        <v>0</v>
      </c>
    </row>
    <row r="269" spans="1:13" x14ac:dyDescent="0.2">
      <c r="A269" s="168">
        <f>IF(LEN(ITSecondTable[[#This Row],[Tag]]) &gt; 0, _xlfn.XLOOKUP(ITSecondTable[[#This Row],[Tag]],StorageTable[Tag], StorageTable[In Storage - Count Total], "Err", 0, 1), 0)</f>
        <v>0</v>
      </c>
      <c r="B269" s="1">
        <f>_xlfn.LET(_xlpm.loc, ITEquipmentTable[Storage Location],
COUNTIFS(ITSecondTable[Tag], ITSecondTable[[#This Row],[Tag]], _xlpm.loc, "&lt;&gt;In Use", _xlpm.loc, "&lt;&gt;",  _xlpm.loc, "&lt;&gt;E-Waste", _xlpm.loc, "&lt;&gt;Virtual",  _xlpm.loc, "&lt;&gt;Assigned to Employee", _xlpm.loc, "&lt;&gt;Decommisioned", _xlpm.loc, "&lt;&gt;Missing")
)</f>
        <v>0</v>
      </c>
      <c r="C269" s="1">
        <f>_xlfn.LET(_xlpm.loc, ITEquipmentTable[Storage Location],
COUNTIFS(ITSecondTable[Tag], ITSecondTable[[#This Row],[Tag]], _xlpm.loc, "&lt;&gt;E-Waste", _xlpm.loc, "&lt;&gt;Virtual", _xlpm.loc, "&lt;&gt;Decommisioned")
)</f>
        <v>12</v>
      </c>
      <c r="D269" s="168">
        <f>_xlfn.LET(_xlpm.loc, ITEquipmentTable[Storage Location],
COUNTIFS(ITSecondTable[Tag], ITSecondTable[[#This Row],[Tag]], _xlpm.loc, "Missing")
)</f>
        <v>0</v>
      </c>
      <c r="E269" s="168">
        <f>_xlfn.LET(_xlpm.loc, ITEquipmentTable[Storage Location],
COUNTIFS(ITSecondTable[Tag], ITSecondTable[[#This Row],[Tag]], _xlpm.loc, "In Use") + COUNTIFS(ITSecondTable[Tag], ITSecondTable[[#This Row],[Tag]], _xlpm.loc, "Assigned to Employee")
)</f>
        <v>8</v>
      </c>
      <c r="F269" s="168">
        <f>_xlfn.LET(_xlpm.loc, ITEquipmentTable[Storage Location],
COUNTIFS(ITSecondTable[Tag], ITSecondTable[[#This Row],[Tag]], _xlpm.loc, "")
)</f>
        <v>4</v>
      </c>
      <c r="G269" s="168">
        <f>MAX(ITSecondTable[[#This Row],[SQty]] - ITSecondTable[[#This Row],[IQty]], 0)</f>
        <v>0</v>
      </c>
      <c r="H269" s="168">
        <f>MAX(ITSecondTable[[#This Row],[IQty]]-ITSecondTable[[#This Row],[SQty]], 0)</f>
        <v>0</v>
      </c>
      <c r="I269" s="151" t="str">
        <f>IFERROR(_xlfn.TEXTJOIN("~", TRUE, ITEquipmentTable[[#This Row],[Type]],ITEquipmentTable[[#This Row],[Brand]],ITEquipmentTable[[#This Row],[Model]]), "")</f>
        <v>Tablet~Microsoft~Surface Pro</v>
      </c>
      <c r="J269" s="151" t="b">
        <f xml:space="preserve"> _xlfn.IFNA(MATCH( ITSecondTable[[#This Row],[Tag]], StorageTable[Tag], 0)  &gt; -1, FALSE)</f>
        <v>0</v>
      </c>
      <c r="K269" s="168" t="b">
        <f>COUNTIFS(ITEquipmentTable[Serial], ITEquipmentTable[[#This Row],[Serial]], ITEquipmentTable[Serial], "&lt;&gt;N/A") &gt; 1</f>
        <v>0</v>
      </c>
      <c r="L269" s="168" t="b">
        <f>COUNTIFS(ITEquipmentTable[Name], ITEquipmentTable[[#This Row],[Name]], ITEquipmentTable[Name], "&lt;&gt;&lt;Unassigned&gt;",  ITEquipmentTable[Name], "&lt;&gt;N/A") &gt; 1</f>
        <v>0</v>
      </c>
      <c r="M269" s="168" t="b">
        <f>AND(COUNTIFS(ITEquipmentTable[IPv4 Address], ITEquipmentTable[[#This Row],[IPv4 Address]]) &gt; 1, ITEquipmentTable[[#This Row],[IPv4 Address]] &lt;&gt; "DHCP",  ITEquipmentTable[[#This Row],[IPv4 Address]] &lt;&gt; "N/A")</f>
        <v>0</v>
      </c>
    </row>
    <row r="270" spans="1:13" x14ac:dyDescent="0.2">
      <c r="A270" s="168">
        <f>IF(LEN(ITSecondTable[[#This Row],[Tag]]) &gt; 0, _xlfn.XLOOKUP(ITSecondTable[[#This Row],[Tag]],StorageTable[Tag], StorageTable[In Storage - Count Total], "Err", 0, 1), 0)</f>
        <v>0</v>
      </c>
      <c r="B270" s="1">
        <f>_xlfn.LET(_xlpm.loc, ITEquipmentTable[Storage Location],
COUNTIFS(ITSecondTable[Tag], ITSecondTable[[#This Row],[Tag]], _xlpm.loc, "&lt;&gt;In Use", _xlpm.loc, "&lt;&gt;",  _xlpm.loc, "&lt;&gt;E-Waste", _xlpm.loc, "&lt;&gt;Virtual",  _xlpm.loc, "&lt;&gt;Assigned to Employee", _xlpm.loc, "&lt;&gt;Decommisioned", _xlpm.loc, "&lt;&gt;Missing")
)</f>
        <v>0</v>
      </c>
      <c r="C270" s="1">
        <f>_xlfn.LET(_xlpm.loc, ITEquipmentTable[Storage Location],
COUNTIFS(ITSecondTable[Tag], ITSecondTable[[#This Row],[Tag]], _xlpm.loc, "&lt;&gt;E-Waste", _xlpm.loc, "&lt;&gt;Virtual", _xlpm.loc, "&lt;&gt;Decommisioned")
)</f>
        <v>21</v>
      </c>
      <c r="D270" s="168">
        <f>_xlfn.LET(_xlpm.loc, ITEquipmentTable[Storage Location],
COUNTIFS(ITSecondTable[Tag], ITSecondTable[[#This Row],[Tag]], _xlpm.loc, "Missing")
)</f>
        <v>0</v>
      </c>
      <c r="E270" s="168">
        <f>_xlfn.LET(_xlpm.loc, ITEquipmentTable[Storage Location],
COUNTIFS(ITSecondTable[Tag], ITSecondTable[[#This Row],[Tag]], _xlpm.loc, "In Use") + COUNTIFS(ITSecondTable[Tag], ITSecondTable[[#This Row],[Tag]], _xlpm.loc, "Assigned to Employee")
)</f>
        <v>3</v>
      </c>
      <c r="F270" s="168">
        <f>_xlfn.LET(_xlpm.loc, ITEquipmentTable[Storage Location],
COUNTIFS(ITSecondTable[Tag], ITSecondTable[[#This Row],[Tag]], _xlpm.loc, "")
)</f>
        <v>18</v>
      </c>
      <c r="G270" s="168">
        <f>MAX(ITSecondTable[[#This Row],[SQty]] - ITSecondTable[[#This Row],[IQty]], 0)</f>
        <v>0</v>
      </c>
      <c r="H270" s="168">
        <f>MAX(ITSecondTable[[#This Row],[IQty]]-ITSecondTable[[#This Row],[SQty]], 0)</f>
        <v>0</v>
      </c>
      <c r="I270" s="151" t="str">
        <f>IFERROR(_xlfn.TEXTJOIN("~", TRUE, ITEquipmentTable[[#This Row],[Type]],ITEquipmentTable[[#This Row],[Brand]],ITEquipmentTable[[#This Row],[Model]]), "")</f>
        <v/>
      </c>
      <c r="J270" s="151" t="b">
        <f xml:space="preserve"> _xlfn.IFNA(MATCH( ITSecondTable[[#This Row],[Tag]], StorageTable[Tag], 0)  &gt; -1, FALSE)</f>
        <v>0</v>
      </c>
      <c r="K270" s="168" t="b">
        <f>COUNTIFS(ITEquipmentTable[Serial], ITEquipmentTable[[#This Row],[Serial]], ITEquipmentTable[Serial], "&lt;&gt;N/A") &gt; 1</f>
        <v>0</v>
      </c>
      <c r="L270" s="168" t="b">
        <f>COUNTIFS(ITEquipmentTable[Name], ITEquipmentTable[[#This Row],[Name]], ITEquipmentTable[Name], "&lt;&gt;&lt;Unassigned&gt;",  ITEquipmentTable[Name], "&lt;&gt;N/A") &gt; 1</f>
        <v>0</v>
      </c>
      <c r="M270" s="168" t="b">
        <f>AND(COUNTIFS(ITEquipmentTable[IPv4 Address], ITEquipmentTable[[#This Row],[IPv4 Address]]) &gt; 1, ITEquipmentTable[[#This Row],[IPv4 Address]] &lt;&gt; "DHCP",  ITEquipmentTable[[#This Row],[IPv4 Address]] &lt;&gt; "N/A")</f>
        <v>0</v>
      </c>
    </row>
    <row r="271" spans="1:13" x14ac:dyDescent="0.2">
      <c r="A271" s="168">
        <f>IF(LEN(ITSecondTable[[#This Row],[Tag]]) &gt; 0, _xlfn.XLOOKUP(ITSecondTable[[#This Row],[Tag]],StorageTable[Tag], StorageTable[In Storage - Count Total], "Err", 0, 1), 0)</f>
        <v>0</v>
      </c>
      <c r="B271" s="1">
        <f>_xlfn.LET(_xlpm.loc, ITEquipmentTable[Storage Location],
COUNTIFS(ITSecondTable[Tag], ITSecondTable[[#This Row],[Tag]], _xlpm.loc, "&lt;&gt;In Use", _xlpm.loc, "&lt;&gt;",  _xlpm.loc, "&lt;&gt;E-Waste", _xlpm.loc, "&lt;&gt;Virtual",  _xlpm.loc, "&lt;&gt;Assigned to Employee", _xlpm.loc, "&lt;&gt;Decommisioned", _xlpm.loc, "&lt;&gt;Missing")
)</f>
        <v>0</v>
      </c>
      <c r="C271" s="1">
        <f>_xlfn.LET(_xlpm.loc, ITEquipmentTable[Storage Location],
COUNTIFS(ITSecondTable[Tag], ITSecondTable[[#This Row],[Tag]], _xlpm.loc, "&lt;&gt;E-Waste", _xlpm.loc, "&lt;&gt;Virtual", _xlpm.loc, "&lt;&gt;Decommisioned")
)</f>
        <v>12</v>
      </c>
      <c r="D271" s="168">
        <f>_xlfn.LET(_xlpm.loc, ITEquipmentTable[Storage Location],
COUNTIFS(ITSecondTable[Tag], ITSecondTable[[#This Row],[Tag]], _xlpm.loc, "Missing")
)</f>
        <v>0</v>
      </c>
      <c r="E271" s="168">
        <f>_xlfn.LET(_xlpm.loc, ITEquipmentTable[Storage Location],
COUNTIFS(ITSecondTable[Tag], ITSecondTable[[#This Row],[Tag]], _xlpm.loc, "In Use") + COUNTIFS(ITSecondTable[Tag], ITSecondTable[[#This Row],[Tag]], _xlpm.loc, "Assigned to Employee")
)</f>
        <v>8</v>
      </c>
      <c r="F271" s="168">
        <f>_xlfn.LET(_xlpm.loc, ITEquipmentTable[Storage Location],
COUNTIFS(ITSecondTable[Tag], ITSecondTable[[#This Row],[Tag]], _xlpm.loc, "")
)</f>
        <v>4</v>
      </c>
      <c r="G271" s="168">
        <f>MAX(ITSecondTable[[#This Row],[SQty]] - ITSecondTable[[#This Row],[IQty]], 0)</f>
        <v>0</v>
      </c>
      <c r="H271" s="168">
        <f>MAX(ITSecondTable[[#This Row],[IQty]]-ITSecondTable[[#This Row],[SQty]], 0)</f>
        <v>0</v>
      </c>
      <c r="I271" s="151" t="str">
        <f>IFERROR(_xlfn.TEXTJOIN("~", TRUE, ITEquipmentTable[[#This Row],[Type]],ITEquipmentTable[[#This Row],[Brand]],ITEquipmentTable[[#This Row],[Model]]), "")</f>
        <v>Tablet~Microsoft~Surface Pro</v>
      </c>
      <c r="J271" s="151" t="b">
        <f xml:space="preserve"> _xlfn.IFNA(MATCH( ITSecondTable[[#This Row],[Tag]], StorageTable[Tag], 0)  &gt; -1, FALSE)</f>
        <v>0</v>
      </c>
      <c r="K271" s="168" t="b">
        <f>COUNTIFS(ITEquipmentTable[Serial], ITEquipmentTable[[#This Row],[Serial]], ITEquipmentTable[Serial], "&lt;&gt;N/A") &gt; 1</f>
        <v>0</v>
      </c>
      <c r="L271" s="168" t="b">
        <f>COUNTIFS(ITEquipmentTable[Name], ITEquipmentTable[[#This Row],[Name]], ITEquipmentTable[Name], "&lt;&gt;&lt;Unassigned&gt;",  ITEquipmentTable[Name], "&lt;&gt;N/A") &gt; 1</f>
        <v>0</v>
      </c>
      <c r="M271" s="168" t="b">
        <f>AND(COUNTIFS(ITEquipmentTable[IPv4 Address], ITEquipmentTable[[#This Row],[IPv4 Address]]) &gt; 1, ITEquipmentTable[[#This Row],[IPv4 Address]] &lt;&gt; "DHCP",  ITEquipmentTable[[#This Row],[IPv4 Address]] &lt;&gt; "N/A")</f>
        <v>0</v>
      </c>
    </row>
    <row r="272" spans="1:13" x14ac:dyDescent="0.2">
      <c r="A272" s="168">
        <f>IF(LEN(ITSecondTable[[#This Row],[Tag]]) &gt; 0, _xlfn.XLOOKUP(ITSecondTable[[#This Row],[Tag]],StorageTable[Tag], StorageTable[In Storage - Count Total], "Err", 0, 1), 0)</f>
        <v>0</v>
      </c>
      <c r="B272" s="1">
        <f>_xlfn.LET(_xlpm.loc, ITEquipmentTable[Storage Location],
COUNTIFS(ITSecondTable[Tag], ITSecondTable[[#This Row],[Tag]], _xlpm.loc, "&lt;&gt;In Use", _xlpm.loc, "&lt;&gt;",  _xlpm.loc, "&lt;&gt;E-Waste", _xlpm.loc, "&lt;&gt;Virtual",  _xlpm.loc, "&lt;&gt;Assigned to Employee", _xlpm.loc, "&lt;&gt;Decommisioned", _xlpm.loc, "&lt;&gt;Missing")
)</f>
        <v>0</v>
      </c>
      <c r="C272" s="1">
        <f>_xlfn.LET(_xlpm.loc, ITEquipmentTable[Storage Location],
COUNTIFS(ITSecondTable[Tag], ITSecondTable[[#This Row],[Tag]], _xlpm.loc, "&lt;&gt;E-Waste", _xlpm.loc, "&lt;&gt;Virtual", _xlpm.loc, "&lt;&gt;Decommisioned")
)</f>
        <v>21</v>
      </c>
      <c r="D272" s="168">
        <f>_xlfn.LET(_xlpm.loc, ITEquipmentTable[Storage Location],
COUNTIFS(ITSecondTable[Tag], ITSecondTable[[#This Row],[Tag]], _xlpm.loc, "Missing")
)</f>
        <v>0</v>
      </c>
      <c r="E272" s="168">
        <f>_xlfn.LET(_xlpm.loc, ITEquipmentTable[Storage Location],
COUNTIFS(ITSecondTable[Tag], ITSecondTable[[#This Row],[Tag]], _xlpm.loc, "In Use") + COUNTIFS(ITSecondTable[Tag], ITSecondTable[[#This Row],[Tag]], _xlpm.loc, "Assigned to Employee")
)</f>
        <v>3</v>
      </c>
      <c r="F272" s="168">
        <f>_xlfn.LET(_xlpm.loc, ITEquipmentTable[Storage Location],
COUNTIFS(ITSecondTable[Tag], ITSecondTable[[#This Row],[Tag]], _xlpm.loc, "")
)</f>
        <v>18</v>
      </c>
      <c r="G272" s="168">
        <f>MAX(ITSecondTable[[#This Row],[SQty]] - ITSecondTable[[#This Row],[IQty]], 0)</f>
        <v>0</v>
      </c>
      <c r="H272" s="168">
        <f>MAX(ITSecondTable[[#This Row],[IQty]]-ITSecondTable[[#This Row],[SQty]], 0)</f>
        <v>0</v>
      </c>
      <c r="I272" s="151" t="str">
        <f>IFERROR(_xlfn.TEXTJOIN("~", TRUE, ITEquipmentTable[[#This Row],[Type]],ITEquipmentTable[[#This Row],[Brand]],ITEquipmentTable[[#This Row],[Model]]), "")</f>
        <v/>
      </c>
      <c r="J272" s="151" t="b">
        <f xml:space="preserve"> _xlfn.IFNA(MATCH( ITSecondTable[[#This Row],[Tag]], StorageTable[Tag], 0)  &gt; -1, FALSE)</f>
        <v>0</v>
      </c>
      <c r="K272" s="168" t="b">
        <f>COUNTIFS(ITEquipmentTable[Serial], ITEquipmentTable[[#This Row],[Serial]], ITEquipmentTable[Serial], "&lt;&gt;N/A") &gt; 1</f>
        <v>0</v>
      </c>
      <c r="L272" s="168" t="b">
        <f>COUNTIFS(ITEquipmentTable[Name], ITEquipmentTable[[#This Row],[Name]], ITEquipmentTable[Name], "&lt;&gt;&lt;Unassigned&gt;",  ITEquipmentTable[Name], "&lt;&gt;N/A") &gt; 1</f>
        <v>0</v>
      </c>
      <c r="M272" s="168" t="b">
        <f>AND(COUNTIFS(ITEquipmentTable[IPv4 Address], ITEquipmentTable[[#This Row],[IPv4 Address]]) &gt; 1, ITEquipmentTable[[#This Row],[IPv4 Address]] &lt;&gt; "DHCP",  ITEquipmentTable[[#This Row],[IPv4 Address]] &lt;&gt; "N/A")</f>
        <v>0</v>
      </c>
    </row>
    <row r="273" spans="1:13" x14ac:dyDescent="0.2">
      <c r="A273" s="168">
        <f>IF(LEN(ITSecondTable[[#This Row],[Tag]]) &gt; 0, _xlfn.XLOOKUP(ITSecondTable[[#This Row],[Tag]],StorageTable[Tag], StorageTable[In Storage - Count Total], "Err", 0, 1), 0)</f>
        <v>0</v>
      </c>
      <c r="B273" s="1">
        <f>_xlfn.LET(_xlpm.loc, ITEquipmentTable[Storage Location],
COUNTIFS(ITSecondTable[Tag], ITSecondTable[[#This Row],[Tag]], _xlpm.loc, "&lt;&gt;In Use", _xlpm.loc, "&lt;&gt;",  _xlpm.loc, "&lt;&gt;E-Waste", _xlpm.loc, "&lt;&gt;Virtual",  _xlpm.loc, "&lt;&gt;Assigned to Employee", _xlpm.loc, "&lt;&gt;Decommisioned", _xlpm.loc, "&lt;&gt;Missing")
)</f>
        <v>0</v>
      </c>
      <c r="C273" s="1">
        <f>_xlfn.LET(_xlpm.loc, ITEquipmentTable[Storage Location],
COUNTIFS(ITSecondTable[Tag], ITSecondTable[[#This Row],[Tag]], _xlpm.loc, "&lt;&gt;E-Waste", _xlpm.loc, "&lt;&gt;Virtual", _xlpm.loc, "&lt;&gt;Decommisioned")
)</f>
        <v>21</v>
      </c>
      <c r="D273" s="168">
        <f>_xlfn.LET(_xlpm.loc, ITEquipmentTable[Storage Location],
COUNTIFS(ITSecondTable[Tag], ITSecondTable[[#This Row],[Tag]], _xlpm.loc, "Missing")
)</f>
        <v>0</v>
      </c>
      <c r="E273" s="168">
        <f>_xlfn.LET(_xlpm.loc, ITEquipmentTable[Storage Location],
COUNTIFS(ITSecondTable[Tag], ITSecondTable[[#This Row],[Tag]], _xlpm.loc, "In Use") + COUNTIFS(ITSecondTable[Tag], ITSecondTable[[#This Row],[Tag]], _xlpm.loc, "Assigned to Employee")
)</f>
        <v>3</v>
      </c>
      <c r="F273" s="168">
        <f>_xlfn.LET(_xlpm.loc, ITEquipmentTable[Storage Location],
COUNTIFS(ITSecondTable[Tag], ITSecondTable[[#This Row],[Tag]], _xlpm.loc, "")
)</f>
        <v>18</v>
      </c>
      <c r="G273" s="168">
        <f>MAX(ITSecondTable[[#This Row],[SQty]] - ITSecondTable[[#This Row],[IQty]], 0)</f>
        <v>0</v>
      </c>
      <c r="H273" s="168">
        <f>MAX(ITSecondTable[[#This Row],[IQty]]-ITSecondTable[[#This Row],[SQty]], 0)</f>
        <v>0</v>
      </c>
      <c r="I273" s="151" t="str">
        <f>IFERROR(_xlfn.TEXTJOIN("~", TRUE, ITEquipmentTable[[#This Row],[Type]],ITEquipmentTable[[#This Row],[Brand]],ITEquipmentTable[[#This Row],[Model]]), "")</f>
        <v/>
      </c>
      <c r="J273" s="151" t="b">
        <f xml:space="preserve"> _xlfn.IFNA(MATCH( ITSecondTable[[#This Row],[Tag]], StorageTable[Tag], 0)  &gt; -1, FALSE)</f>
        <v>0</v>
      </c>
      <c r="K273" s="168" t="b">
        <f>COUNTIFS(ITEquipmentTable[Serial], ITEquipmentTable[[#This Row],[Serial]], ITEquipmentTable[Serial], "&lt;&gt;N/A") &gt; 1</f>
        <v>0</v>
      </c>
      <c r="L273" s="168" t="b">
        <f>COUNTIFS(ITEquipmentTable[Name], ITEquipmentTable[[#This Row],[Name]], ITEquipmentTable[Name], "&lt;&gt;&lt;Unassigned&gt;",  ITEquipmentTable[Name], "&lt;&gt;N/A") &gt; 1</f>
        <v>0</v>
      </c>
      <c r="M273" s="168" t="b">
        <f>AND(COUNTIFS(ITEquipmentTable[IPv4 Address], ITEquipmentTable[[#This Row],[IPv4 Address]]) &gt; 1, ITEquipmentTable[[#This Row],[IPv4 Address]] &lt;&gt; "DHCP",  ITEquipmentTable[[#This Row],[IPv4 Address]] &lt;&gt; "N/A")</f>
        <v>0</v>
      </c>
    </row>
    <row r="274" spans="1:13" x14ac:dyDescent="0.2">
      <c r="A274" s="168">
        <f>IF(LEN(ITSecondTable[[#This Row],[Tag]]) &gt; 0, _xlfn.XLOOKUP(ITSecondTable[[#This Row],[Tag]],StorageTable[Tag], StorageTable[In Storage - Count Total], "Err", 0, 1), 0)</f>
        <v>0</v>
      </c>
      <c r="B274" s="1">
        <f>_xlfn.LET(_xlpm.loc, ITEquipmentTable[Storage Location],
COUNTIFS(ITSecondTable[Tag], ITSecondTable[[#This Row],[Tag]], _xlpm.loc, "&lt;&gt;In Use", _xlpm.loc, "&lt;&gt;",  _xlpm.loc, "&lt;&gt;E-Waste", _xlpm.loc, "&lt;&gt;Virtual",  _xlpm.loc, "&lt;&gt;Assigned to Employee", _xlpm.loc, "&lt;&gt;Decommisioned", _xlpm.loc, "&lt;&gt;Missing")
)</f>
        <v>0</v>
      </c>
      <c r="C274" s="1">
        <f>_xlfn.LET(_xlpm.loc, ITEquipmentTable[Storage Location],
COUNTIFS(ITSecondTable[Tag], ITSecondTable[[#This Row],[Tag]], _xlpm.loc, "&lt;&gt;E-Waste", _xlpm.loc, "&lt;&gt;Virtual", _xlpm.loc, "&lt;&gt;Decommisioned")
)</f>
        <v>12</v>
      </c>
      <c r="D274" s="168">
        <f>_xlfn.LET(_xlpm.loc, ITEquipmentTable[Storage Location],
COUNTIFS(ITSecondTable[Tag], ITSecondTable[[#This Row],[Tag]], _xlpm.loc, "Missing")
)</f>
        <v>0</v>
      </c>
      <c r="E274" s="168">
        <f>_xlfn.LET(_xlpm.loc, ITEquipmentTable[Storage Location],
COUNTIFS(ITSecondTable[Tag], ITSecondTable[[#This Row],[Tag]], _xlpm.loc, "In Use") + COUNTIFS(ITSecondTable[Tag], ITSecondTable[[#This Row],[Tag]], _xlpm.loc, "Assigned to Employee")
)</f>
        <v>8</v>
      </c>
      <c r="F274" s="168">
        <f>_xlfn.LET(_xlpm.loc, ITEquipmentTable[Storage Location],
COUNTIFS(ITSecondTable[Tag], ITSecondTable[[#This Row],[Tag]], _xlpm.loc, "")
)</f>
        <v>4</v>
      </c>
      <c r="G274" s="168">
        <f>MAX(ITSecondTable[[#This Row],[SQty]] - ITSecondTable[[#This Row],[IQty]], 0)</f>
        <v>0</v>
      </c>
      <c r="H274" s="168">
        <f>MAX(ITSecondTable[[#This Row],[IQty]]-ITSecondTable[[#This Row],[SQty]], 0)</f>
        <v>0</v>
      </c>
      <c r="I274" s="151" t="str">
        <f>IFERROR(_xlfn.TEXTJOIN("~", TRUE, ITEquipmentTable[[#This Row],[Type]],ITEquipmentTable[[#This Row],[Brand]],ITEquipmentTable[[#This Row],[Model]]), "")</f>
        <v>Tablet~Microsoft~Surface Pro</v>
      </c>
      <c r="J274" s="151" t="b">
        <f xml:space="preserve"> _xlfn.IFNA(MATCH( ITSecondTable[[#This Row],[Tag]], StorageTable[Tag], 0)  &gt; -1, FALSE)</f>
        <v>0</v>
      </c>
      <c r="K274" s="168" t="b">
        <f>COUNTIFS(ITEquipmentTable[Serial], ITEquipmentTable[[#This Row],[Serial]], ITEquipmentTable[Serial], "&lt;&gt;N/A") &gt; 1</f>
        <v>0</v>
      </c>
      <c r="L274" s="168" t="b">
        <f>COUNTIFS(ITEquipmentTable[Name], ITEquipmentTable[[#This Row],[Name]], ITEquipmentTable[Name], "&lt;&gt;&lt;Unassigned&gt;",  ITEquipmentTable[Name], "&lt;&gt;N/A") &gt; 1</f>
        <v>0</v>
      </c>
      <c r="M274" s="168" t="b">
        <f>AND(COUNTIFS(ITEquipmentTable[IPv4 Address], ITEquipmentTable[[#This Row],[IPv4 Address]]) &gt; 1, ITEquipmentTable[[#This Row],[IPv4 Address]] &lt;&gt; "DHCP",  ITEquipmentTable[[#This Row],[IPv4 Address]] &lt;&gt; "N/A")</f>
        <v>0</v>
      </c>
    </row>
    <row r="275" spans="1:13" x14ac:dyDescent="0.2">
      <c r="A275" s="168">
        <f>IF(LEN(ITSecondTable[[#This Row],[Tag]]) &gt; 0, _xlfn.XLOOKUP(ITSecondTable[[#This Row],[Tag]],StorageTable[Tag], StorageTable[In Storage - Count Total], "Err", 0, 1), 0)</f>
        <v>0</v>
      </c>
      <c r="B275" s="1">
        <f>_xlfn.LET(_xlpm.loc, ITEquipmentTable[Storage Location],
COUNTIFS(ITSecondTable[Tag], ITSecondTable[[#This Row],[Tag]], _xlpm.loc, "&lt;&gt;In Use", _xlpm.loc, "&lt;&gt;",  _xlpm.loc, "&lt;&gt;E-Waste", _xlpm.loc, "&lt;&gt;Virtual",  _xlpm.loc, "&lt;&gt;Assigned to Employee", _xlpm.loc, "&lt;&gt;Decommisioned", _xlpm.loc, "&lt;&gt;Missing")
)</f>
        <v>0</v>
      </c>
      <c r="C275" s="1">
        <f>_xlfn.LET(_xlpm.loc, ITEquipmentTable[Storage Location],
COUNTIFS(ITSecondTable[Tag], ITSecondTable[[#This Row],[Tag]], _xlpm.loc, "&lt;&gt;E-Waste", _xlpm.loc, "&lt;&gt;Virtual", _xlpm.loc, "&lt;&gt;Decommisioned")
)</f>
        <v>15</v>
      </c>
      <c r="D275" s="168">
        <f>_xlfn.LET(_xlpm.loc, ITEquipmentTable[Storage Location],
COUNTIFS(ITSecondTable[Tag], ITSecondTable[[#This Row],[Tag]], _xlpm.loc, "Missing")
)</f>
        <v>0</v>
      </c>
      <c r="E275" s="168">
        <f>_xlfn.LET(_xlpm.loc, ITEquipmentTable[Storage Location],
COUNTIFS(ITSecondTable[Tag], ITSecondTable[[#This Row],[Tag]], _xlpm.loc, "In Use") + COUNTIFS(ITSecondTable[Tag], ITSecondTable[[#This Row],[Tag]], _xlpm.loc, "Assigned to Employee")
)</f>
        <v>2</v>
      </c>
      <c r="F275" s="168">
        <f>_xlfn.LET(_xlpm.loc, ITEquipmentTable[Storage Location],
COUNTIFS(ITSecondTable[Tag], ITSecondTable[[#This Row],[Tag]], _xlpm.loc, "")
)</f>
        <v>13</v>
      </c>
      <c r="G275" s="168">
        <f>MAX(ITSecondTable[[#This Row],[SQty]] - ITSecondTable[[#This Row],[IQty]], 0)</f>
        <v>0</v>
      </c>
      <c r="H275" s="168">
        <f>MAX(ITSecondTable[[#This Row],[IQty]]-ITSecondTable[[#This Row],[SQty]], 0)</f>
        <v>0</v>
      </c>
      <c r="I275" s="151" t="str">
        <f>IFERROR(_xlfn.TEXTJOIN("~", TRUE, ITEquipmentTable[[#This Row],[Type]],ITEquipmentTable[[#This Row],[Brand]],ITEquipmentTable[[#This Row],[Model]]), "")</f>
        <v>Tablet</v>
      </c>
      <c r="J275" s="151" t="b">
        <f xml:space="preserve"> _xlfn.IFNA(MATCH( ITSecondTable[[#This Row],[Tag]], StorageTable[Tag], 0)  &gt; -1, FALSE)</f>
        <v>1</v>
      </c>
      <c r="K275" s="168" t="b">
        <f>COUNTIFS(ITEquipmentTable[Serial], ITEquipmentTable[[#This Row],[Serial]], ITEquipmentTable[Serial], "&lt;&gt;N/A") &gt; 1</f>
        <v>0</v>
      </c>
      <c r="L275" s="168" t="b">
        <f>COUNTIFS(ITEquipmentTable[Name], ITEquipmentTable[[#This Row],[Name]], ITEquipmentTable[Name], "&lt;&gt;&lt;Unassigned&gt;",  ITEquipmentTable[Name], "&lt;&gt;N/A") &gt; 1</f>
        <v>0</v>
      </c>
      <c r="M275" s="168" t="b">
        <f>AND(COUNTIFS(ITEquipmentTable[IPv4 Address], ITEquipmentTable[[#This Row],[IPv4 Address]]) &gt; 1, ITEquipmentTable[[#This Row],[IPv4 Address]] &lt;&gt; "DHCP",  ITEquipmentTable[[#This Row],[IPv4 Address]] &lt;&gt; "N/A")</f>
        <v>0</v>
      </c>
    </row>
    <row r="276" spans="1:13" x14ac:dyDescent="0.2">
      <c r="A276" s="168">
        <f>IF(LEN(ITSecondTable[[#This Row],[Tag]]) &gt; 0, _xlfn.XLOOKUP(ITSecondTable[[#This Row],[Tag]],StorageTable[Tag], StorageTable[In Storage - Count Total], "Err", 0, 1), 0)</f>
        <v>6</v>
      </c>
      <c r="B276" s="1">
        <f>_xlfn.LET(_xlpm.loc, ITEquipmentTable[Storage Location],
COUNTIFS(ITSecondTable[Tag], ITSecondTable[[#This Row],[Tag]], _xlpm.loc, "&lt;&gt;In Use", _xlpm.loc, "&lt;&gt;",  _xlpm.loc, "&lt;&gt;E-Waste", _xlpm.loc, "&lt;&gt;Virtual",  _xlpm.loc, "&lt;&gt;Assigned to Employee", _xlpm.loc, "&lt;&gt;Decommisioned", _xlpm.loc, "&lt;&gt;Missing")
)</f>
        <v>17</v>
      </c>
      <c r="C276" s="1">
        <f>_xlfn.LET(_xlpm.loc, ITEquipmentTable[Storage Location],
COUNTIFS(ITSecondTable[Tag], ITSecondTable[[#This Row],[Tag]], _xlpm.loc, "&lt;&gt;E-Waste", _xlpm.loc, "&lt;&gt;Virtual", _xlpm.loc, "&lt;&gt;Decommisioned")
)</f>
        <v>64</v>
      </c>
      <c r="D276" s="168">
        <f>_xlfn.LET(_xlpm.loc, ITEquipmentTable[Storage Location],
COUNTIFS(ITSecondTable[Tag], ITSecondTable[[#This Row],[Tag]], _xlpm.loc, "Missing")
)</f>
        <v>0</v>
      </c>
      <c r="E276" s="168">
        <f>_xlfn.LET(_xlpm.loc, ITEquipmentTable[Storage Location],
COUNTIFS(ITSecondTable[Tag], ITSecondTable[[#This Row],[Tag]], _xlpm.loc, "In Use") + COUNTIFS(ITSecondTable[Tag], ITSecondTable[[#This Row],[Tag]], _xlpm.loc, "Assigned to Employee")
)</f>
        <v>30</v>
      </c>
      <c r="F276" s="168">
        <f>_xlfn.LET(_xlpm.loc, ITEquipmentTable[Storage Location],
COUNTIFS(ITSecondTable[Tag], ITSecondTable[[#This Row],[Tag]], _xlpm.loc, "")
)</f>
        <v>17</v>
      </c>
      <c r="G276" s="168">
        <f>MAX(ITSecondTable[[#This Row],[SQty]] - ITSecondTable[[#This Row],[IQty]], 0)</f>
        <v>11</v>
      </c>
      <c r="H276" s="168">
        <f>MAX(ITSecondTable[[#This Row],[IQty]]-ITSecondTable[[#This Row],[SQty]], 0)</f>
        <v>0</v>
      </c>
      <c r="I276" s="151" t="str">
        <f>IFERROR(_xlfn.TEXTJOIN("~", TRUE, ITEquipmentTable[[#This Row],[Type]],ITEquipmentTable[[#This Row],[Brand]],ITEquipmentTable[[#This Row],[Model]]), "")</f>
        <v>Desktop~Dell~OptiPlex 3040</v>
      </c>
      <c r="J276" s="151" t="b">
        <f xml:space="preserve"> _xlfn.IFNA(MATCH( ITSecondTable[[#This Row],[Tag]], StorageTable[Tag], 0)  &gt; -1, FALSE)</f>
        <v>0</v>
      </c>
      <c r="K276" s="168" t="b">
        <f>COUNTIFS(ITEquipmentTable[Serial], ITEquipmentTable[[#This Row],[Serial]], ITEquipmentTable[Serial], "&lt;&gt;N/A") &gt; 1</f>
        <v>0</v>
      </c>
      <c r="L276" s="168" t="b">
        <f>COUNTIFS(ITEquipmentTable[Name], ITEquipmentTable[[#This Row],[Name]], ITEquipmentTable[Name], "&lt;&gt;&lt;Unassigned&gt;",  ITEquipmentTable[Name], "&lt;&gt;N/A") &gt; 1</f>
        <v>0</v>
      </c>
      <c r="M276" s="168" t="b">
        <f>AND(COUNTIFS(ITEquipmentTable[IPv4 Address], ITEquipmentTable[[#This Row],[IPv4 Address]]) &gt; 1, ITEquipmentTable[[#This Row],[IPv4 Address]] &lt;&gt; "DHCP",  ITEquipmentTable[[#This Row],[IPv4 Address]] &lt;&gt; "N/A")</f>
        <v>0</v>
      </c>
    </row>
    <row r="277" spans="1:13" x14ac:dyDescent="0.2">
      <c r="A277" s="168">
        <f>IF(LEN(ITSecondTable[[#This Row],[Tag]]) &gt; 0, _xlfn.XLOOKUP(ITSecondTable[[#This Row],[Tag]],StorageTable[Tag], StorageTable[In Storage - Count Total], "Err", 0, 1), 0)</f>
        <v>0</v>
      </c>
      <c r="B277" s="1">
        <f>_xlfn.LET(_xlpm.loc, ITEquipmentTable[Storage Location],
COUNTIFS(ITSecondTable[Tag], ITSecondTable[[#This Row],[Tag]], _xlpm.loc, "&lt;&gt;In Use", _xlpm.loc, "&lt;&gt;",  _xlpm.loc, "&lt;&gt;E-Waste", _xlpm.loc, "&lt;&gt;Virtual",  _xlpm.loc, "&lt;&gt;Assigned to Employee", _xlpm.loc, "&lt;&gt;Decommisioned", _xlpm.loc, "&lt;&gt;Missing")
)</f>
        <v>8</v>
      </c>
      <c r="C277" s="1">
        <f>_xlfn.LET(_xlpm.loc, ITEquipmentTable[Storage Location],
COUNTIFS(ITSecondTable[Tag], ITSecondTable[[#This Row],[Tag]], _xlpm.loc, "&lt;&gt;E-Waste", _xlpm.loc, "&lt;&gt;Virtual", _xlpm.loc, "&lt;&gt;Decommisioned")
)</f>
        <v>27</v>
      </c>
      <c r="D277" s="168">
        <f>_xlfn.LET(_xlpm.loc, ITEquipmentTable[Storage Location],
COUNTIFS(ITSecondTable[Tag], ITSecondTable[[#This Row],[Tag]], _xlpm.loc, "Missing")
)</f>
        <v>0</v>
      </c>
      <c r="E277" s="168">
        <f>_xlfn.LET(_xlpm.loc, ITEquipmentTable[Storage Location],
COUNTIFS(ITSecondTable[Tag], ITSecondTable[[#This Row],[Tag]], _xlpm.loc, "In Use") + COUNTIFS(ITSecondTable[Tag], ITSecondTable[[#This Row],[Tag]], _xlpm.loc, "Assigned to Employee")
)</f>
        <v>12</v>
      </c>
      <c r="F277" s="168">
        <f>_xlfn.LET(_xlpm.loc, ITEquipmentTable[Storage Location],
COUNTIFS(ITSecondTable[Tag], ITSecondTable[[#This Row],[Tag]], _xlpm.loc, "")
)</f>
        <v>7</v>
      </c>
      <c r="G277" s="168">
        <f>MAX(ITSecondTable[[#This Row],[SQty]] - ITSecondTable[[#This Row],[IQty]], 0)</f>
        <v>8</v>
      </c>
      <c r="H277" s="168">
        <f>MAX(ITSecondTable[[#This Row],[IQty]]-ITSecondTable[[#This Row],[SQty]], 0)</f>
        <v>0</v>
      </c>
      <c r="I277" s="151" t="str">
        <f>IFERROR(_xlfn.TEXTJOIN("~", TRUE, ITEquipmentTable[[#This Row],[Type]],ITEquipmentTable[[#This Row],[Brand]],ITEquipmentTable[[#This Row],[Model]]), "")</f>
        <v>Desktop~Dell~OptiPlex 3050</v>
      </c>
      <c r="J277" s="151" t="b">
        <f xml:space="preserve"> _xlfn.IFNA(MATCH( ITSecondTable[[#This Row],[Tag]], StorageTable[Tag], 0)  &gt; -1, FALSE)</f>
        <v>0</v>
      </c>
      <c r="K277" s="168" t="b">
        <f>COUNTIFS(ITEquipmentTable[Serial], ITEquipmentTable[[#This Row],[Serial]], ITEquipmentTable[Serial], "&lt;&gt;N/A") &gt; 1</f>
        <v>0</v>
      </c>
      <c r="L277" s="168" t="b">
        <f>COUNTIFS(ITEquipmentTable[Name], ITEquipmentTable[[#This Row],[Name]], ITEquipmentTable[Name], "&lt;&gt;&lt;Unassigned&gt;",  ITEquipmentTable[Name], "&lt;&gt;N/A") &gt; 1</f>
        <v>0</v>
      </c>
      <c r="M277" s="168" t="b">
        <f>AND(COUNTIFS(ITEquipmentTable[IPv4 Address], ITEquipmentTable[[#This Row],[IPv4 Address]]) &gt; 1, ITEquipmentTable[[#This Row],[IPv4 Address]] &lt;&gt; "DHCP",  ITEquipmentTable[[#This Row],[IPv4 Address]] &lt;&gt; "N/A")</f>
        <v>0</v>
      </c>
    </row>
    <row r="278" spans="1:13" x14ac:dyDescent="0.2">
      <c r="A278" s="168">
        <f>IF(LEN(ITSecondTable[[#This Row],[Tag]]) &gt; 0, _xlfn.XLOOKUP(ITSecondTable[[#This Row],[Tag]],StorageTable[Tag], StorageTable[In Storage - Count Total], "Err", 0, 1), 0)</f>
        <v>6</v>
      </c>
      <c r="B278" s="1">
        <f>_xlfn.LET(_xlpm.loc, ITEquipmentTable[Storage Location],
COUNTIFS(ITSecondTable[Tag], ITSecondTable[[#This Row],[Tag]], _xlpm.loc, "&lt;&gt;In Use", _xlpm.loc, "&lt;&gt;",  _xlpm.loc, "&lt;&gt;E-Waste", _xlpm.loc, "&lt;&gt;Virtual",  _xlpm.loc, "&lt;&gt;Assigned to Employee", _xlpm.loc, "&lt;&gt;Decommisioned", _xlpm.loc, "&lt;&gt;Missing")
)</f>
        <v>17</v>
      </c>
      <c r="C278" s="1">
        <f>_xlfn.LET(_xlpm.loc, ITEquipmentTable[Storage Location],
COUNTIFS(ITSecondTable[Tag], ITSecondTable[[#This Row],[Tag]], _xlpm.loc, "&lt;&gt;E-Waste", _xlpm.loc, "&lt;&gt;Virtual", _xlpm.loc, "&lt;&gt;Decommisioned")
)</f>
        <v>64</v>
      </c>
      <c r="D278" s="168">
        <f>_xlfn.LET(_xlpm.loc, ITEquipmentTable[Storage Location],
COUNTIFS(ITSecondTable[Tag], ITSecondTable[[#This Row],[Tag]], _xlpm.loc, "Missing")
)</f>
        <v>0</v>
      </c>
      <c r="E278" s="168">
        <f>_xlfn.LET(_xlpm.loc, ITEquipmentTable[Storage Location],
COUNTIFS(ITSecondTable[Tag], ITSecondTable[[#This Row],[Tag]], _xlpm.loc, "In Use") + COUNTIFS(ITSecondTable[Tag], ITSecondTable[[#This Row],[Tag]], _xlpm.loc, "Assigned to Employee")
)</f>
        <v>30</v>
      </c>
      <c r="F278" s="168">
        <f>_xlfn.LET(_xlpm.loc, ITEquipmentTable[Storage Location],
COUNTIFS(ITSecondTable[Tag], ITSecondTable[[#This Row],[Tag]], _xlpm.loc, "")
)</f>
        <v>17</v>
      </c>
      <c r="G278" s="168">
        <f>MAX(ITSecondTable[[#This Row],[SQty]] - ITSecondTable[[#This Row],[IQty]], 0)</f>
        <v>11</v>
      </c>
      <c r="H278" s="168">
        <f>MAX(ITSecondTable[[#This Row],[IQty]]-ITSecondTable[[#This Row],[SQty]], 0)</f>
        <v>0</v>
      </c>
      <c r="I278" s="151" t="str">
        <f>IFERROR(_xlfn.TEXTJOIN("~", TRUE, ITEquipmentTable[[#This Row],[Type]],ITEquipmentTable[[#This Row],[Brand]],ITEquipmentTable[[#This Row],[Model]]), "")</f>
        <v>Desktop~Dell~OptiPlex 3040</v>
      </c>
      <c r="J278" s="151" t="b">
        <f xml:space="preserve"> _xlfn.IFNA(MATCH( ITSecondTable[[#This Row],[Tag]], StorageTable[Tag], 0)  &gt; -1, FALSE)</f>
        <v>0</v>
      </c>
      <c r="K278" s="168" t="b">
        <f>COUNTIFS(ITEquipmentTable[Serial], ITEquipmentTable[[#This Row],[Serial]], ITEquipmentTable[Serial], "&lt;&gt;N/A") &gt; 1</f>
        <v>0</v>
      </c>
      <c r="L278" s="168" t="b">
        <f>COUNTIFS(ITEquipmentTable[Name], ITEquipmentTable[[#This Row],[Name]], ITEquipmentTable[Name], "&lt;&gt;&lt;Unassigned&gt;",  ITEquipmentTable[Name], "&lt;&gt;N/A") &gt; 1</f>
        <v>0</v>
      </c>
      <c r="M278" s="168" t="b">
        <f>AND(COUNTIFS(ITEquipmentTable[IPv4 Address], ITEquipmentTable[[#This Row],[IPv4 Address]]) &gt; 1, ITEquipmentTable[[#This Row],[IPv4 Address]] &lt;&gt; "DHCP",  ITEquipmentTable[[#This Row],[IPv4 Address]] &lt;&gt; "N/A")</f>
        <v>0</v>
      </c>
    </row>
    <row r="279" spans="1:13" x14ac:dyDescent="0.2">
      <c r="A279" s="168">
        <f>IF(LEN(ITSecondTable[[#This Row],[Tag]]) &gt; 0, _xlfn.XLOOKUP(ITSecondTable[[#This Row],[Tag]],StorageTable[Tag], StorageTable[In Storage - Count Total], "Err", 0, 1), 0)</f>
        <v>6</v>
      </c>
      <c r="B279" s="1">
        <f>_xlfn.LET(_xlpm.loc, ITEquipmentTable[Storage Location],
COUNTIFS(ITSecondTable[Tag], ITSecondTable[[#This Row],[Tag]], _xlpm.loc, "&lt;&gt;In Use", _xlpm.loc, "&lt;&gt;",  _xlpm.loc, "&lt;&gt;E-Waste", _xlpm.loc, "&lt;&gt;Virtual",  _xlpm.loc, "&lt;&gt;Assigned to Employee", _xlpm.loc, "&lt;&gt;Decommisioned", _xlpm.loc, "&lt;&gt;Missing")
)</f>
        <v>17</v>
      </c>
      <c r="C279" s="1">
        <f>_xlfn.LET(_xlpm.loc, ITEquipmentTable[Storage Location],
COUNTIFS(ITSecondTable[Tag], ITSecondTable[[#This Row],[Tag]], _xlpm.loc, "&lt;&gt;E-Waste", _xlpm.loc, "&lt;&gt;Virtual", _xlpm.loc, "&lt;&gt;Decommisioned")
)</f>
        <v>64</v>
      </c>
      <c r="D279" s="168">
        <f>_xlfn.LET(_xlpm.loc, ITEquipmentTable[Storage Location],
COUNTIFS(ITSecondTable[Tag], ITSecondTable[[#This Row],[Tag]], _xlpm.loc, "Missing")
)</f>
        <v>0</v>
      </c>
      <c r="E279" s="168">
        <f>_xlfn.LET(_xlpm.loc, ITEquipmentTable[Storage Location],
COUNTIFS(ITSecondTable[Tag], ITSecondTable[[#This Row],[Tag]], _xlpm.loc, "In Use") + COUNTIFS(ITSecondTable[Tag], ITSecondTable[[#This Row],[Tag]], _xlpm.loc, "Assigned to Employee")
)</f>
        <v>30</v>
      </c>
      <c r="F279" s="168">
        <f>_xlfn.LET(_xlpm.loc, ITEquipmentTable[Storage Location],
COUNTIFS(ITSecondTable[Tag], ITSecondTable[[#This Row],[Tag]], _xlpm.loc, "")
)</f>
        <v>17</v>
      </c>
      <c r="G279" s="168">
        <f>MAX(ITSecondTable[[#This Row],[SQty]] - ITSecondTable[[#This Row],[IQty]], 0)</f>
        <v>11</v>
      </c>
      <c r="H279" s="168">
        <f>MAX(ITSecondTable[[#This Row],[IQty]]-ITSecondTable[[#This Row],[SQty]], 0)</f>
        <v>0</v>
      </c>
      <c r="I279" s="151" t="str">
        <f>IFERROR(_xlfn.TEXTJOIN("~", TRUE, ITEquipmentTable[[#This Row],[Type]],ITEquipmentTable[[#This Row],[Brand]],ITEquipmentTable[[#This Row],[Model]]), "")</f>
        <v>Desktop~Dell~OptiPlex 3040</v>
      </c>
      <c r="J279" s="151" t="b">
        <f xml:space="preserve"> _xlfn.IFNA(MATCH( ITSecondTable[[#This Row],[Tag]], StorageTable[Tag], 0)  &gt; -1, FALSE)</f>
        <v>0</v>
      </c>
      <c r="K279" s="168" t="b">
        <f>COUNTIFS(ITEquipmentTable[Serial], ITEquipmentTable[[#This Row],[Serial]], ITEquipmentTable[Serial], "&lt;&gt;N/A") &gt; 1</f>
        <v>0</v>
      </c>
      <c r="L279" s="168" t="b">
        <f>COUNTIFS(ITEquipmentTable[Name], ITEquipmentTable[[#This Row],[Name]], ITEquipmentTable[Name], "&lt;&gt;&lt;Unassigned&gt;",  ITEquipmentTable[Name], "&lt;&gt;N/A") &gt; 1</f>
        <v>0</v>
      </c>
      <c r="M279" s="168" t="b">
        <f>AND(COUNTIFS(ITEquipmentTable[IPv4 Address], ITEquipmentTable[[#This Row],[IPv4 Address]]) &gt; 1, ITEquipmentTable[[#This Row],[IPv4 Address]] &lt;&gt; "DHCP",  ITEquipmentTable[[#This Row],[IPv4 Address]] &lt;&gt; "N/A")</f>
        <v>0</v>
      </c>
    </row>
    <row r="280" spans="1:13" x14ac:dyDescent="0.2">
      <c r="A280" s="168">
        <f>IF(LEN(ITSecondTable[[#This Row],[Tag]]) &gt; 0, _xlfn.XLOOKUP(ITSecondTable[[#This Row],[Tag]],StorageTable[Tag], StorageTable[In Storage - Count Total], "Err", 0, 1), 0)</f>
        <v>0</v>
      </c>
      <c r="B280" s="1">
        <f>_xlfn.LET(_xlpm.loc, ITEquipmentTable[Storage Location],
COUNTIFS(ITSecondTable[Tag], ITSecondTable[[#This Row],[Tag]], _xlpm.loc, "&lt;&gt;In Use", _xlpm.loc, "&lt;&gt;",  _xlpm.loc, "&lt;&gt;E-Waste", _xlpm.loc, "&lt;&gt;Virtual",  _xlpm.loc, "&lt;&gt;Assigned to Employee", _xlpm.loc, "&lt;&gt;Decommisioned", _xlpm.loc, "&lt;&gt;Missing")
)</f>
        <v>0</v>
      </c>
      <c r="C280" s="1">
        <f>_xlfn.LET(_xlpm.loc, ITEquipmentTable[Storage Location],
COUNTIFS(ITSecondTable[Tag], ITSecondTable[[#This Row],[Tag]], _xlpm.loc, "&lt;&gt;E-Waste", _xlpm.loc, "&lt;&gt;Virtual", _xlpm.loc, "&lt;&gt;Decommisioned")
)</f>
        <v>3</v>
      </c>
      <c r="D280" s="168">
        <f>_xlfn.LET(_xlpm.loc, ITEquipmentTable[Storage Location],
COUNTIFS(ITSecondTable[Tag], ITSecondTable[[#This Row],[Tag]], _xlpm.loc, "Missing")
)</f>
        <v>0</v>
      </c>
      <c r="E280" s="168">
        <f>_xlfn.LET(_xlpm.loc, ITEquipmentTable[Storage Location],
COUNTIFS(ITSecondTable[Tag], ITSecondTable[[#This Row],[Tag]], _xlpm.loc, "In Use") + COUNTIFS(ITSecondTable[Tag], ITSecondTable[[#This Row],[Tag]], _xlpm.loc, "Assigned to Employee")
)</f>
        <v>1</v>
      </c>
      <c r="F280" s="168">
        <f>_xlfn.LET(_xlpm.loc, ITEquipmentTable[Storage Location],
COUNTIFS(ITSecondTable[Tag], ITSecondTable[[#This Row],[Tag]], _xlpm.loc, "")
)</f>
        <v>2</v>
      </c>
      <c r="G280" s="168">
        <f>MAX(ITSecondTable[[#This Row],[SQty]] - ITSecondTable[[#This Row],[IQty]], 0)</f>
        <v>0</v>
      </c>
      <c r="H280" s="168">
        <f>MAX(ITSecondTable[[#This Row],[IQty]]-ITSecondTable[[#This Row],[SQty]], 0)</f>
        <v>0</v>
      </c>
      <c r="I280" s="151" t="str">
        <f>IFERROR(_xlfn.TEXTJOIN("~", TRUE, ITEquipmentTable[[#This Row],[Type]],ITEquipmentTable[[#This Row],[Brand]],ITEquipmentTable[[#This Row],[Model]]), "")</f>
        <v>Desktop~HP~HP EliteDesk 705 G4 DM</v>
      </c>
      <c r="J280" s="151" t="b">
        <f xml:space="preserve"> _xlfn.IFNA(MATCH( ITSecondTable[[#This Row],[Tag]], StorageTable[Tag], 0)  &gt; -1, FALSE)</f>
        <v>0</v>
      </c>
      <c r="K280" s="168" t="b">
        <f>COUNTIFS(ITEquipmentTable[Serial], ITEquipmentTable[[#This Row],[Serial]], ITEquipmentTable[Serial], "&lt;&gt;N/A") &gt; 1</f>
        <v>0</v>
      </c>
      <c r="L280" s="168" t="b">
        <f>COUNTIFS(ITEquipmentTable[Name], ITEquipmentTable[[#This Row],[Name]], ITEquipmentTable[Name], "&lt;&gt;&lt;Unassigned&gt;",  ITEquipmentTable[Name], "&lt;&gt;N/A") &gt; 1</f>
        <v>0</v>
      </c>
      <c r="M280" s="168" t="b">
        <f>AND(COUNTIFS(ITEquipmentTable[IPv4 Address], ITEquipmentTable[[#This Row],[IPv4 Address]]) &gt; 1, ITEquipmentTable[[#This Row],[IPv4 Address]] &lt;&gt; "DHCP",  ITEquipmentTable[[#This Row],[IPv4 Address]] &lt;&gt; "N/A")</f>
        <v>0</v>
      </c>
    </row>
    <row r="281" spans="1:13" x14ac:dyDescent="0.2">
      <c r="A281" s="168">
        <f>IF(LEN(ITSecondTable[[#This Row],[Tag]]) &gt; 0, _xlfn.XLOOKUP(ITSecondTable[[#This Row],[Tag]],StorageTable[Tag], StorageTable[In Storage - Count Total], "Err", 0, 1), 0)</f>
        <v>1</v>
      </c>
      <c r="B281" s="1">
        <f>_xlfn.LET(_xlpm.loc, ITEquipmentTable[Storage Location],
COUNTIFS(ITSecondTable[Tag], ITSecondTable[[#This Row],[Tag]], _xlpm.loc, "&lt;&gt;In Use", _xlpm.loc, "&lt;&gt;",  _xlpm.loc, "&lt;&gt;E-Waste", _xlpm.loc, "&lt;&gt;Virtual",  _xlpm.loc, "&lt;&gt;Assigned to Employee", _xlpm.loc, "&lt;&gt;Decommisioned", _xlpm.loc, "&lt;&gt;Missing")
)</f>
        <v>1</v>
      </c>
      <c r="C281" s="1">
        <f>_xlfn.LET(_xlpm.loc, ITEquipmentTable[Storage Location],
COUNTIFS(ITSecondTable[Tag], ITSecondTable[[#This Row],[Tag]], _xlpm.loc, "&lt;&gt;E-Waste", _xlpm.loc, "&lt;&gt;Virtual", _xlpm.loc, "&lt;&gt;Decommisioned")
)</f>
        <v>5</v>
      </c>
      <c r="D281" s="168">
        <f>_xlfn.LET(_xlpm.loc, ITEquipmentTable[Storage Location],
COUNTIFS(ITSecondTable[Tag], ITSecondTable[[#This Row],[Tag]], _xlpm.loc, "Missing")
)</f>
        <v>0</v>
      </c>
      <c r="E281" s="168">
        <f>_xlfn.LET(_xlpm.loc, ITEquipmentTable[Storage Location],
COUNTIFS(ITSecondTable[Tag], ITSecondTable[[#This Row],[Tag]], _xlpm.loc, "In Use") + COUNTIFS(ITSecondTable[Tag], ITSecondTable[[#This Row],[Tag]], _xlpm.loc, "Assigned to Employee")
)</f>
        <v>2</v>
      </c>
      <c r="F281" s="168">
        <f>_xlfn.LET(_xlpm.loc, ITEquipmentTable[Storage Location],
COUNTIFS(ITSecondTable[Tag], ITSecondTable[[#This Row],[Tag]], _xlpm.loc, "")
)</f>
        <v>2</v>
      </c>
      <c r="G281" s="168">
        <f>MAX(ITSecondTable[[#This Row],[SQty]] - ITSecondTable[[#This Row],[IQty]], 0)</f>
        <v>0</v>
      </c>
      <c r="H281" s="168">
        <f>MAX(ITSecondTable[[#This Row],[IQty]]-ITSecondTable[[#This Row],[SQty]], 0)</f>
        <v>0</v>
      </c>
      <c r="I281" s="151" t="str">
        <f>IFERROR(_xlfn.TEXTJOIN("~", TRUE, ITEquipmentTable[[#This Row],[Type]],ITEquipmentTable[[#This Row],[Brand]],ITEquipmentTable[[#This Row],[Model]]), "")</f>
        <v>Desktop~HP~HP EliteDesk 800 G3 DM</v>
      </c>
      <c r="J281" s="151" t="b">
        <f xml:space="preserve"> _xlfn.IFNA(MATCH( ITSecondTable[[#This Row],[Tag]], StorageTable[Tag], 0)  &gt; -1, FALSE)</f>
        <v>0</v>
      </c>
      <c r="K281" s="168" t="b">
        <f>COUNTIFS(ITEquipmentTable[Serial], ITEquipmentTable[[#This Row],[Serial]], ITEquipmentTable[Serial], "&lt;&gt;N/A") &gt; 1</f>
        <v>0</v>
      </c>
      <c r="L281" s="168" t="b">
        <f>COUNTIFS(ITEquipmentTable[Name], ITEquipmentTable[[#This Row],[Name]], ITEquipmentTable[Name], "&lt;&gt;&lt;Unassigned&gt;",  ITEquipmentTable[Name], "&lt;&gt;N/A") &gt; 1</f>
        <v>0</v>
      </c>
      <c r="M281" s="168" t="b">
        <f>AND(COUNTIFS(ITEquipmentTable[IPv4 Address], ITEquipmentTable[[#This Row],[IPv4 Address]]) &gt; 1, ITEquipmentTable[[#This Row],[IPv4 Address]] &lt;&gt; "DHCP",  ITEquipmentTable[[#This Row],[IPv4 Address]] &lt;&gt; "N/A")</f>
        <v>0</v>
      </c>
    </row>
    <row r="282" spans="1:13" x14ac:dyDescent="0.2">
      <c r="A282" s="168">
        <f>IF(LEN(ITSecondTable[[#This Row],[Tag]]) &gt; 0, _xlfn.XLOOKUP(ITSecondTable[[#This Row],[Tag]],StorageTable[Tag], StorageTable[In Storage - Count Total], "Err", 0, 1), 0)</f>
        <v>1</v>
      </c>
      <c r="B282" s="1">
        <f>_xlfn.LET(_xlpm.loc, ITEquipmentTable[Storage Location],
COUNTIFS(ITSecondTable[Tag], ITSecondTable[[#This Row],[Tag]], _xlpm.loc, "&lt;&gt;In Use", _xlpm.loc, "&lt;&gt;",  _xlpm.loc, "&lt;&gt;E-Waste", _xlpm.loc, "&lt;&gt;Virtual",  _xlpm.loc, "&lt;&gt;Assigned to Employee", _xlpm.loc, "&lt;&gt;Decommisioned", _xlpm.loc, "&lt;&gt;Missing")
)</f>
        <v>1</v>
      </c>
      <c r="C282" s="1">
        <f>_xlfn.LET(_xlpm.loc, ITEquipmentTable[Storage Location],
COUNTIFS(ITSecondTable[Tag], ITSecondTable[[#This Row],[Tag]], _xlpm.loc, "&lt;&gt;E-Waste", _xlpm.loc, "&lt;&gt;Virtual", _xlpm.loc, "&lt;&gt;Decommisioned")
)</f>
        <v>5</v>
      </c>
      <c r="D282" s="168">
        <f>_xlfn.LET(_xlpm.loc, ITEquipmentTable[Storage Location],
COUNTIFS(ITSecondTable[Tag], ITSecondTable[[#This Row],[Tag]], _xlpm.loc, "Missing")
)</f>
        <v>0</v>
      </c>
      <c r="E282" s="168">
        <f>_xlfn.LET(_xlpm.loc, ITEquipmentTable[Storage Location],
COUNTIFS(ITSecondTable[Tag], ITSecondTable[[#This Row],[Tag]], _xlpm.loc, "In Use") + COUNTIFS(ITSecondTable[Tag], ITSecondTable[[#This Row],[Tag]], _xlpm.loc, "Assigned to Employee")
)</f>
        <v>2</v>
      </c>
      <c r="F282" s="168">
        <f>_xlfn.LET(_xlpm.loc, ITEquipmentTable[Storage Location],
COUNTIFS(ITSecondTable[Tag], ITSecondTable[[#This Row],[Tag]], _xlpm.loc, "")
)</f>
        <v>2</v>
      </c>
      <c r="G282" s="168">
        <f>MAX(ITSecondTable[[#This Row],[SQty]] - ITSecondTable[[#This Row],[IQty]], 0)</f>
        <v>0</v>
      </c>
      <c r="H282" s="168">
        <f>MAX(ITSecondTable[[#This Row],[IQty]]-ITSecondTable[[#This Row],[SQty]], 0)</f>
        <v>0</v>
      </c>
      <c r="I282" s="151" t="str">
        <f>IFERROR(_xlfn.TEXTJOIN("~", TRUE, ITEquipmentTable[[#This Row],[Type]],ITEquipmentTable[[#This Row],[Brand]],ITEquipmentTable[[#This Row],[Model]]), "")</f>
        <v>Desktop~HP~HP EliteDesk 800 G3 DM</v>
      </c>
      <c r="J282" s="151" t="b">
        <f xml:space="preserve"> _xlfn.IFNA(MATCH( ITSecondTable[[#This Row],[Tag]], StorageTable[Tag], 0)  &gt; -1, FALSE)</f>
        <v>0</v>
      </c>
      <c r="K282" s="168" t="b">
        <f>COUNTIFS(ITEquipmentTable[Serial], ITEquipmentTable[[#This Row],[Serial]], ITEquipmentTable[Serial], "&lt;&gt;N/A") &gt; 1</f>
        <v>0</v>
      </c>
      <c r="L282" s="168" t="b">
        <f>COUNTIFS(ITEquipmentTable[Name], ITEquipmentTable[[#This Row],[Name]], ITEquipmentTable[Name], "&lt;&gt;&lt;Unassigned&gt;",  ITEquipmentTable[Name], "&lt;&gt;N/A") &gt; 1</f>
        <v>0</v>
      </c>
      <c r="M282" s="168" t="b">
        <f>AND(COUNTIFS(ITEquipmentTable[IPv4 Address], ITEquipmentTable[[#This Row],[IPv4 Address]]) &gt; 1, ITEquipmentTable[[#This Row],[IPv4 Address]] &lt;&gt; "DHCP",  ITEquipmentTable[[#This Row],[IPv4 Address]] &lt;&gt; "N/A")</f>
        <v>0</v>
      </c>
    </row>
    <row r="283" spans="1:13" x14ac:dyDescent="0.2">
      <c r="A283" s="168">
        <f>IF(LEN(ITSecondTable[[#This Row],[Tag]]) &gt; 0, _xlfn.XLOOKUP(ITSecondTable[[#This Row],[Tag]],StorageTable[Tag], StorageTable[In Storage - Count Total], "Err", 0, 1), 0)</f>
        <v>10</v>
      </c>
      <c r="B283" s="1">
        <f>_xlfn.LET(_xlpm.loc, ITEquipmentTable[Storage Location],
COUNTIFS(ITSecondTable[Tag], ITSecondTable[[#This Row],[Tag]], _xlpm.loc, "&lt;&gt;In Use", _xlpm.loc, "&lt;&gt;",  _xlpm.loc, "&lt;&gt;E-Waste", _xlpm.loc, "&lt;&gt;Virtual",  _xlpm.loc, "&lt;&gt;Assigned to Employee", _xlpm.loc, "&lt;&gt;Decommisioned", _xlpm.loc, "&lt;&gt;Missing")
)</f>
        <v>16</v>
      </c>
      <c r="C283" s="1">
        <f>_xlfn.LET(_xlpm.loc, ITEquipmentTable[Storage Location],
COUNTIFS(ITSecondTable[Tag], ITSecondTable[[#This Row],[Tag]], _xlpm.loc, "&lt;&gt;E-Waste", _xlpm.loc, "&lt;&gt;Virtual", _xlpm.loc, "&lt;&gt;Decommisioned")
)</f>
        <v>48</v>
      </c>
      <c r="D283" s="168">
        <f>_xlfn.LET(_xlpm.loc, ITEquipmentTable[Storage Location],
COUNTIFS(ITSecondTable[Tag], ITSecondTable[[#This Row],[Tag]], _xlpm.loc, "Missing")
)</f>
        <v>0</v>
      </c>
      <c r="E283" s="168">
        <f>_xlfn.LET(_xlpm.loc, ITEquipmentTable[Storage Location],
COUNTIFS(ITSecondTable[Tag], ITSecondTable[[#This Row],[Tag]], _xlpm.loc, "In Use") + COUNTIFS(ITSecondTable[Tag], ITSecondTable[[#This Row],[Tag]], _xlpm.loc, "Assigned to Employee")
)</f>
        <v>29</v>
      </c>
      <c r="F283" s="168">
        <f>_xlfn.LET(_xlpm.loc, ITEquipmentTable[Storage Location],
COUNTIFS(ITSecondTable[Tag], ITSecondTable[[#This Row],[Tag]], _xlpm.loc, "")
)</f>
        <v>3</v>
      </c>
      <c r="G283" s="168">
        <f>MAX(ITSecondTable[[#This Row],[SQty]] - ITSecondTable[[#This Row],[IQty]], 0)</f>
        <v>6</v>
      </c>
      <c r="H283" s="168">
        <f>MAX(ITSecondTable[[#This Row],[IQty]]-ITSecondTable[[#This Row],[SQty]], 0)</f>
        <v>0</v>
      </c>
      <c r="I283" s="151" t="str">
        <f>IFERROR(_xlfn.TEXTJOIN("~", TRUE, ITEquipmentTable[[#This Row],[Type]],ITEquipmentTable[[#This Row],[Brand]],ITEquipmentTable[[#This Row],[Model]]), "")</f>
        <v>Desktop~HP~HP ProDesk 600 G5 DM</v>
      </c>
      <c r="J283" s="151" t="b">
        <f xml:space="preserve"> _xlfn.IFNA(MATCH( ITSecondTable[[#This Row],[Tag]], StorageTable[Tag], 0)  &gt; -1, FALSE)</f>
        <v>0</v>
      </c>
      <c r="K283" s="168" t="b">
        <f>COUNTIFS(ITEquipmentTable[Serial], ITEquipmentTable[[#This Row],[Serial]], ITEquipmentTable[Serial], "&lt;&gt;N/A") &gt; 1</f>
        <v>0</v>
      </c>
      <c r="L283" s="168" t="b">
        <f>COUNTIFS(ITEquipmentTable[Name], ITEquipmentTable[[#This Row],[Name]], ITEquipmentTable[Name], "&lt;&gt;&lt;Unassigned&gt;",  ITEquipmentTable[Name], "&lt;&gt;N/A") &gt; 1</f>
        <v>0</v>
      </c>
      <c r="M283" s="168" t="b">
        <f>AND(COUNTIFS(ITEquipmentTable[IPv4 Address], ITEquipmentTable[[#This Row],[IPv4 Address]]) &gt; 1, ITEquipmentTable[[#This Row],[IPv4 Address]] &lt;&gt; "DHCP",  ITEquipmentTable[[#This Row],[IPv4 Address]] &lt;&gt; "N/A")</f>
        <v>0</v>
      </c>
    </row>
    <row r="284" spans="1:13" x14ac:dyDescent="0.2">
      <c r="A284" s="168">
        <f>IF(LEN(ITSecondTable[[#This Row],[Tag]]) &gt; 0, _xlfn.XLOOKUP(ITSecondTable[[#This Row],[Tag]],StorageTable[Tag], StorageTable[In Storage - Count Total], "Err", 0, 1), 0)</f>
        <v>0</v>
      </c>
      <c r="B284" s="1">
        <f>_xlfn.LET(_xlpm.loc, ITEquipmentTable[Storage Location],
COUNTIFS(ITSecondTable[Tag], ITSecondTable[[#This Row],[Tag]], _xlpm.loc, "&lt;&gt;In Use", _xlpm.loc, "&lt;&gt;",  _xlpm.loc, "&lt;&gt;E-Waste", _xlpm.loc, "&lt;&gt;Virtual",  _xlpm.loc, "&lt;&gt;Assigned to Employee", _xlpm.loc, "&lt;&gt;Decommisioned", _xlpm.loc, "&lt;&gt;Missing")
)</f>
        <v>0</v>
      </c>
      <c r="C284" s="1">
        <f>_xlfn.LET(_xlpm.loc, ITEquipmentTable[Storage Location],
COUNTIFS(ITSecondTable[Tag], ITSecondTable[[#This Row],[Tag]], _xlpm.loc, "&lt;&gt;E-Waste", _xlpm.loc, "&lt;&gt;Virtual", _xlpm.loc, "&lt;&gt;Decommisioned")
)</f>
        <v>78</v>
      </c>
      <c r="D284" s="168">
        <f>_xlfn.LET(_xlpm.loc, ITEquipmentTable[Storage Location],
COUNTIFS(ITSecondTable[Tag], ITSecondTable[[#This Row],[Tag]], _xlpm.loc, "Missing")
)</f>
        <v>0</v>
      </c>
      <c r="E284" s="168">
        <f>_xlfn.LET(_xlpm.loc, ITEquipmentTable[Storage Location],
COUNTIFS(ITSecondTable[Tag], ITSecondTable[[#This Row],[Tag]], _xlpm.loc, "In Use") + COUNTIFS(ITSecondTable[Tag], ITSecondTable[[#This Row],[Tag]], _xlpm.loc, "Assigned to Employee")
)</f>
        <v>44</v>
      </c>
      <c r="F284" s="168">
        <f>_xlfn.LET(_xlpm.loc, ITEquipmentTable[Storage Location],
COUNTIFS(ITSecondTable[Tag], ITSecondTable[[#This Row],[Tag]], _xlpm.loc, "")
)</f>
        <v>34</v>
      </c>
      <c r="G284" s="168">
        <f>MAX(ITSecondTable[[#This Row],[SQty]] - ITSecondTable[[#This Row],[IQty]], 0)</f>
        <v>0</v>
      </c>
      <c r="H284" s="168">
        <f>MAX(ITSecondTable[[#This Row],[IQty]]-ITSecondTable[[#This Row],[SQty]], 0)</f>
        <v>0</v>
      </c>
      <c r="I284" s="151" t="str">
        <f>IFERROR(_xlfn.TEXTJOIN("~", TRUE, ITEquipmentTable[[#This Row],[Type]],ITEquipmentTable[[#This Row],[Brand]],ITEquipmentTable[[#This Row],[Model]]), "")</f>
        <v>Laptop~HP</v>
      </c>
      <c r="J284" s="151" t="b">
        <f xml:space="preserve"> _xlfn.IFNA(MATCH( ITSecondTable[[#This Row],[Tag]], StorageTable[Tag], 0)  &gt; -1, FALSE)</f>
        <v>0</v>
      </c>
      <c r="K284" s="168" t="b">
        <f>COUNTIFS(ITEquipmentTable[Serial], ITEquipmentTable[[#This Row],[Serial]], ITEquipmentTable[Serial], "&lt;&gt;N/A") &gt; 1</f>
        <v>0</v>
      </c>
      <c r="L284" s="168" t="b">
        <f>COUNTIFS(ITEquipmentTable[Name], ITEquipmentTable[[#This Row],[Name]], ITEquipmentTable[Name], "&lt;&gt;&lt;Unassigned&gt;",  ITEquipmentTable[Name], "&lt;&gt;N/A") &gt; 1</f>
        <v>0</v>
      </c>
      <c r="M284" s="168" t="b">
        <f>AND(COUNTIFS(ITEquipmentTable[IPv4 Address], ITEquipmentTable[[#This Row],[IPv4 Address]]) &gt; 1, ITEquipmentTable[[#This Row],[IPv4 Address]] &lt;&gt; "DHCP",  ITEquipmentTable[[#This Row],[IPv4 Address]] &lt;&gt; "N/A")</f>
        <v>0</v>
      </c>
    </row>
    <row r="285" spans="1:13" x14ac:dyDescent="0.2">
      <c r="A285" s="168">
        <f>IF(LEN(ITSecondTable[[#This Row],[Tag]]) &gt; 0, _xlfn.XLOOKUP(ITSecondTable[[#This Row],[Tag]],StorageTable[Tag], StorageTable[In Storage - Count Total], "Err", 0, 1), 0)</f>
        <v>0</v>
      </c>
      <c r="B285" s="1">
        <f>_xlfn.LET(_xlpm.loc, ITEquipmentTable[Storage Location],
COUNTIFS(ITSecondTable[Tag], ITSecondTable[[#This Row],[Tag]], _xlpm.loc, "&lt;&gt;In Use", _xlpm.loc, "&lt;&gt;",  _xlpm.loc, "&lt;&gt;E-Waste", _xlpm.loc, "&lt;&gt;Virtual",  _xlpm.loc, "&lt;&gt;Assigned to Employee", _xlpm.loc, "&lt;&gt;Decommisioned", _xlpm.loc, "&lt;&gt;Missing")
)</f>
        <v>1</v>
      </c>
      <c r="C285" s="1">
        <f>_xlfn.LET(_xlpm.loc, ITEquipmentTable[Storage Location],
COUNTIFS(ITSecondTable[Tag], ITSecondTable[[#This Row],[Tag]], _xlpm.loc, "&lt;&gt;E-Waste", _xlpm.loc, "&lt;&gt;Virtual", _xlpm.loc, "&lt;&gt;Decommisioned")
)</f>
        <v>2</v>
      </c>
      <c r="D285" s="168">
        <f>_xlfn.LET(_xlpm.loc, ITEquipmentTable[Storage Location],
COUNTIFS(ITSecondTable[Tag], ITSecondTable[[#This Row],[Tag]], _xlpm.loc, "Missing")
)</f>
        <v>0</v>
      </c>
      <c r="E285" s="168">
        <f>_xlfn.LET(_xlpm.loc, ITEquipmentTable[Storage Location],
COUNTIFS(ITSecondTable[Tag], ITSecondTable[[#This Row],[Tag]], _xlpm.loc, "In Use") + COUNTIFS(ITSecondTable[Tag], ITSecondTable[[#This Row],[Tag]], _xlpm.loc, "Assigned to Employee")
)</f>
        <v>0</v>
      </c>
      <c r="F285" s="168">
        <f>_xlfn.LET(_xlpm.loc, ITEquipmentTable[Storage Location],
COUNTIFS(ITSecondTable[Tag], ITSecondTable[[#This Row],[Tag]], _xlpm.loc, "")
)</f>
        <v>1</v>
      </c>
      <c r="G285" s="168">
        <f>MAX(ITSecondTable[[#This Row],[SQty]] - ITSecondTable[[#This Row],[IQty]], 0)</f>
        <v>1</v>
      </c>
      <c r="H285" s="168">
        <f>MAX(ITSecondTable[[#This Row],[IQty]]-ITSecondTable[[#This Row],[SQty]], 0)</f>
        <v>0</v>
      </c>
      <c r="I285" s="151" t="str">
        <f>IFERROR(_xlfn.TEXTJOIN("~", TRUE, ITEquipmentTable[[#This Row],[Type]],ITEquipmentTable[[#This Row],[Brand]],ITEquipmentTable[[#This Row],[Model]]), "")</f>
        <v>Laptop~HP~HP ProBook 4540s</v>
      </c>
      <c r="J285" s="151" t="b">
        <f xml:space="preserve"> _xlfn.IFNA(MATCH( ITSecondTable[[#This Row],[Tag]], StorageTable[Tag], 0)  &gt; -1, FALSE)</f>
        <v>0</v>
      </c>
      <c r="K285" s="168" t="b">
        <f>COUNTIFS(ITEquipmentTable[Serial], ITEquipmentTable[[#This Row],[Serial]], ITEquipmentTable[Serial], "&lt;&gt;N/A") &gt; 1</f>
        <v>0</v>
      </c>
      <c r="L285" s="168" t="b">
        <f>COUNTIFS(ITEquipmentTable[Name], ITEquipmentTable[[#This Row],[Name]], ITEquipmentTable[Name], "&lt;&gt;&lt;Unassigned&gt;",  ITEquipmentTable[Name], "&lt;&gt;N/A") &gt; 1</f>
        <v>0</v>
      </c>
      <c r="M285" s="168" t="b">
        <f>AND(COUNTIFS(ITEquipmentTable[IPv4 Address], ITEquipmentTable[[#This Row],[IPv4 Address]]) &gt; 1, ITEquipmentTable[[#This Row],[IPv4 Address]] &lt;&gt; "DHCP",  ITEquipmentTable[[#This Row],[IPv4 Address]] &lt;&gt; "N/A")</f>
        <v>0</v>
      </c>
    </row>
    <row r="286" spans="1:13" x14ac:dyDescent="0.2">
      <c r="A286" s="168">
        <f>IF(LEN(ITSecondTable[[#This Row],[Tag]]) &gt; 0, _xlfn.XLOOKUP(ITSecondTable[[#This Row],[Tag]],StorageTable[Tag], StorageTable[In Storage - Count Total], "Err", 0, 1), 0)</f>
        <v>0</v>
      </c>
      <c r="B286" s="1">
        <f>_xlfn.LET(_xlpm.loc, ITEquipmentTable[Storage Location],
COUNTIFS(ITSecondTable[Tag], ITSecondTable[[#This Row],[Tag]], _xlpm.loc, "&lt;&gt;In Use", _xlpm.loc, "&lt;&gt;",  _xlpm.loc, "&lt;&gt;E-Waste", _xlpm.loc, "&lt;&gt;Virtual",  _xlpm.loc, "&lt;&gt;Assigned to Employee", _xlpm.loc, "&lt;&gt;Decommisioned", _xlpm.loc, "&lt;&gt;Missing")
)</f>
        <v>0</v>
      </c>
      <c r="C286" s="1">
        <f>_xlfn.LET(_xlpm.loc, ITEquipmentTable[Storage Location],
COUNTIFS(ITSecondTable[Tag], ITSecondTable[[#This Row],[Tag]], _xlpm.loc, "&lt;&gt;E-Waste", _xlpm.loc, "&lt;&gt;Virtual", _xlpm.loc, "&lt;&gt;Decommisioned")
)</f>
        <v>78</v>
      </c>
      <c r="D286" s="168">
        <f>_xlfn.LET(_xlpm.loc, ITEquipmentTable[Storage Location],
COUNTIFS(ITSecondTable[Tag], ITSecondTable[[#This Row],[Tag]], _xlpm.loc, "Missing")
)</f>
        <v>0</v>
      </c>
      <c r="E286" s="168">
        <f>_xlfn.LET(_xlpm.loc, ITEquipmentTable[Storage Location],
COUNTIFS(ITSecondTable[Tag], ITSecondTable[[#This Row],[Tag]], _xlpm.loc, "In Use") + COUNTIFS(ITSecondTable[Tag], ITSecondTable[[#This Row],[Tag]], _xlpm.loc, "Assigned to Employee")
)</f>
        <v>44</v>
      </c>
      <c r="F286" s="168">
        <f>_xlfn.LET(_xlpm.loc, ITEquipmentTable[Storage Location],
COUNTIFS(ITSecondTable[Tag], ITSecondTable[[#This Row],[Tag]], _xlpm.loc, "")
)</f>
        <v>34</v>
      </c>
      <c r="G286" s="168">
        <f>MAX(ITSecondTable[[#This Row],[SQty]] - ITSecondTable[[#This Row],[IQty]], 0)</f>
        <v>0</v>
      </c>
      <c r="H286" s="168">
        <f>MAX(ITSecondTable[[#This Row],[IQty]]-ITSecondTable[[#This Row],[SQty]], 0)</f>
        <v>0</v>
      </c>
      <c r="I286" s="151" t="str">
        <f>IFERROR(_xlfn.TEXTJOIN("~", TRUE, ITEquipmentTable[[#This Row],[Type]],ITEquipmentTable[[#This Row],[Brand]],ITEquipmentTable[[#This Row],[Model]]), "")</f>
        <v>Laptop~HP</v>
      </c>
      <c r="J286" s="151" t="b">
        <f xml:space="preserve"> _xlfn.IFNA(MATCH( ITSecondTable[[#This Row],[Tag]], StorageTable[Tag], 0)  &gt; -1, FALSE)</f>
        <v>0</v>
      </c>
      <c r="K286" s="168" t="b">
        <f>COUNTIFS(ITEquipmentTable[Serial], ITEquipmentTable[[#This Row],[Serial]], ITEquipmentTable[Serial], "&lt;&gt;N/A") &gt; 1</f>
        <v>0</v>
      </c>
      <c r="L286" s="168" t="b">
        <f>COUNTIFS(ITEquipmentTable[Name], ITEquipmentTable[[#This Row],[Name]], ITEquipmentTable[Name], "&lt;&gt;&lt;Unassigned&gt;",  ITEquipmentTable[Name], "&lt;&gt;N/A") &gt; 1</f>
        <v>0</v>
      </c>
      <c r="M286" s="168" t="b">
        <f>AND(COUNTIFS(ITEquipmentTable[IPv4 Address], ITEquipmentTable[[#This Row],[IPv4 Address]]) &gt; 1, ITEquipmentTable[[#This Row],[IPv4 Address]] &lt;&gt; "DHCP",  ITEquipmentTable[[#This Row],[IPv4 Address]] &lt;&gt; "N/A")</f>
        <v>0</v>
      </c>
    </row>
    <row r="287" spans="1:13" x14ac:dyDescent="0.2">
      <c r="A287" s="168">
        <f>IF(LEN(ITSecondTable[[#This Row],[Tag]]) &gt; 0, _xlfn.XLOOKUP(ITSecondTable[[#This Row],[Tag]],StorageTable[Tag], StorageTable[In Storage - Count Total], "Err", 0, 1), 0)</f>
        <v>0</v>
      </c>
      <c r="B287" s="1">
        <f>_xlfn.LET(_xlpm.loc, ITEquipmentTable[Storage Location],
COUNTIFS(ITSecondTable[Tag], ITSecondTable[[#This Row],[Tag]], _xlpm.loc, "&lt;&gt;In Use", _xlpm.loc, "&lt;&gt;",  _xlpm.loc, "&lt;&gt;E-Waste", _xlpm.loc, "&lt;&gt;Virtual",  _xlpm.loc, "&lt;&gt;Assigned to Employee", _xlpm.loc, "&lt;&gt;Decommisioned", _xlpm.loc, "&lt;&gt;Missing")
)</f>
        <v>2</v>
      </c>
      <c r="C287" s="1">
        <f>_xlfn.LET(_xlpm.loc, ITEquipmentTable[Storage Location],
COUNTIFS(ITSecondTable[Tag], ITSecondTable[[#This Row],[Tag]], _xlpm.loc, "&lt;&gt;E-Waste", _xlpm.loc, "&lt;&gt;Virtual", _xlpm.loc, "&lt;&gt;Decommisioned")
)</f>
        <v>13</v>
      </c>
      <c r="D287" s="168">
        <f>_xlfn.LET(_xlpm.loc, ITEquipmentTable[Storage Location],
COUNTIFS(ITSecondTable[Tag], ITSecondTable[[#This Row],[Tag]], _xlpm.loc, "Missing")
)</f>
        <v>0</v>
      </c>
      <c r="E287" s="168">
        <f>_xlfn.LET(_xlpm.loc, ITEquipmentTable[Storage Location],
COUNTIFS(ITSecondTable[Tag], ITSecondTable[[#This Row],[Tag]], _xlpm.loc, "In Use") + COUNTIFS(ITSecondTable[Tag], ITSecondTable[[#This Row],[Tag]], _xlpm.loc, "Assigned to Employee")
)</f>
        <v>1</v>
      </c>
      <c r="F287" s="168">
        <f>_xlfn.LET(_xlpm.loc, ITEquipmentTable[Storage Location],
COUNTIFS(ITSecondTable[Tag], ITSecondTable[[#This Row],[Tag]], _xlpm.loc, "")
)</f>
        <v>10</v>
      </c>
      <c r="G287" s="168">
        <f>MAX(ITSecondTable[[#This Row],[SQty]] - ITSecondTable[[#This Row],[IQty]], 0)</f>
        <v>2</v>
      </c>
      <c r="H287" s="168">
        <f>MAX(ITSecondTable[[#This Row],[IQty]]-ITSecondTable[[#This Row],[SQty]], 0)</f>
        <v>0</v>
      </c>
      <c r="I287" s="151" t="str">
        <f>IFERROR(_xlfn.TEXTJOIN("~", TRUE, ITEquipmentTable[[#This Row],[Type]],ITEquipmentTable[[#This Row],[Brand]],ITEquipmentTable[[#This Row],[Model]]), "")</f>
        <v>Laptop~HP~HP ProBook 650 G1</v>
      </c>
      <c r="J287" s="151" t="b">
        <f xml:space="preserve"> _xlfn.IFNA(MATCH( ITSecondTable[[#This Row],[Tag]], StorageTable[Tag], 0)  &gt; -1, FALSE)</f>
        <v>0</v>
      </c>
      <c r="K287" s="168" t="b">
        <f>COUNTIFS(ITEquipmentTable[Serial], ITEquipmentTable[[#This Row],[Serial]], ITEquipmentTable[Serial], "&lt;&gt;N/A") &gt; 1</f>
        <v>0</v>
      </c>
      <c r="L287" s="168" t="b">
        <f>COUNTIFS(ITEquipmentTable[Name], ITEquipmentTable[[#This Row],[Name]], ITEquipmentTable[Name], "&lt;&gt;&lt;Unassigned&gt;",  ITEquipmentTable[Name], "&lt;&gt;N/A") &gt; 1</f>
        <v>0</v>
      </c>
      <c r="M287" s="168" t="b">
        <f>AND(COUNTIFS(ITEquipmentTable[IPv4 Address], ITEquipmentTable[[#This Row],[IPv4 Address]]) &gt; 1, ITEquipmentTable[[#This Row],[IPv4 Address]] &lt;&gt; "DHCP",  ITEquipmentTable[[#This Row],[IPv4 Address]] &lt;&gt; "N/A")</f>
        <v>0</v>
      </c>
    </row>
    <row r="288" spans="1:13" x14ac:dyDescent="0.2">
      <c r="A288" s="168">
        <f>IF(LEN(ITSecondTable[[#This Row],[Tag]]) &gt; 0, _xlfn.XLOOKUP(ITSecondTable[[#This Row],[Tag]],StorageTable[Tag], StorageTable[In Storage - Count Total], "Err", 0, 1), 0)</f>
        <v>0</v>
      </c>
      <c r="B288" s="1">
        <f>_xlfn.LET(_xlpm.loc, ITEquipmentTable[Storage Location],
COUNTIFS(ITSecondTable[Tag], ITSecondTable[[#This Row],[Tag]], _xlpm.loc, "&lt;&gt;In Use", _xlpm.loc, "&lt;&gt;",  _xlpm.loc, "&lt;&gt;E-Waste", _xlpm.loc, "&lt;&gt;Virtual",  _xlpm.loc, "&lt;&gt;Assigned to Employee", _xlpm.loc, "&lt;&gt;Decommisioned", _xlpm.loc, "&lt;&gt;Missing")
)</f>
        <v>0</v>
      </c>
      <c r="C288" s="1">
        <f>_xlfn.LET(_xlpm.loc, ITEquipmentTable[Storage Location],
COUNTIFS(ITSecondTable[Tag], ITSecondTable[[#This Row],[Tag]], _xlpm.loc, "&lt;&gt;E-Waste", _xlpm.loc, "&lt;&gt;Virtual", _xlpm.loc, "&lt;&gt;Decommisioned")
)</f>
        <v>32</v>
      </c>
      <c r="D288" s="168">
        <f>_xlfn.LET(_xlpm.loc, ITEquipmentTable[Storage Location],
COUNTIFS(ITSecondTable[Tag], ITSecondTable[[#This Row],[Tag]], _xlpm.loc, "Missing")
)</f>
        <v>0</v>
      </c>
      <c r="E288" s="168">
        <f>_xlfn.LET(_xlpm.loc, ITEquipmentTable[Storage Location],
COUNTIFS(ITSecondTable[Tag], ITSecondTable[[#This Row],[Tag]], _xlpm.loc, "In Use") + COUNTIFS(ITSecondTable[Tag], ITSecondTable[[#This Row],[Tag]], _xlpm.loc, "Assigned to Employee")
)</f>
        <v>26</v>
      </c>
      <c r="F288" s="168">
        <f>_xlfn.LET(_xlpm.loc, ITEquipmentTable[Storage Location],
COUNTIFS(ITSecondTable[Tag], ITSecondTable[[#This Row],[Tag]], _xlpm.loc, "")
)</f>
        <v>6</v>
      </c>
      <c r="G288" s="168">
        <f>MAX(ITSecondTable[[#This Row],[SQty]] - ITSecondTable[[#This Row],[IQty]], 0)</f>
        <v>0</v>
      </c>
      <c r="H288" s="168">
        <f>MAX(ITSecondTable[[#This Row],[IQty]]-ITSecondTable[[#This Row],[SQty]], 0)</f>
        <v>0</v>
      </c>
      <c r="I288" s="151" t="str">
        <f>IFERROR(_xlfn.TEXTJOIN("~", TRUE, ITEquipmentTable[[#This Row],[Type]],ITEquipmentTable[[#This Row],[Brand]],ITEquipmentTable[[#This Row],[Model]]), "")</f>
        <v>Desktop</v>
      </c>
      <c r="J288" s="151" t="b">
        <f xml:space="preserve"> _xlfn.IFNA(MATCH( ITSecondTable[[#This Row],[Tag]], StorageTable[Tag], 0)  &gt; -1, FALSE)</f>
        <v>1</v>
      </c>
      <c r="K288" s="168" t="b">
        <f>COUNTIFS(ITEquipmentTable[Serial], ITEquipmentTable[[#This Row],[Serial]], ITEquipmentTable[Serial], "&lt;&gt;N/A") &gt; 1</f>
        <v>0</v>
      </c>
      <c r="L288" s="168" t="b">
        <f>COUNTIFS(ITEquipmentTable[Name], ITEquipmentTable[[#This Row],[Name]], ITEquipmentTable[Name], "&lt;&gt;&lt;Unassigned&gt;",  ITEquipmentTable[Name], "&lt;&gt;N/A") &gt; 1</f>
        <v>0</v>
      </c>
      <c r="M288" s="168" t="b">
        <f>AND(COUNTIFS(ITEquipmentTable[IPv4 Address], ITEquipmentTable[[#This Row],[IPv4 Address]]) &gt; 1, ITEquipmentTable[[#This Row],[IPv4 Address]] &lt;&gt; "DHCP",  ITEquipmentTable[[#This Row],[IPv4 Address]] &lt;&gt; "N/A")</f>
        <v>1</v>
      </c>
    </row>
    <row r="289" spans="1:13" x14ac:dyDescent="0.2">
      <c r="A289" s="168">
        <f>IF(LEN(ITSecondTable[[#This Row],[Tag]]) &gt; 0, _xlfn.XLOOKUP(ITSecondTable[[#This Row],[Tag]],StorageTable[Tag], StorageTable[In Storage - Count Total], "Err", 0, 1), 0)</f>
        <v>0</v>
      </c>
      <c r="B289" s="1">
        <f>_xlfn.LET(_xlpm.loc, ITEquipmentTable[Storage Location],
COUNTIFS(ITSecondTable[Tag], ITSecondTable[[#This Row],[Tag]], _xlpm.loc, "&lt;&gt;In Use", _xlpm.loc, "&lt;&gt;",  _xlpm.loc, "&lt;&gt;E-Waste", _xlpm.loc, "&lt;&gt;Virtual",  _xlpm.loc, "&lt;&gt;Assigned to Employee", _xlpm.loc, "&lt;&gt;Decommisioned", _xlpm.loc, "&lt;&gt;Missing")
)</f>
        <v>0</v>
      </c>
      <c r="C289" s="1">
        <f>_xlfn.LET(_xlpm.loc, ITEquipmentTable[Storage Location],
COUNTIFS(ITSecondTable[Tag], ITSecondTable[[#This Row],[Tag]], _xlpm.loc, "&lt;&gt;E-Waste", _xlpm.loc, "&lt;&gt;Virtual", _xlpm.loc, "&lt;&gt;Decommisioned")
)</f>
        <v>1</v>
      </c>
      <c r="D289" s="168">
        <f>_xlfn.LET(_xlpm.loc, ITEquipmentTable[Storage Location],
COUNTIFS(ITSecondTable[Tag], ITSecondTable[[#This Row],[Tag]], _xlpm.loc, "Missing")
)</f>
        <v>0</v>
      </c>
      <c r="E289" s="168">
        <f>_xlfn.LET(_xlpm.loc, ITEquipmentTable[Storage Location],
COUNTIFS(ITSecondTable[Tag], ITSecondTable[[#This Row],[Tag]], _xlpm.loc, "In Use") + COUNTIFS(ITSecondTable[Tag], ITSecondTable[[#This Row],[Tag]], _xlpm.loc, "Assigned to Employee")
)</f>
        <v>1</v>
      </c>
      <c r="F289" s="168">
        <f>_xlfn.LET(_xlpm.loc, ITEquipmentTable[Storage Location],
COUNTIFS(ITSecondTable[Tag], ITSecondTable[[#This Row],[Tag]], _xlpm.loc, "")
)</f>
        <v>0</v>
      </c>
      <c r="G289" s="168">
        <f>MAX(ITSecondTable[[#This Row],[SQty]] - ITSecondTable[[#This Row],[IQty]], 0)</f>
        <v>0</v>
      </c>
      <c r="H289" s="168">
        <f>MAX(ITSecondTable[[#This Row],[IQty]]-ITSecondTable[[#This Row],[SQty]], 0)</f>
        <v>0</v>
      </c>
      <c r="I289" s="151" t="str">
        <f>IFERROR(_xlfn.TEXTJOIN("~", TRUE, ITEquipmentTable[[#This Row],[Type]],ITEquipmentTable[[#This Row],[Brand]],ITEquipmentTable[[#This Row],[Model]]), "")</f>
        <v>Desktop~HP~HP ProDesk 600 G3 DM</v>
      </c>
      <c r="J289" s="151" t="b">
        <f xml:space="preserve"> _xlfn.IFNA(MATCH( ITSecondTable[[#This Row],[Tag]], StorageTable[Tag], 0)  &gt; -1, FALSE)</f>
        <v>0</v>
      </c>
      <c r="K289" s="168" t="b">
        <f>COUNTIFS(ITEquipmentTable[Serial], ITEquipmentTable[[#This Row],[Serial]], ITEquipmentTable[Serial], "&lt;&gt;N/A") &gt; 1</f>
        <v>0</v>
      </c>
      <c r="L289" s="168" t="b">
        <f>COUNTIFS(ITEquipmentTable[Name], ITEquipmentTable[[#This Row],[Name]], ITEquipmentTable[Name], "&lt;&gt;&lt;Unassigned&gt;",  ITEquipmentTable[Name], "&lt;&gt;N/A") &gt; 1</f>
        <v>0</v>
      </c>
      <c r="M289" s="168" t="b">
        <f>AND(COUNTIFS(ITEquipmentTable[IPv4 Address], ITEquipmentTable[[#This Row],[IPv4 Address]]) &gt; 1, ITEquipmentTable[[#This Row],[IPv4 Address]] &lt;&gt; "DHCP",  ITEquipmentTable[[#This Row],[IPv4 Address]] &lt;&gt; "N/A")</f>
        <v>0</v>
      </c>
    </row>
    <row r="290" spans="1:13" x14ac:dyDescent="0.2">
      <c r="A290" s="168">
        <f>IF(LEN(ITSecondTable[[#This Row],[Tag]]) &gt; 0, _xlfn.XLOOKUP(ITSecondTable[[#This Row],[Tag]],StorageTable[Tag], StorageTable[In Storage - Count Total], "Err", 0, 1), 0)</f>
        <v>0</v>
      </c>
      <c r="B290" s="1">
        <f>_xlfn.LET(_xlpm.loc, ITEquipmentTable[Storage Location],
COUNTIFS(ITSecondTable[Tag], ITSecondTable[[#This Row],[Tag]], _xlpm.loc, "&lt;&gt;In Use", _xlpm.loc, "&lt;&gt;",  _xlpm.loc, "&lt;&gt;E-Waste", _xlpm.loc, "&lt;&gt;Virtual",  _xlpm.loc, "&lt;&gt;Assigned to Employee", _xlpm.loc, "&lt;&gt;Decommisioned", _xlpm.loc, "&lt;&gt;Missing")
)</f>
        <v>0</v>
      </c>
      <c r="C290" s="1">
        <f>_xlfn.LET(_xlpm.loc, ITEquipmentTable[Storage Location],
COUNTIFS(ITSecondTable[Tag], ITSecondTable[[#This Row],[Tag]], _xlpm.loc, "&lt;&gt;E-Waste", _xlpm.loc, "&lt;&gt;Virtual", _xlpm.loc, "&lt;&gt;Decommisioned")
)</f>
        <v>78</v>
      </c>
      <c r="D290" s="168">
        <f>_xlfn.LET(_xlpm.loc, ITEquipmentTable[Storage Location],
COUNTIFS(ITSecondTable[Tag], ITSecondTable[[#This Row],[Tag]], _xlpm.loc, "Missing")
)</f>
        <v>0</v>
      </c>
      <c r="E290" s="168">
        <f>_xlfn.LET(_xlpm.loc, ITEquipmentTable[Storage Location],
COUNTIFS(ITSecondTable[Tag], ITSecondTable[[#This Row],[Tag]], _xlpm.loc, "In Use") + COUNTIFS(ITSecondTable[Tag], ITSecondTable[[#This Row],[Tag]], _xlpm.loc, "Assigned to Employee")
)</f>
        <v>44</v>
      </c>
      <c r="F290" s="168">
        <f>_xlfn.LET(_xlpm.loc, ITEquipmentTable[Storage Location],
COUNTIFS(ITSecondTable[Tag], ITSecondTable[[#This Row],[Tag]], _xlpm.loc, "")
)</f>
        <v>34</v>
      </c>
      <c r="G290" s="168">
        <f>MAX(ITSecondTable[[#This Row],[SQty]] - ITSecondTable[[#This Row],[IQty]], 0)</f>
        <v>0</v>
      </c>
      <c r="H290" s="168">
        <f>MAX(ITSecondTable[[#This Row],[IQty]]-ITSecondTable[[#This Row],[SQty]], 0)</f>
        <v>0</v>
      </c>
      <c r="I290" s="151" t="str">
        <f>IFERROR(_xlfn.TEXTJOIN("~", TRUE, ITEquipmentTable[[#This Row],[Type]],ITEquipmentTable[[#This Row],[Brand]],ITEquipmentTable[[#This Row],[Model]]), "")</f>
        <v>Laptop~HP</v>
      </c>
      <c r="J290" s="151" t="b">
        <f xml:space="preserve"> _xlfn.IFNA(MATCH( ITSecondTable[[#This Row],[Tag]], StorageTable[Tag], 0)  &gt; -1, FALSE)</f>
        <v>0</v>
      </c>
      <c r="K290" s="168" t="b">
        <f>COUNTIFS(ITEquipmentTable[Serial], ITEquipmentTable[[#This Row],[Serial]], ITEquipmentTable[Serial], "&lt;&gt;N/A") &gt; 1</f>
        <v>0</v>
      </c>
      <c r="L290" s="168" t="b">
        <f>COUNTIFS(ITEquipmentTable[Name], ITEquipmentTable[[#This Row],[Name]], ITEquipmentTable[Name], "&lt;&gt;&lt;Unassigned&gt;",  ITEquipmentTable[Name], "&lt;&gt;N/A") &gt; 1</f>
        <v>0</v>
      </c>
      <c r="M290" s="168" t="b">
        <f>AND(COUNTIFS(ITEquipmentTable[IPv4 Address], ITEquipmentTable[[#This Row],[IPv4 Address]]) &gt; 1, ITEquipmentTable[[#This Row],[IPv4 Address]] &lt;&gt; "DHCP",  ITEquipmentTable[[#This Row],[IPv4 Address]] &lt;&gt; "N/A")</f>
        <v>0</v>
      </c>
    </row>
    <row r="291" spans="1:13" x14ac:dyDescent="0.2">
      <c r="A291" s="168">
        <f>IF(LEN(ITSecondTable[[#This Row],[Tag]]) &gt; 0, _xlfn.XLOOKUP(ITSecondTable[[#This Row],[Tag]],StorageTable[Tag], StorageTable[In Storage - Count Total], "Err", 0, 1), 0)</f>
        <v>0</v>
      </c>
      <c r="B291" s="1">
        <f>_xlfn.LET(_xlpm.loc, ITEquipmentTable[Storage Location],
COUNTIFS(ITSecondTable[Tag], ITSecondTable[[#This Row],[Tag]], _xlpm.loc, "&lt;&gt;In Use", _xlpm.loc, "&lt;&gt;",  _xlpm.loc, "&lt;&gt;E-Waste", _xlpm.loc, "&lt;&gt;Virtual",  _xlpm.loc, "&lt;&gt;Assigned to Employee", _xlpm.loc, "&lt;&gt;Decommisioned", _xlpm.loc, "&lt;&gt;Missing")
)</f>
        <v>0</v>
      </c>
      <c r="C291" s="1">
        <f>_xlfn.LET(_xlpm.loc, ITEquipmentTable[Storage Location],
COUNTIFS(ITSecondTable[Tag], ITSecondTable[[#This Row],[Tag]], _xlpm.loc, "&lt;&gt;E-Waste", _xlpm.loc, "&lt;&gt;Virtual", _xlpm.loc, "&lt;&gt;Decommisioned")
)</f>
        <v>29</v>
      </c>
      <c r="D291" s="168">
        <f>_xlfn.LET(_xlpm.loc, ITEquipmentTable[Storage Location],
COUNTIFS(ITSecondTable[Tag], ITSecondTable[[#This Row],[Tag]], _xlpm.loc, "Missing")
)</f>
        <v>0</v>
      </c>
      <c r="E291" s="168">
        <f>_xlfn.LET(_xlpm.loc, ITEquipmentTable[Storage Location],
COUNTIFS(ITSecondTable[Tag], ITSecondTable[[#This Row],[Tag]], _xlpm.loc, "In Use") + COUNTIFS(ITSecondTable[Tag], ITSecondTable[[#This Row],[Tag]], _xlpm.loc, "Assigned to Employee")
)</f>
        <v>3</v>
      </c>
      <c r="F291" s="168">
        <f>_xlfn.LET(_xlpm.loc, ITEquipmentTable[Storage Location],
COUNTIFS(ITSecondTable[Tag], ITSecondTable[[#This Row],[Tag]], _xlpm.loc, "")
)</f>
        <v>26</v>
      </c>
      <c r="G291" s="168">
        <f>MAX(ITSecondTable[[#This Row],[SQty]] - ITSecondTable[[#This Row],[IQty]], 0)</f>
        <v>0</v>
      </c>
      <c r="H291" s="168">
        <f>MAX(ITSecondTable[[#This Row],[IQty]]-ITSecondTable[[#This Row],[SQty]], 0)</f>
        <v>0</v>
      </c>
      <c r="I291" s="151" t="str">
        <f>IFERROR(_xlfn.TEXTJOIN("~", TRUE, ITEquipmentTable[[#This Row],[Type]],ITEquipmentTable[[#This Row],[Brand]],ITEquipmentTable[[#This Row],[Model]]), "")</f>
        <v>Laptop~HP~HP ProBook 650 G2</v>
      </c>
      <c r="J291" s="151" t="b">
        <f xml:space="preserve"> _xlfn.IFNA(MATCH( ITSecondTable[[#This Row],[Tag]], StorageTable[Tag], 0)  &gt; -1, FALSE)</f>
        <v>0</v>
      </c>
      <c r="K291" s="168" t="b">
        <f>COUNTIFS(ITEquipmentTable[Serial], ITEquipmentTable[[#This Row],[Serial]], ITEquipmentTable[Serial], "&lt;&gt;N/A") &gt; 1</f>
        <v>0</v>
      </c>
      <c r="L291" s="168" t="b">
        <f>COUNTIFS(ITEquipmentTable[Name], ITEquipmentTable[[#This Row],[Name]], ITEquipmentTable[Name], "&lt;&gt;&lt;Unassigned&gt;",  ITEquipmentTable[Name], "&lt;&gt;N/A") &gt; 1</f>
        <v>0</v>
      </c>
      <c r="M291" s="168" t="b">
        <f>AND(COUNTIFS(ITEquipmentTable[IPv4 Address], ITEquipmentTable[[#This Row],[IPv4 Address]]) &gt; 1, ITEquipmentTable[[#This Row],[IPv4 Address]] &lt;&gt; "DHCP",  ITEquipmentTable[[#This Row],[IPv4 Address]] &lt;&gt; "N/A")</f>
        <v>0</v>
      </c>
    </row>
    <row r="292" spans="1:13" x14ac:dyDescent="0.2">
      <c r="A292" s="168">
        <f>IF(LEN(ITSecondTable[[#This Row],[Tag]]) &gt; 0, _xlfn.XLOOKUP(ITSecondTable[[#This Row],[Tag]],StorageTable[Tag], StorageTable[In Storage - Count Total], "Err", 0, 1), 0)</f>
        <v>0</v>
      </c>
      <c r="B292" s="1">
        <f>_xlfn.LET(_xlpm.loc, ITEquipmentTable[Storage Location],
COUNTIFS(ITSecondTable[Tag], ITSecondTable[[#This Row],[Tag]], _xlpm.loc, "&lt;&gt;In Use", _xlpm.loc, "&lt;&gt;",  _xlpm.loc, "&lt;&gt;E-Waste", _xlpm.loc, "&lt;&gt;Virtual",  _xlpm.loc, "&lt;&gt;Assigned to Employee", _xlpm.loc, "&lt;&gt;Decommisioned", _xlpm.loc, "&lt;&gt;Missing")
)</f>
        <v>0</v>
      </c>
      <c r="C292" s="1">
        <f>_xlfn.LET(_xlpm.loc, ITEquipmentTable[Storage Location],
COUNTIFS(ITSecondTable[Tag], ITSecondTable[[#This Row],[Tag]], _xlpm.loc, "&lt;&gt;E-Waste", _xlpm.loc, "&lt;&gt;Virtual", _xlpm.loc, "&lt;&gt;Decommisioned")
)</f>
        <v>29</v>
      </c>
      <c r="D292" s="168">
        <f>_xlfn.LET(_xlpm.loc, ITEquipmentTable[Storage Location],
COUNTIFS(ITSecondTable[Tag], ITSecondTable[[#This Row],[Tag]], _xlpm.loc, "Missing")
)</f>
        <v>0</v>
      </c>
      <c r="E292" s="168">
        <f>_xlfn.LET(_xlpm.loc, ITEquipmentTable[Storage Location],
COUNTIFS(ITSecondTable[Tag], ITSecondTable[[#This Row],[Tag]], _xlpm.loc, "In Use") + COUNTIFS(ITSecondTable[Tag], ITSecondTable[[#This Row],[Tag]], _xlpm.loc, "Assigned to Employee")
)</f>
        <v>3</v>
      </c>
      <c r="F292" s="168">
        <f>_xlfn.LET(_xlpm.loc, ITEquipmentTable[Storage Location],
COUNTIFS(ITSecondTable[Tag], ITSecondTable[[#This Row],[Tag]], _xlpm.loc, "")
)</f>
        <v>26</v>
      </c>
      <c r="G292" s="168">
        <f>MAX(ITSecondTable[[#This Row],[SQty]] - ITSecondTable[[#This Row],[IQty]], 0)</f>
        <v>0</v>
      </c>
      <c r="H292" s="168">
        <f>MAX(ITSecondTable[[#This Row],[IQty]]-ITSecondTable[[#This Row],[SQty]], 0)</f>
        <v>0</v>
      </c>
      <c r="I292" s="151" t="str">
        <f>IFERROR(_xlfn.TEXTJOIN("~", TRUE, ITEquipmentTable[[#This Row],[Type]],ITEquipmentTable[[#This Row],[Brand]],ITEquipmentTable[[#This Row],[Model]]), "")</f>
        <v>Laptop~HP~HP ProBook 650 G2</v>
      </c>
      <c r="J292" s="151" t="b">
        <f xml:space="preserve"> _xlfn.IFNA(MATCH( ITSecondTable[[#This Row],[Tag]], StorageTable[Tag], 0)  &gt; -1, FALSE)</f>
        <v>0</v>
      </c>
      <c r="K292" s="168" t="b">
        <f>COUNTIFS(ITEquipmentTable[Serial], ITEquipmentTable[[#This Row],[Serial]], ITEquipmentTable[Serial], "&lt;&gt;N/A") &gt; 1</f>
        <v>0</v>
      </c>
      <c r="L292" s="168" t="b">
        <f>COUNTIFS(ITEquipmentTable[Name], ITEquipmentTable[[#This Row],[Name]], ITEquipmentTable[Name], "&lt;&gt;&lt;Unassigned&gt;",  ITEquipmentTable[Name], "&lt;&gt;N/A") &gt; 1</f>
        <v>0</v>
      </c>
      <c r="M292" s="168" t="b">
        <f>AND(COUNTIFS(ITEquipmentTable[IPv4 Address], ITEquipmentTable[[#This Row],[IPv4 Address]]) &gt; 1, ITEquipmentTable[[#This Row],[IPv4 Address]] &lt;&gt; "DHCP",  ITEquipmentTable[[#This Row],[IPv4 Address]] &lt;&gt; "N/A")</f>
        <v>0</v>
      </c>
    </row>
    <row r="293" spans="1:13" x14ac:dyDescent="0.2">
      <c r="A293" s="168">
        <f>IF(LEN(ITSecondTable[[#This Row],[Tag]]) &gt; 0, _xlfn.XLOOKUP(ITSecondTable[[#This Row],[Tag]],StorageTable[Tag], StorageTable[In Storage - Count Total], "Err", 0, 1), 0)</f>
        <v>0</v>
      </c>
      <c r="B293" s="1">
        <f>_xlfn.LET(_xlpm.loc, ITEquipmentTable[Storage Location],
COUNTIFS(ITSecondTable[Tag], ITSecondTable[[#This Row],[Tag]], _xlpm.loc, "&lt;&gt;In Use", _xlpm.loc, "&lt;&gt;",  _xlpm.loc, "&lt;&gt;E-Waste", _xlpm.loc, "&lt;&gt;Virtual",  _xlpm.loc, "&lt;&gt;Assigned to Employee", _xlpm.loc, "&lt;&gt;Decommisioned", _xlpm.loc, "&lt;&gt;Missing")
)</f>
        <v>0</v>
      </c>
      <c r="C293" s="1">
        <f>_xlfn.LET(_xlpm.loc, ITEquipmentTable[Storage Location],
COUNTIFS(ITSecondTable[Tag], ITSecondTable[[#This Row],[Tag]], _xlpm.loc, "&lt;&gt;E-Waste", _xlpm.loc, "&lt;&gt;Virtual", _xlpm.loc, "&lt;&gt;Decommisioned")
)</f>
        <v>78</v>
      </c>
      <c r="D293" s="168">
        <f>_xlfn.LET(_xlpm.loc, ITEquipmentTable[Storage Location],
COUNTIFS(ITSecondTable[Tag], ITSecondTable[[#This Row],[Tag]], _xlpm.loc, "Missing")
)</f>
        <v>0</v>
      </c>
      <c r="E293" s="168">
        <f>_xlfn.LET(_xlpm.loc, ITEquipmentTable[Storage Location],
COUNTIFS(ITSecondTable[Tag], ITSecondTable[[#This Row],[Tag]], _xlpm.loc, "In Use") + COUNTIFS(ITSecondTable[Tag], ITSecondTable[[#This Row],[Tag]], _xlpm.loc, "Assigned to Employee")
)</f>
        <v>44</v>
      </c>
      <c r="F293" s="168">
        <f>_xlfn.LET(_xlpm.loc, ITEquipmentTable[Storage Location],
COUNTIFS(ITSecondTable[Tag], ITSecondTable[[#This Row],[Tag]], _xlpm.loc, "")
)</f>
        <v>34</v>
      </c>
      <c r="G293" s="168">
        <f>MAX(ITSecondTable[[#This Row],[SQty]] - ITSecondTable[[#This Row],[IQty]], 0)</f>
        <v>0</v>
      </c>
      <c r="H293" s="168">
        <f>MAX(ITSecondTable[[#This Row],[IQty]]-ITSecondTable[[#This Row],[SQty]], 0)</f>
        <v>0</v>
      </c>
      <c r="I293" s="151" t="str">
        <f>IFERROR(_xlfn.TEXTJOIN("~", TRUE, ITEquipmentTable[[#This Row],[Type]],ITEquipmentTable[[#This Row],[Brand]],ITEquipmentTable[[#This Row],[Model]]), "")</f>
        <v>Laptop~HP</v>
      </c>
      <c r="J293" s="151" t="b">
        <f xml:space="preserve"> _xlfn.IFNA(MATCH( ITSecondTable[[#This Row],[Tag]], StorageTable[Tag], 0)  &gt; -1, FALSE)</f>
        <v>0</v>
      </c>
      <c r="K293" s="168" t="b">
        <f>COUNTIFS(ITEquipmentTable[Serial], ITEquipmentTable[[#This Row],[Serial]], ITEquipmentTable[Serial], "&lt;&gt;N/A") &gt; 1</f>
        <v>0</v>
      </c>
      <c r="L293" s="168" t="b">
        <f>COUNTIFS(ITEquipmentTable[Name], ITEquipmentTable[[#This Row],[Name]], ITEquipmentTable[Name], "&lt;&gt;&lt;Unassigned&gt;",  ITEquipmentTable[Name], "&lt;&gt;N/A") &gt; 1</f>
        <v>0</v>
      </c>
      <c r="M293" s="168" t="b">
        <f>AND(COUNTIFS(ITEquipmentTable[IPv4 Address], ITEquipmentTable[[#This Row],[IPv4 Address]]) &gt; 1, ITEquipmentTable[[#This Row],[IPv4 Address]] &lt;&gt; "DHCP",  ITEquipmentTable[[#This Row],[IPv4 Address]] &lt;&gt; "N/A")</f>
        <v>0</v>
      </c>
    </row>
    <row r="294" spans="1:13" x14ac:dyDescent="0.2">
      <c r="A294" s="168">
        <f>IF(LEN(ITSecondTable[[#This Row],[Tag]]) &gt; 0, _xlfn.XLOOKUP(ITSecondTable[[#This Row],[Tag]],StorageTable[Tag], StorageTable[In Storage - Count Total], "Err", 0, 1), 0)</f>
        <v>0</v>
      </c>
      <c r="B294" s="1">
        <f>_xlfn.LET(_xlpm.loc, ITEquipmentTable[Storage Location],
COUNTIFS(ITSecondTable[Tag], ITSecondTable[[#This Row],[Tag]], _xlpm.loc, "&lt;&gt;In Use", _xlpm.loc, "&lt;&gt;",  _xlpm.loc, "&lt;&gt;E-Waste", _xlpm.loc, "&lt;&gt;Virtual",  _xlpm.loc, "&lt;&gt;Assigned to Employee", _xlpm.loc, "&lt;&gt;Decommisioned", _xlpm.loc, "&lt;&gt;Missing")
)</f>
        <v>0</v>
      </c>
      <c r="C294" s="1">
        <f>_xlfn.LET(_xlpm.loc, ITEquipmentTable[Storage Location],
COUNTIFS(ITSecondTable[Tag], ITSecondTable[[#This Row],[Tag]], _xlpm.loc, "&lt;&gt;E-Waste", _xlpm.loc, "&lt;&gt;Virtual", _xlpm.loc, "&lt;&gt;Decommisioned")
)</f>
        <v>78</v>
      </c>
      <c r="D294" s="168">
        <f>_xlfn.LET(_xlpm.loc, ITEquipmentTable[Storage Location],
COUNTIFS(ITSecondTable[Tag], ITSecondTable[[#This Row],[Tag]], _xlpm.loc, "Missing")
)</f>
        <v>0</v>
      </c>
      <c r="E294" s="168">
        <f>_xlfn.LET(_xlpm.loc, ITEquipmentTable[Storage Location],
COUNTIFS(ITSecondTable[Tag], ITSecondTable[[#This Row],[Tag]], _xlpm.loc, "In Use") + COUNTIFS(ITSecondTable[Tag], ITSecondTable[[#This Row],[Tag]], _xlpm.loc, "Assigned to Employee")
)</f>
        <v>44</v>
      </c>
      <c r="F294" s="168">
        <f>_xlfn.LET(_xlpm.loc, ITEquipmentTable[Storage Location],
COUNTIFS(ITSecondTable[Tag], ITSecondTable[[#This Row],[Tag]], _xlpm.loc, "")
)</f>
        <v>34</v>
      </c>
      <c r="G294" s="168">
        <f>MAX(ITSecondTable[[#This Row],[SQty]] - ITSecondTable[[#This Row],[IQty]], 0)</f>
        <v>0</v>
      </c>
      <c r="H294" s="168">
        <f>MAX(ITSecondTable[[#This Row],[IQty]]-ITSecondTable[[#This Row],[SQty]], 0)</f>
        <v>0</v>
      </c>
      <c r="I294" s="151" t="str">
        <f>IFERROR(_xlfn.TEXTJOIN("~", TRUE, ITEquipmentTable[[#This Row],[Type]],ITEquipmentTable[[#This Row],[Brand]],ITEquipmentTable[[#This Row],[Model]]), "")</f>
        <v>Laptop~HP</v>
      </c>
      <c r="J294" s="151" t="b">
        <f xml:space="preserve"> _xlfn.IFNA(MATCH( ITSecondTable[[#This Row],[Tag]], StorageTable[Tag], 0)  &gt; -1, FALSE)</f>
        <v>0</v>
      </c>
      <c r="K294" s="168" t="b">
        <f>COUNTIFS(ITEquipmentTable[Serial], ITEquipmentTable[[#This Row],[Serial]], ITEquipmentTable[Serial], "&lt;&gt;N/A") &gt; 1</f>
        <v>0</v>
      </c>
      <c r="L294" s="168" t="b">
        <f>COUNTIFS(ITEquipmentTable[Name], ITEquipmentTable[[#This Row],[Name]], ITEquipmentTable[Name], "&lt;&gt;&lt;Unassigned&gt;",  ITEquipmentTable[Name], "&lt;&gt;N/A") &gt; 1</f>
        <v>0</v>
      </c>
      <c r="M294" s="168" t="b">
        <f>AND(COUNTIFS(ITEquipmentTable[IPv4 Address], ITEquipmentTable[[#This Row],[IPv4 Address]]) &gt; 1, ITEquipmentTable[[#This Row],[IPv4 Address]] &lt;&gt; "DHCP",  ITEquipmentTable[[#This Row],[IPv4 Address]] &lt;&gt; "N/A")</f>
        <v>0</v>
      </c>
    </row>
    <row r="295" spans="1:13" x14ac:dyDescent="0.2">
      <c r="A295" s="168">
        <f>IF(LEN(ITSecondTable[[#This Row],[Tag]]) &gt; 0, _xlfn.XLOOKUP(ITSecondTable[[#This Row],[Tag]],StorageTable[Tag], StorageTable[In Storage - Count Total], "Err", 0, 1), 0)</f>
        <v>0</v>
      </c>
      <c r="B295" s="1">
        <f>_xlfn.LET(_xlpm.loc, ITEquipmentTable[Storage Location],
COUNTIFS(ITSecondTable[Tag], ITSecondTable[[#This Row],[Tag]], _xlpm.loc, "&lt;&gt;In Use", _xlpm.loc, "&lt;&gt;",  _xlpm.loc, "&lt;&gt;E-Waste", _xlpm.loc, "&lt;&gt;Virtual",  _xlpm.loc, "&lt;&gt;Assigned to Employee", _xlpm.loc, "&lt;&gt;Decommisioned", _xlpm.loc, "&lt;&gt;Missing")
)</f>
        <v>2</v>
      </c>
      <c r="C295" s="1">
        <f>_xlfn.LET(_xlpm.loc, ITEquipmentTable[Storage Location],
COUNTIFS(ITSecondTable[Tag], ITSecondTable[[#This Row],[Tag]], _xlpm.loc, "&lt;&gt;E-Waste", _xlpm.loc, "&lt;&gt;Virtual", _xlpm.loc, "&lt;&gt;Decommisioned")
)</f>
        <v>13</v>
      </c>
      <c r="D295" s="168">
        <f>_xlfn.LET(_xlpm.loc, ITEquipmentTable[Storage Location],
COUNTIFS(ITSecondTable[Tag], ITSecondTable[[#This Row],[Tag]], _xlpm.loc, "Missing")
)</f>
        <v>0</v>
      </c>
      <c r="E295" s="168">
        <f>_xlfn.LET(_xlpm.loc, ITEquipmentTable[Storage Location],
COUNTIFS(ITSecondTable[Tag], ITSecondTable[[#This Row],[Tag]], _xlpm.loc, "In Use") + COUNTIFS(ITSecondTable[Tag], ITSecondTable[[#This Row],[Tag]], _xlpm.loc, "Assigned to Employee")
)</f>
        <v>1</v>
      </c>
      <c r="F295" s="168">
        <f>_xlfn.LET(_xlpm.loc, ITEquipmentTable[Storage Location],
COUNTIFS(ITSecondTable[Tag], ITSecondTable[[#This Row],[Tag]], _xlpm.loc, "")
)</f>
        <v>10</v>
      </c>
      <c r="G295" s="168">
        <f>MAX(ITSecondTable[[#This Row],[SQty]] - ITSecondTable[[#This Row],[IQty]], 0)</f>
        <v>2</v>
      </c>
      <c r="H295" s="168">
        <f>MAX(ITSecondTable[[#This Row],[IQty]]-ITSecondTable[[#This Row],[SQty]], 0)</f>
        <v>0</v>
      </c>
      <c r="I295" s="151" t="str">
        <f>IFERROR(_xlfn.TEXTJOIN("~", TRUE, ITEquipmentTable[[#This Row],[Type]],ITEquipmentTable[[#This Row],[Brand]],ITEquipmentTable[[#This Row],[Model]]), "")</f>
        <v>Laptop~HP~HP ProBook 650 G1</v>
      </c>
      <c r="J295" s="151" t="b">
        <f xml:space="preserve"> _xlfn.IFNA(MATCH( ITSecondTable[[#This Row],[Tag]], StorageTable[Tag], 0)  &gt; -1, FALSE)</f>
        <v>0</v>
      </c>
      <c r="K295" s="168" t="b">
        <f>COUNTIFS(ITEquipmentTable[Serial], ITEquipmentTable[[#This Row],[Serial]], ITEquipmentTable[Serial], "&lt;&gt;N/A") &gt; 1</f>
        <v>0</v>
      </c>
      <c r="L295" s="168" t="b">
        <f>COUNTIFS(ITEquipmentTable[Name], ITEquipmentTable[[#This Row],[Name]], ITEquipmentTable[Name], "&lt;&gt;&lt;Unassigned&gt;",  ITEquipmentTable[Name], "&lt;&gt;N/A") &gt; 1</f>
        <v>0</v>
      </c>
      <c r="M295" s="168" t="b">
        <f>AND(COUNTIFS(ITEquipmentTable[IPv4 Address], ITEquipmentTable[[#This Row],[IPv4 Address]]) &gt; 1, ITEquipmentTable[[#This Row],[IPv4 Address]] &lt;&gt; "DHCP",  ITEquipmentTable[[#This Row],[IPv4 Address]] &lt;&gt; "N/A")</f>
        <v>0</v>
      </c>
    </row>
    <row r="296" spans="1:13" x14ac:dyDescent="0.2">
      <c r="A296" s="168">
        <f>IF(LEN(ITSecondTable[[#This Row],[Tag]]) &gt; 0, _xlfn.XLOOKUP(ITSecondTable[[#This Row],[Tag]],StorageTable[Tag], StorageTable[In Storage - Count Total], "Err", 0, 1), 0)</f>
        <v>0</v>
      </c>
      <c r="B296" s="1">
        <f>_xlfn.LET(_xlpm.loc, ITEquipmentTable[Storage Location],
COUNTIFS(ITSecondTable[Tag], ITSecondTable[[#This Row],[Tag]], _xlpm.loc, "&lt;&gt;In Use", _xlpm.loc, "&lt;&gt;",  _xlpm.loc, "&lt;&gt;E-Waste", _xlpm.loc, "&lt;&gt;Virtual",  _xlpm.loc, "&lt;&gt;Assigned to Employee", _xlpm.loc, "&lt;&gt;Decommisioned", _xlpm.loc, "&lt;&gt;Missing")
)</f>
        <v>2</v>
      </c>
      <c r="C296" s="1">
        <f>_xlfn.LET(_xlpm.loc, ITEquipmentTable[Storage Location],
COUNTIFS(ITSecondTable[Tag], ITSecondTable[[#This Row],[Tag]], _xlpm.loc, "&lt;&gt;E-Waste", _xlpm.loc, "&lt;&gt;Virtual", _xlpm.loc, "&lt;&gt;Decommisioned")
)</f>
        <v>17</v>
      </c>
      <c r="D296" s="168">
        <f>_xlfn.LET(_xlpm.loc, ITEquipmentTable[Storage Location],
COUNTIFS(ITSecondTable[Tag], ITSecondTable[[#This Row],[Tag]], _xlpm.loc, "Missing")
)</f>
        <v>0</v>
      </c>
      <c r="E296" s="168">
        <f>_xlfn.LET(_xlpm.loc, ITEquipmentTable[Storage Location],
COUNTIFS(ITSecondTable[Tag], ITSecondTable[[#This Row],[Tag]], _xlpm.loc, "In Use") + COUNTIFS(ITSecondTable[Tag], ITSecondTable[[#This Row],[Tag]], _xlpm.loc, "Assigned to Employee")
)</f>
        <v>5</v>
      </c>
      <c r="F296" s="168">
        <f>_xlfn.LET(_xlpm.loc, ITEquipmentTable[Storage Location],
COUNTIFS(ITSecondTable[Tag], ITSecondTable[[#This Row],[Tag]], _xlpm.loc, "")
)</f>
        <v>10</v>
      </c>
      <c r="G296" s="168">
        <f>MAX(ITSecondTable[[#This Row],[SQty]] - ITSecondTable[[#This Row],[IQty]], 0)</f>
        <v>2</v>
      </c>
      <c r="H296" s="168">
        <f>MAX(ITSecondTable[[#This Row],[IQty]]-ITSecondTable[[#This Row],[SQty]], 0)</f>
        <v>0</v>
      </c>
      <c r="I296" s="151" t="str">
        <f>IFERROR(_xlfn.TEXTJOIN("~", TRUE, ITEquipmentTable[[#This Row],[Type]],ITEquipmentTable[[#This Row],[Brand]],ITEquipmentTable[[#This Row],[Model]]), "")</f>
        <v>Laptop~HP~HP ProBook 640 G3</v>
      </c>
      <c r="J296" s="151" t="b">
        <f xml:space="preserve"> _xlfn.IFNA(MATCH( ITSecondTable[[#This Row],[Tag]], StorageTable[Tag], 0)  &gt; -1, FALSE)</f>
        <v>0</v>
      </c>
      <c r="K296" s="168" t="b">
        <f>COUNTIFS(ITEquipmentTable[Serial], ITEquipmentTable[[#This Row],[Serial]], ITEquipmentTable[Serial], "&lt;&gt;N/A") &gt; 1</f>
        <v>0</v>
      </c>
      <c r="L296" s="168" t="b">
        <f>COUNTIFS(ITEquipmentTable[Name], ITEquipmentTable[[#This Row],[Name]], ITEquipmentTable[Name], "&lt;&gt;&lt;Unassigned&gt;",  ITEquipmentTable[Name], "&lt;&gt;N/A") &gt; 1</f>
        <v>0</v>
      </c>
      <c r="M296" s="168" t="b">
        <f>AND(COUNTIFS(ITEquipmentTable[IPv4 Address], ITEquipmentTable[[#This Row],[IPv4 Address]]) &gt; 1, ITEquipmentTable[[#This Row],[IPv4 Address]] &lt;&gt; "DHCP",  ITEquipmentTable[[#This Row],[IPv4 Address]] &lt;&gt; "N/A")</f>
        <v>0</v>
      </c>
    </row>
    <row r="297" spans="1:13" x14ac:dyDescent="0.2">
      <c r="A297" s="168">
        <f>IF(LEN(ITSecondTable[[#This Row],[Tag]]) &gt; 0, _xlfn.XLOOKUP(ITSecondTable[[#This Row],[Tag]],StorageTable[Tag], StorageTable[In Storage - Count Total], "Err", 0, 1), 0)</f>
        <v>0</v>
      </c>
      <c r="B297" s="1">
        <f>_xlfn.LET(_xlpm.loc, ITEquipmentTable[Storage Location],
COUNTIFS(ITSecondTable[Tag], ITSecondTable[[#This Row],[Tag]], _xlpm.loc, "&lt;&gt;In Use", _xlpm.loc, "&lt;&gt;",  _xlpm.loc, "&lt;&gt;E-Waste", _xlpm.loc, "&lt;&gt;Virtual",  _xlpm.loc, "&lt;&gt;Assigned to Employee", _xlpm.loc, "&lt;&gt;Decommisioned", _xlpm.loc, "&lt;&gt;Missing")
)</f>
        <v>0</v>
      </c>
      <c r="C297" s="1">
        <f>_xlfn.LET(_xlpm.loc, ITEquipmentTable[Storage Location],
COUNTIFS(ITSecondTable[Tag], ITSecondTable[[#This Row],[Tag]], _xlpm.loc, "&lt;&gt;E-Waste", _xlpm.loc, "&lt;&gt;Virtual", _xlpm.loc, "&lt;&gt;Decommisioned")
)</f>
        <v>78</v>
      </c>
      <c r="D297" s="168">
        <f>_xlfn.LET(_xlpm.loc, ITEquipmentTable[Storage Location],
COUNTIFS(ITSecondTable[Tag], ITSecondTable[[#This Row],[Tag]], _xlpm.loc, "Missing")
)</f>
        <v>0</v>
      </c>
      <c r="E297" s="168">
        <f>_xlfn.LET(_xlpm.loc, ITEquipmentTable[Storage Location],
COUNTIFS(ITSecondTable[Tag], ITSecondTable[[#This Row],[Tag]], _xlpm.loc, "In Use") + COUNTIFS(ITSecondTable[Tag], ITSecondTable[[#This Row],[Tag]], _xlpm.loc, "Assigned to Employee")
)</f>
        <v>44</v>
      </c>
      <c r="F297" s="168">
        <f>_xlfn.LET(_xlpm.loc, ITEquipmentTable[Storage Location],
COUNTIFS(ITSecondTable[Tag], ITSecondTable[[#This Row],[Tag]], _xlpm.loc, "")
)</f>
        <v>34</v>
      </c>
      <c r="G297" s="168">
        <f>MAX(ITSecondTable[[#This Row],[SQty]] - ITSecondTable[[#This Row],[IQty]], 0)</f>
        <v>0</v>
      </c>
      <c r="H297" s="168">
        <f>MAX(ITSecondTable[[#This Row],[IQty]]-ITSecondTable[[#This Row],[SQty]], 0)</f>
        <v>0</v>
      </c>
      <c r="I297" s="151" t="str">
        <f>IFERROR(_xlfn.TEXTJOIN("~", TRUE, ITEquipmentTable[[#This Row],[Type]],ITEquipmentTable[[#This Row],[Brand]],ITEquipmentTable[[#This Row],[Model]]), "")</f>
        <v>Laptop~HP</v>
      </c>
      <c r="J297" s="151" t="b">
        <f xml:space="preserve"> _xlfn.IFNA(MATCH( ITSecondTable[[#This Row],[Tag]], StorageTable[Tag], 0)  &gt; -1, FALSE)</f>
        <v>0</v>
      </c>
      <c r="K297" s="168" t="b">
        <f>COUNTIFS(ITEquipmentTable[Serial], ITEquipmentTable[[#This Row],[Serial]], ITEquipmentTable[Serial], "&lt;&gt;N/A") &gt; 1</f>
        <v>0</v>
      </c>
      <c r="L297" s="168" t="b">
        <f>COUNTIFS(ITEquipmentTable[Name], ITEquipmentTable[[#This Row],[Name]], ITEquipmentTable[Name], "&lt;&gt;&lt;Unassigned&gt;",  ITEquipmentTable[Name], "&lt;&gt;N/A") &gt; 1</f>
        <v>0</v>
      </c>
      <c r="M297" s="168" t="b">
        <f>AND(COUNTIFS(ITEquipmentTable[IPv4 Address], ITEquipmentTable[[#This Row],[IPv4 Address]]) &gt; 1, ITEquipmentTable[[#This Row],[IPv4 Address]] &lt;&gt; "DHCP",  ITEquipmentTable[[#This Row],[IPv4 Address]] &lt;&gt; "N/A")</f>
        <v>0</v>
      </c>
    </row>
    <row r="298" spans="1:13" x14ac:dyDescent="0.2">
      <c r="A298" s="168">
        <f>IF(LEN(ITSecondTable[[#This Row],[Tag]]) &gt; 0, _xlfn.XLOOKUP(ITSecondTable[[#This Row],[Tag]],StorageTable[Tag], StorageTable[In Storage - Count Total], "Err", 0, 1), 0)</f>
        <v>0</v>
      </c>
      <c r="B298" s="1">
        <f>_xlfn.LET(_xlpm.loc, ITEquipmentTable[Storage Location],
COUNTIFS(ITSecondTable[Tag], ITSecondTable[[#This Row],[Tag]], _xlpm.loc, "&lt;&gt;In Use", _xlpm.loc, "&lt;&gt;",  _xlpm.loc, "&lt;&gt;E-Waste", _xlpm.loc, "&lt;&gt;Virtual",  _xlpm.loc, "&lt;&gt;Assigned to Employee", _xlpm.loc, "&lt;&gt;Decommisioned", _xlpm.loc, "&lt;&gt;Missing")
)</f>
        <v>0</v>
      </c>
      <c r="C298" s="1">
        <f>_xlfn.LET(_xlpm.loc, ITEquipmentTable[Storage Location],
COUNTIFS(ITSecondTable[Tag], ITSecondTable[[#This Row],[Tag]], _xlpm.loc, "&lt;&gt;E-Waste", _xlpm.loc, "&lt;&gt;Virtual", _xlpm.loc, "&lt;&gt;Decommisioned")
)</f>
        <v>10</v>
      </c>
      <c r="D298" s="168">
        <f>_xlfn.LET(_xlpm.loc, ITEquipmentTable[Storage Location],
COUNTIFS(ITSecondTable[Tag], ITSecondTable[[#This Row],[Tag]], _xlpm.loc, "Missing")
)</f>
        <v>0</v>
      </c>
      <c r="E298" s="168">
        <f>_xlfn.LET(_xlpm.loc, ITEquipmentTable[Storage Location],
COUNTIFS(ITSecondTable[Tag], ITSecondTable[[#This Row],[Tag]], _xlpm.loc, "In Use") + COUNTIFS(ITSecondTable[Tag], ITSecondTable[[#This Row],[Tag]], _xlpm.loc, "Assigned to Employee")
)</f>
        <v>5</v>
      </c>
      <c r="F298" s="168">
        <f>_xlfn.LET(_xlpm.loc, ITEquipmentTable[Storage Location],
COUNTIFS(ITSecondTable[Tag], ITSecondTable[[#This Row],[Tag]], _xlpm.loc, "")
)</f>
        <v>5</v>
      </c>
      <c r="G298" s="168">
        <f>MAX(ITSecondTable[[#This Row],[SQty]] - ITSecondTable[[#This Row],[IQty]], 0)</f>
        <v>0</v>
      </c>
      <c r="H298" s="168">
        <f>MAX(ITSecondTable[[#This Row],[IQty]]-ITSecondTable[[#This Row],[SQty]], 0)</f>
        <v>0</v>
      </c>
      <c r="I298" s="151" t="str">
        <f>IFERROR(_xlfn.TEXTJOIN("~", TRUE, ITEquipmentTable[[#This Row],[Type]],ITEquipmentTable[[#This Row],[Brand]],ITEquipmentTable[[#This Row],[Model]]), "")</f>
        <v>Laptop~HP~HP ProBook 640 G4</v>
      </c>
      <c r="J298" s="151" t="b">
        <f xml:space="preserve"> _xlfn.IFNA(MATCH( ITSecondTable[[#This Row],[Tag]], StorageTable[Tag], 0)  &gt; -1, FALSE)</f>
        <v>0</v>
      </c>
      <c r="K298" s="168" t="b">
        <f>COUNTIFS(ITEquipmentTable[Serial], ITEquipmentTable[[#This Row],[Serial]], ITEquipmentTable[Serial], "&lt;&gt;N/A") &gt; 1</f>
        <v>0</v>
      </c>
      <c r="L298" s="168" t="b">
        <f>COUNTIFS(ITEquipmentTable[Name], ITEquipmentTable[[#This Row],[Name]], ITEquipmentTable[Name], "&lt;&gt;&lt;Unassigned&gt;",  ITEquipmentTable[Name], "&lt;&gt;N/A") &gt; 1</f>
        <v>0</v>
      </c>
      <c r="M298" s="168" t="b">
        <f>AND(COUNTIFS(ITEquipmentTable[IPv4 Address], ITEquipmentTable[[#This Row],[IPv4 Address]]) &gt; 1, ITEquipmentTable[[#This Row],[IPv4 Address]] &lt;&gt; "DHCP",  ITEquipmentTable[[#This Row],[IPv4 Address]] &lt;&gt; "N/A")</f>
        <v>0</v>
      </c>
    </row>
    <row r="299" spans="1:13" x14ac:dyDescent="0.2">
      <c r="A299" s="168">
        <f>IF(LEN(ITSecondTable[[#This Row],[Tag]]) &gt; 0, _xlfn.XLOOKUP(ITSecondTable[[#This Row],[Tag]],StorageTable[Tag], StorageTable[In Storage - Count Total], "Err", 0, 1), 0)</f>
        <v>0</v>
      </c>
      <c r="B299" s="1">
        <f>_xlfn.LET(_xlpm.loc, ITEquipmentTable[Storage Location],
COUNTIFS(ITSecondTable[Tag], ITSecondTable[[#This Row],[Tag]], _xlpm.loc, "&lt;&gt;In Use", _xlpm.loc, "&lt;&gt;",  _xlpm.loc, "&lt;&gt;E-Waste", _xlpm.loc, "&lt;&gt;Virtual",  _xlpm.loc, "&lt;&gt;Assigned to Employee", _xlpm.loc, "&lt;&gt;Decommisioned", _xlpm.loc, "&lt;&gt;Missing")
)</f>
        <v>0</v>
      </c>
      <c r="C299" s="1">
        <f>_xlfn.LET(_xlpm.loc, ITEquipmentTable[Storage Location],
COUNTIFS(ITSecondTable[Tag], ITSecondTable[[#This Row],[Tag]], _xlpm.loc, "&lt;&gt;E-Waste", _xlpm.loc, "&lt;&gt;Virtual", _xlpm.loc, "&lt;&gt;Decommisioned")
)</f>
        <v>1</v>
      </c>
      <c r="D299" s="168">
        <f>_xlfn.LET(_xlpm.loc, ITEquipmentTable[Storage Location],
COUNTIFS(ITSecondTable[Tag], ITSecondTable[[#This Row],[Tag]], _xlpm.loc, "Missing")
)</f>
        <v>0</v>
      </c>
      <c r="E299" s="168">
        <f>_xlfn.LET(_xlpm.loc, ITEquipmentTable[Storage Location],
COUNTIFS(ITSecondTable[Tag], ITSecondTable[[#This Row],[Tag]], _xlpm.loc, "In Use") + COUNTIFS(ITSecondTable[Tag], ITSecondTable[[#This Row],[Tag]], _xlpm.loc, "Assigned to Employee")
)</f>
        <v>1</v>
      </c>
      <c r="F299" s="168">
        <f>_xlfn.LET(_xlpm.loc, ITEquipmentTable[Storage Location],
COUNTIFS(ITSecondTable[Tag], ITSecondTable[[#This Row],[Tag]], _xlpm.loc, "")
)</f>
        <v>0</v>
      </c>
      <c r="G299" s="168">
        <f>MAX(ITSecondTable[[#This Row],[SQty]] - ITSecondTable[[#This Row],[IQty]], 0)</f>
        <v>0</v>
      </c>
      <c r="H299" s="168">
        <f>MAX(ITSecondTable[[#This Row],[IQty]]-ITSecondTable[[#This Row],[SQty]], 0)</f>
        <v>0</v>
      </c>
      <c r="I299" s="151" t="str">
        <f>IFERROR(_xlfn.TEXTJOIN("~", TRUE, ITEquipmentTable[[#This Row],[Type]],ITEquipmentTable[[#This Row],[Brand]],ITEquipmentTable[[#This Row],[Model]]), "")</f>
        <v>Laptop~HP~OMEN by HP Laptop 17-cb0xxx</v>
      </c>
      <c r="J299" s="151" t="b">
        <f xml:space="preserve"> _xlfn.IFNA(MATCH( ITSecondTable[[#This Row],[Tag]], StorageTable[Tag], 0)  &gt; -1, FALSE)</f>
        <v>0</v>
      </c>
      <c r="K299" s="168" t="b">
        <f>COUNTIFS(ITEquipmentTable[Serial], ITEquipmentTable[[#This Row],[Serial]], ITEquipmentTable[Serial], "&lt;&gt;N/A") &gt; 1</f>
        <v>0</v>
      </c>
      <c r="L299" s="168" t="b">
        <f>COUNTIFS(ITEquipmentTable[Name], ITEquipmentTable[[#This Row],[Name]], ITEquipmentTable[Name], "&lt;&gt;&lt;Unassigned&gt;",  ITEquipmentTable[Name], "&lt;&gt;N/A") &gt; 1</f>
        <v>0</v>
      </c>
      <c r="M299" s="168" t="b">
        <f>AND(COUNTIFS(ITEquipmentTable[IPv4 Address], ITEquipmentTable[[#This Row],[IPv4 Address]]) &gt; 1, ITEquipmentTable[[#This Row],[IPv4 Address]] &lt;&gt; "DHCP",  ITEquipmentTable[[#This Row],[IPv4 Address]] &lt;&gt; "N/A")</f>
        <v>0</v>
      </c>
    </row>
    <row r="300" spans="1:13" x14ac:dyDescent="0.2">
      <c r="A300" s="168">
        <f>IF(LEN(ITSecondTable[[#This Row],[Tag]]) &gt; 0, _xlfn.XLOOKUP(ITSecondTable[[#This Row],[Tag]],StorageTable[Tag], StorageTable[In Storage - Count Total], "Err", 0, 1), 0)</f>
        <v>0</v>
      </c>
      <c r="B300" s="1">
        <f>_xlfn.LET(_xlpm.loc, ITEquipmentTable[Storage Location],
COUNTIFS(ITSecondTable[Tag], ITSecondTable[[#This Row],[Tag]], _xlpm.loc, "&lt;&gt;In Use", _xlpm.loc, "&lt;&gt;",  _xlpm.loc, "&lt;&gt;E-Waste", _xlpm.loc, "&lt;&gt;Virtual",  _xlpm.loc, "&lt;&gt;Assigned to Employee", _xlpm.loc, "&lt;&gt;Decommisioned", _xlpm.loc, "&lt;&gt;Missing")
)</f>
        <v>0</v>
      </c>
      <c r="C300" s="1">
        <f>_xlfn.LET(_xlpm.loc, ITEquipmentTable[Storage Location],
COUNTIFS(ITSecondTable[Tag], ITSecondTable[[#This Row],[Tag]], _xlpm.loc, "&lt;&gt;E-Waste", _xlpm.loc, "&lt;&gt;Virtual", _xlpm.loc, "&lt;&gt;Decommisioned")
)</f>
        <v>3</v>
      </c>
      <c r="D300" s="168">
        <f>_xlfn.LET(_xlpm.loc, ITEquipmentTable[Storage Location],
COUNTIFS(ITSecondTable[Tag], ITSecondTable[[#This Row],[Tag]], _xlpm.loc, "Missing")
)</f>
        <v>0</v>
      </c>
      <c r="E300" s="168">
        <f>_xlfn.LET(_xlpm.loc, ITEquipmentTable[Storage Location],
COUNTIFS(ITSecondTable[Tag], ITSecondTable[[#This Row],[Tag]], _xlpm.loc, "In Use") + COUNTIFS(ITSecondTable[Tag], ITSecondTable[[#This Row],[Tag]], _xlpm.loc, "Assigned to Employee")
)</f>
        <v>1</v>
      </c>
      <c r="F300" s="168">
        <f>_xlfn.LET(_xlpm.loc, ITEquipmentTable[Storage Location],
COUNTIFS(ITSecondTable[Tag], ITSecondTable[[#This Row],[Tag]], _xlpm.loc, "")
)</f>
        <v>2</v>
      </c>
      <c r="G300" s="168">
        <f>MAX(ITSecondTable[[#This Row],[SQty]] - ITSecondTable[[#This Row],[IQty]], 0)</f>
        <v>0</v>
      </c>
      <c r="H300" s="168">
        <f>MAX(ITSecondTable[[#This Row],[IQty]]-ITSecondTable[[#This Row],[SQty]], 0)</f>
        <v>0</v>
      </c>
      <c r="I300" s="151" t="str">
        <f>IFERROR(_xlfn.TEXTJOIN("~", TRUE, ITEquipmentTable[[#This Row],[Type]],ITEquipmentTable[[#This Row],[Brand]],ITEquipmentTable[[#This Row],[Model]]), "")</f>
        <v>Desktop~HP~HP EliteDesk 705 G4 DM</v>
      </c>
      <c r="J300" s="151" t="b">
        <f xml:space="preserve"> _xlfn.IFNA(MATCH( ITSecondTable[[#This Row],[Tag]], StorageTable[Tag], 0)  &gt; -1, FALSE)</f>
        <v>0</v>
      </c>
      <c r="K300" s="168" t="b">
        <f>COUNTIFS(ITEquipmentTable[Serial], ITEquipmentTable[[#This Row],[Serial]], ITEquipmentTable[Serial], "&lt;&gt;N/A") &gt; 1</f>
        <v>0</v>
      </c>
      <c r="L300" s="168" t="b">
        <f>COUNTIFS(ITEquipmentTable[Name], ITEquipmentTable[[#This Row],[Name]], ITEquipmentTable[Name], "&lt;&gt;&lt;Unassigned&gt;",  ITEquipmentTable[Name], "&lt;&gt;N/A") &gt; 1</f>
        <v>0</v>
      </c>
      <c r="M300" s="168" t="b">
        <f>AND(COUNTIFS(ITEquipmentTable[IPv4 Address], ITEquipmentTable[[#This Row],[IPv4 Address]]) &gt; 1, ITEquipmentTable[[#This Row],[IPv4 Address]] &lt;&gt; "DHCP",  ITEquipmentTable[[#This Row],[IPv4 Address]] &lt;&gt; "N/A")</f>
        <v>0</v>
      </c>
    </row>
    <row r="301" spans="1:13" x14ac:dyDescent="0.2">
      <c r="A301" s="168">
        <f>IF(LEN(ITSecondTable[[#This Row],[Tag]]) &gt; 0, _xlfn.XLOOKUP(ITSecondTable[[#This Row],[Tag]],StorageTable[Tag], StorageTable[In Storage - Count Total], "Err", 0, 1), 0)</f>
        <v>0</v>
      </c>
      <c r="B301" s="1">
        <f>_xlfn.LET(_xlpm.loc, ITEquipmentTable[Storage Location],
COUNTIFS(ITSecondTable[Tag], ITSecondTable[[#This Row],[Tag]], _xlpm.loc, "&lt;&gt;In Use", _xlpm.loc, "&lt;&gt;",  _xlpm.loc, "&lt;&gt;E-Waste", _xlpm.loc, "&lt;&gt;Virtual",  _xlpm.loc, "&lt;&gt;Assigned to Employee", _xlpm.loc, "&lt;&gt;Decommisioned", _xlpm.loc, "&lt;&gt;Missing")
)</f>
        <v>0</v>
      </c>
      <c r="C301" s="1">
        <f>_xlfn.LET(_xlpm.loc, ITEquipmentTable[Storage Location],
COUNTIFS(ITSecondTable[Tag], ITSecondTable[[#This Row],[Tag]], _xlpm.loc, "&lt;&gt;E-Waste", _xlpm.loc, "&lt;&gt;Virtual", _xlpm.loc, "&lt;&gt;Decommisioned")
)</f>
        <v>15</v>
      </c>
      <c r="D301" s="168">
        <f>_xlfn.LET(_xlpm.loc, ITEquipmentTable[Storage Location],
COUNTIFS(ITSecondTable[Tag], ITSecondTable[[#This Row],[Tag]], _xlpm.loc, "Missing")
)</f>
        <v>0</v>
      </c>
      <c r="E301" s="168">
        <f>_xlfn.LET(_xlpm.loc, ITEquipmentTable[Storage Location],
COUNTIFS(ITSecondTable[Tag], ITSecondTable[[#This Row],[Tag]], _xlpm.loc, "In Use") + COUNTIFS(ITSecondTable[Tag], ITSecondTable[[#This Row],[Tag]], _xlpm.loc, "Assigned to Employee")
)</f>
        <v>2</v>
      </c>
      <c r="F301" s="168">
        <f>_xlfn.LET(_xlpm.loc, ITEquipmentTable[Storage Location],
COUNTIFS(ITSecondTable[Tag], ITSecondTable[[#This Row],[Tag]], _xlpm.loc, "")
)</f>
        <v>13</v>
      </c>
      <c r="G301" s="168">
        <f>MAX(ITSecondTable[[#This Row],[SQty]] - ITSecondTable[[#This Row],[IQty]], 0)</f>
        <v>0</v>
      </c>
      <c r="H301" s="168">
        <f>MAX(ITSecondTable[[#This Row],[IQty]]-ITSecondTable[[#This Row],[SQty]], 0)</f>
        <v>0</v>
      </c>
      <c r="I301" s="151" t="str">
        <f>IFERROR(_xlfn.TEXTJOIN("~", TRUE, ITEquipmentTable[[#This Row],[Type]],ITEquipmentTable[[#This Row],[Brand]],ITEquipmentTable[[#This Row],[Model]]), "")</f>
        <v>Tablet</v>
      </c>
      <c r="J301" s="151" t="b">
        <f xml:space="preserve"> _xlfn.IFNA(MATCH( ITSecondTable[[#This Row],[Tag]], StorageTable[Tag], 0)  &gt; -1, FALSE)</f>
        <v>1</v>
      </c>
      <c r="K301" s="168" t="b">
        <f>COUNTIFS(ITEquipmentTable[Serial], ITEquipmentTable[[#This Row],[Serial]], ITEquipmentTable[Serial], "&lt;&gt;N/A") &gt; 1</f>
        <v>0</v>
      </c>
      <c r="L301" s="168" t="b">
        <f>COUNTIFS(ITEquipmentTable[Name], ITEquipmentTable[[#This Row],[Name]], ITEquipmentTable[Name], "&lt;&gt;&lt;Unassigned&gt;",  ITEquipmentTable[Name], "&lt;&gt;N/A") &gt; 1</f>
        <v>0</v>
      </c>
      <c r="M301" s="168" t="b">
        <f>AND(COUNTIFS(ITEquipmentTable[IPv4 Address], ITEquipmentTable[[#This Row],[IPv4 Address]]) &gt; 1, ITEquipmentTable[[#This Row],[IPv4 Address]] &lt;&gt; "DHCP",  ITEquipmentTable[[#This Row],[IPv4 Address]] &lt;&gt; "N/A")</f>
        <v>0</v>
      </c>
    </row>
    <row r="302" spans="1:13" x14ac:dyDescent="0.2">
      <c r="A302" s="168">
        <f>IF(LEN(ITSecondTable[[#This Row],[Tag]]) &gt; 0, _xlfn.XLOOKUP(ITSecondTable[[#This Row],[Tag]],StorageTable[Tag], StorageTable[In Storage - Count Total], "Err", 0, 1), 0)</f>
        <v>0</v>
      </c>
      <c r="B302" s="1">
        <f>_xlfn.LET(_xlpm.loc, ITEquipmentTable[Storage Location],
COUNTIFS(ITSecondTable[Tag], ITSecondTable[[#This Row],[Tag]], _xlpm.loc, "&lt;&gt;In Use", _xlpm.loc, "&lt;&gt;",  _xlpm.loc, "&lt;&gt;E-Waste", _xlpm.loc, "&lt;&gt;Virtual",  _xlpm.loc, "&lt;&gt;Assigned to Employee", _xlpm.loc, "&lt;&gt;Decommisioned", _xlpm.loc, "&lt;&gt;Missing")
)</f>
        <v>0</v>
      </c>
      <c r="C302" s="1">
        <f>_xlfn.LET(_xlpm.loc, ITEquipmentTable[Storage Location],
COUNTIFS(ITSecondTable[Tag], ITSecondTable[[#This Row],[Tag]], _xlpm.loc, "&lt;&gt;E-Waste", _xlpm.loc, "&lt;&gt;Virtual", _xlpm.loc, "&lt;&gt;Decommisioned")
)</f>
        <v>29</v>
      </c>
      <c r="D302" s="168">
        <f>_xlfn.LET(_xlpm.loc, ITEquipmentTable[Storage Location],
COUNTIFS(ITSecondTable[Tag], ITSecondTable[[#This Row],[Tag]], _xlpm.loc, "Missing")
)</f>
        <v>0</v>
      </c>
      <c r="E302" s="168">
        <f>_xlfn.LET(_xlpm.loc, ITEquipmentTable[Storage Location],
COUNTIFS(ITSecondTable[Tag], ITSecondTable[[#This Row],[Tag]], _xlpm.loc, "In Use") + COUNTIFS(ITSecondTable[Tag], ITSecondTable[[#This Row],[Tag]], _xlpm.loc, "Assigned to Employee")
)</f>
        <v>3</v>
      </c>
      <c r="F302" s="168">
        <f>_xlfn.LET(_xlpm.loc, ITEquipmentTable[Storage Location],
COUNTIFS(ITSecondTable[Tag], ITSecondTable[[#This Row],[Tag]], _xlpm.loc, "")
)</f>
        <v>26</v>
      </c>
      <c r="G302" s="168">
        <f>MAX(ITSecondTable[[#This Row],[SQty]] - ITSecondTable[[#This Row],[IQty]], 0)</f>
        <v>0</v>
      </c>
      <c r="H302" s="168">
        <f>MAX(ITSecondTable[[#This Row],[IQty]]-ITSecondTable[[#This Row],[SQty]], 0)</f>
        <v>0</v>
      </c>
      <c r="I302" s="151" t="str">
        <f>IFERROR(_xlfn.TEXTJOIN("~", TRUE, ITEquipmentTable[[#This Row],[Type]],ITEquipmentTable[[#This Row],[Brand]],ITEquipmentTable[[#This Row],[Model]]), "")</f>
        <v>Laptop~HP~HP ProBook 650 G2</v>
      </c>
      <c r="J302" s="151" t="b">
        <f xml:space="preserve"> _xlfn.IFNA(MATCH( ITSecondTable[[#This Row],[Tag]], StorageTable[Tag], 0)  &gt; -1, FALSE)</f>
        <v>0</v>
      </c>
      <c r="K302" s="168" t="b">
        <f>COUNTIFS(ITEquipmentTable[Serial], ITEquipmentTable[[#This Row],[Serial]], ITEquipmentTable[Serial], "&lt;&gt;N/A") &gt; 1</f>
        <v>0</v>
      </c>
      <c r="L302" s="168" t="b">
        <f>COUNTIFS(ITEquipmentTable[Name], ITEquipmentTable[[#This Row],[Name]], ITEquipmentTable[Name], "&lt;&gt;&lt;Unassigned&gt;",  ITEquipmentTable[Name], "&lt;&gt;N/A") &gt; 1</f>
        <v>0</v>
      </c>
      <c r="M302" s="168" t="b">
        <f>AND(COUNTIFS(ITEquipmentTable[IPv4 Address], ITEquipmentTable[[#This Row],[IPv4 Address]]) &gt; 1, ITEquipmentTable[[#This Row],[IPv4 Address]] &lt;&gt; "DHCP",  ITEquipmentTable[[#This Row],[IPv4 Address]] &lt;&gt; "N/A")</f>
        <v>0</v>
      </c>
    </row>
    <row r="303" spans="1:13" x14ac:dyDescent="0.2">
      <c r="A303" s="168">
        <f>IF(LEN(ITSecondTable[[#This Row],[Tag]]) &gt; 0, _xlfn.XLOOKUP(ITSecondTable[[#This Row],[Tag]],StorageTable[Tag], StorageTable[In Storage - Count Total], "Err", 0, 1), 0)</f>
        <v>0</v>
      </c>
      <c r="B303" s="1">
        <f>_xlfn.LET(_xlpm.loc, ITEquipmentTable[Storage Location],
COUNTIFS(ITSecondTable[Tag], ITSecondTable[[#This Row],[Tag]], _xlpm.loc, "&lt;&gt;In Use", _xlpm.loc, "&lt;&gt;",  _xlpm.loc, "&lt;&gt;E-Waste", _xlpm.loc, "&lt;&gt;Virtual",  _xlpm.loc, "&lt;&gt;Assigned to Employee", _xlpm.loc, "&lt;&gt;Decommisioned", _xlpm.loc, "&lt;&gt;Missing")
)</f>
        <v>0</v>
      </c>
      <c r="C303" s="1">
        <f>_xlfn.LET(_xlpm.loc, ITEquipmentTable[Storage Location],
COUNTIFS(ITSecondTable[Tag], ITSecondTable[[#This Row],[Tag]], _xlpm.loc, "&lt;&gt;E-Waste", _xlpm.loc, "&lt;&gt;Virtual", _xlpm.loc, "&lt;&gt;Decommisioned")
)</f>
        <v>29</v>
      </c>
      <c r="D303" s="168">
        <f>_xlfn.LET(_xlpm.loc, ITEquipmentTable[Storage Location],
COUNTIFS(ITSecondTable[Tag], ITSecondTable[[#This Row],[Tag]], _xlpm.loc, "Missing")
)</f>
        <v>0</v>
      </c>
      <c r="E303" s="168">
        <f>_xlfn.LET(_xlpm.loc, ITEquipmentTable[Storage Location],
COUNTIFS(ITSecondTable[Tag], ITSecondTable[[#This Row],[Tag]], _xlpm.loc, "In Use") + COUNTIFS(ITSecondTable[Tag], ITSecondTable[[#This Row],[Tag]], _xlpm.loc, "Assigned to Employee")
)</f>
        <v>3</v>
      </c>
      <c r="F303" s="168">
        <f>_xlfn.LET(_xlpm.loc, ITEquipmentTable[Storage Location],
COUNTIFS(ITSecondTable[Tag], ITSecondTable[[#This Row],[Tag]], _xlpm.loc, "")
)</f>
        <v>26</v>
      </c>
      <c r="G303" s="168">
        <f>MAX(ITSecondTable[[#This Row],[SQty]] - ITSecondTable[[#This Row],[IQty]], 0)</f>
        <v>0</v>
      </c>
      <c r="H303" s="168">
        <f>MAX(ITSecondTable[[#This Row],[IQty]]-ITSecondTable[[#This Row],[SQty]], 0)</f>
        <v>0</v>
      </c>
      <c r="I303" s="151" t="str">
        <f>IFERROR(_xlfn.TEXTJOIN("~", TRUE, ITEquipmentTable[[#This Row],[Type]],ITEquipmentTable[[#This Row],[Brand]],ITEquipmentTable[[#This Row],[Model]]), "")</f>
        <v>Laptop~HP~HP ProBook 650 G2</v>
      </c>
      <c r="J303" s="151" t="b">
        <f xml:space="preserve"> _xlfn.IFNA(MATCH( ITSecondTable[[#This Row],[Tag]], StorageTable[Tag], 0)  &gt; -1, FALSE)</f>
        <v>0</v>
      </c>
      <c r="K303" s="168" t="b">
        <f>COUNTIFS(ITEquipmentTable[Serial], ITEquipmentTable[[#This Row],[Serial]], ITEquipmentTable[Serial], "&lt;&gt;N/A") &gt; 1</f>
        <v>0</v>
      </c>
      <c r="L303" s="168" t="b">
        <f>COUNTIFS(ITEquipmentTable[Name], ITEquipmentTable[[#This Row],[Name]], ITEquipmentTable[Name], "&lt;&gt;&lt;Unassigned&gt;",  ITEquipmentTable[Name], "&lt;&gt;N/A") &gt; 1</f>
        <v>0</v>
      </c>
      <c r="M303" s="168" t="b">
        <f>AND(COUNTIFS(ITEquipmentTable[IPv4 Address], ITEquipmentTable[[#This Row],[IPv4 Address]]) &gt; 1, ITEquipmentTable[[#This Row],[IPv4 Address]] &lt;&gt; "DHCP",  ITEquipmentTable[[#This Row],[IPv4 Address]] &lt;&gt; "N/A")</f>
        <v>0</v>
      </c>
    </row>
    <row r="304" spans="1:13" x14ac:dyDescent="0.2">
      <c r="A304" s="168">
        <f>IF(LEN(ITSecondTable[[#This Row],[Tag]]) &gt; 0, _xlfn.XLOOKUP(ITSecondTable[[#This Row],[Tag]],StorageTable[Tag], StorageTable[In Storage - Count Total], "Err", 0, 1), 0)</f>
        <v>0</v>
      </c>
      <c r="B304" s="1">
        <f>_xlfn.LET(_xlpm.loc, ITEquipmentTable[Storage Location],
COUNTIFS(ITSecondTable[Tag], ITSecondTable[[#This Row],[Tag]], _xlpm.loc, "&lt;&gt;In Use", _xlpm.loc, "&lt;&gt;",  _xlpm.loc, "&lt;&gt;E-Waste", _xlpm.loc, "&lt;&gt;Virtual",  _xlpm.loc, "&lt;&gt;Assigned to Employee", _xlpm.loc, "&lt;&gt;Decommisioned", _xlpm.loc, "&lt;&gt;Missing")
)</f>
        <v>0</v>
      </c>
      <c r="C304" s="1">
        <f>_xlfn.LET(_xlpm.loc, ITEquipmentTable[Storage Location],
COUNTIFS(ITSecondTable[Tag], ITSecondTable[[#This Row],[Tag]], _xlpm.loc, "&lt;&gt;E-Waste", _xlpm.loc, "&lt;&gt;Virtual", _xlpm.loc, "&lt;&gt;Decommisioned")
)</f>
        <v>1</v>
      </c>
      <c r="D304" s="168">
        <f>_xlfn.LET(_xlpm.loc, ITEquipmentTable[Storage Location],
COUNTIFS(ITSecondTable[Tag], ITSecondTable[[#This Row],[Tag]], _xlpm.loc, "Missing")
)</f>
        <v>0</v>
      </c>
      <c r="E304" s="168">
        <f>_xlfn.LET(_xlpm.loc, ITEquipmentTable[Storage Location],
COUNTIFS(ITSecondTable[Tag], ITSecondTable[[#This Row],[Tag]], _xlpm.loc, "In Use") + COUNTIFS(ITSecondTable[Tag], ITSecondTable[[#This Row],[Tag]], _xlpm.loc, "Assigned to Employee")
)</f>
        <v>0</v>
      </c>
      <c r="F304" s="168">
        <f>_xlfn.LET(_xlpm.loc, ITEquipmentTable[Storage Location],
COUNTIFS(ITSecondTable[Tag], ITSecondTable[[#This Row],[Tag]], _xlpm.loc, "")
)</f>
        <v>1</v>
      </c>
      <c r="G304" s="168">
        <f>MAX(ITSecondTable[[#This Row],[SQty]] - ITSecondTable[[#This Row],[IQty]], 0)</f>
        <v>0</v>
      </c>
      <c r="H304" s="168">
        <f>MAX(ITSecondTable[[#This Row],[IQty]]-ITSecondTable[[#This Row],[SQty]], 0)</f>
        <v>0</v>
      </c>
      <c r="I304" s="151" t="str">
        <f>IFERROR(_xlfn.TEXTJOIN("~", TRUE, ITEquipmentTable[[#This Row],[Type]],ITEquipmentTable[[#This Row],[Brand]],ITEquipmentTable[[#This Row],[Model]]), "")</f>
        <v>Tablet~Microsoft~Surface Pro 3</v>
      </c>
      <c r="J304" s="151" t="b">
        <f xml:space="preserve"> _xlfn.IFNA(MATCH( ITSecondTable[[#This Row],[Tag]], StorageTable[Tag], 0)  &gt; -1, FALSE)</f>
        <v>0</v>
      </c>
      <c r="K304" s="168" t="b">
        <f>COUNTIFS(ITEquipmentTable[Serial], ITEquipmentTable[[#This Row],[Serial]], ITEquipmentTable[Serial], "&lt;&gt;N/A") &gt; 1</f>
        <v>0</v>
      </c>
      <c r="L304" s="168" t="b">
        <f>COUNTIFS(ITEquipmentTable[Name], ITEquipmentTable[[#This Row],[Name]], ITEquipmentTable[Name], "&lt;&gt;&lt;Unassigned&gt;",  ITEquipmentTable[Name], "&lt;&gt;N/A") &gt; 1</f>
        <v>0</v>
      </c>
      <c r="M304" s="168" t="b">
        <f>AND(COUNTIFS(ITEquipmentTable[IPv4 Address], ITEquipmentTable[[#This Row],[IPv4 Address]]) &gt; 1, ITEquipmentTable[[#This Row],[IPv4 Address]] &lt;&gt; "DHCP",  ITEquipmentTable[[#This Row],[IPv4 Address]] &lt;&gt; "N/A")</f>
        <v>0</v>
      </c>
    </row>
    <row r="305" spans="1:13" x14ac:dyDescent="0.2">
      <c r="A305" s="168">
        <f>IF(LEN(ITSecondTable[[#This Row],[Tag]]) &gt; 0, _xlfn.XLOOKUP(ITSecondTable[[#This Row],[Tag]],StorageTable[Tag], StorageTable[In Storage - Count Total], "Err", 0, 1), 0)</f>
        <v>0</v>
      </c>
      <c r="B305" s="1">
        <f>_xlfn.LET(_xlpm.loc, ITEquipmentTable[Storage Location],
COUNTIFS(ITSecondTable[Tag], ITSecondTable[[#This Row],[Tag]], _xlpm.loc, "&lt;&gt;In Use", _xlpm.loc, "&lt;&gt;",  _xlpm.loc, "&lt;&gt;E-Waste", _xlpm.loc, "&lt;&gt;Virtual",  _xlpm.loc, "&lt;&gt;Assigned to Employee", _xlpm.loc, "&lt;&gt;Decommisioned", _xlpm.loc, "&lt;&gt;Missing")
)</f>
        <v>0</v>
      </c>
      <c r="C305" s="1">
        <f>_xlfn.LET(_xlpm.loc, ITEquipmentTable[Storage Location],
COUNTIFS(ITSecondTable[Tag], ITSecondTable[[#This Row],[Tag]], _xlpm.loc, "&lt;&gt;E-Waste", _xlpm.loc, "&lt;&gt;Virtual", _xlpm.loc, "&lt;&gt;Decommisioned")
)</f>
        <v>1</v>
      </c>
      <c r="D305" s="168">
        <f>_xlfn.LET(_xlpm.loc, ITEquipmentTable[Storage Location],
COUNTIFS(ITSecondTable[Tag], ITSecondTable[[#This Row],[Tag]], _xlpm.loc, "Missing")
)</f>
        <v>0</v>
      </c>
      <c r="E305" s="168">
        <f>_xlfn.LET(_xlpm.loc, ITEquipmentTable[Storage Location],
COUNTIFS(ITSecondTable[Tag], ITSecondTable[[#This Row],[Tag]], _xlpm.loc, "In Use") + COUNTIFS(ITSecondTable[Tag], ITSecondTable[[#This Row],[Tag]], _xlpm.loc, "Assigned to Employee")
)</f>
        <v>0</v>
      </c>
      <c r="F305" s="168">
        <f>_xlfn.LET(_xlpm.loc, ITEquipmentTable[Storage Location],
COUNTIFS(ITSecondTable[Tag], ITSecondTable[[#This Row],[Tag]], _xlpm.loc, "")
)</f>
        <v>1</v>
      </c>
      <c r="G305" s="168">
        <f>MAX(ITSecondTable[[#This Row],[SQty]] - ITSecondTable[[#This Row],[IQty]], 0)</f>
        <v>0</v>
      </c>
      <c r="H305" s="168">
        <f>MAX(ITSecondTable[[#This Row],[IQty]]-ITSecondTable[[#This Row],[SQty]], 0)</f>
        <v>0</v>
      </c>
      <c r="I305" s="151" t="str">
        <f>IFERROR(_xlfn.TEXTJOIN("~", TRUE, ITEquipmentTable[[#This Row],[Type]],ITEquipmentTable[[#This Row],[Brand]],ITEquipmentTable[[#This Row],[Model]]), "")</f>
        <v>Desktop~HP~HP ProDesk 400 G5 SFF</v>
      </c>
      <c r="J305" s="151" t="b">
        <f xml:space="preserve"> _xlfn.IFNA(MATCH( ITSecondTable[[#This Row],[Tag]], StorageTable[Tag], 0)  &gt; -1, FALSE)</f>
        <v>0</v>
      </c>
      <c r="K305" s="168" t="b">
        <f>COUNTIFS(ITEquipmentTable[Serial], ITEquipmentTable[[#This Row],[Serial]], ITEquipmentTable[Serial], "&lt;&gt;N/A") &gt; 1</f>
        <v>0</v>
      </c>
      <c r="L305" s="168" t="b">
        <f>COUNTIFS(ITEquipmentTable[Name], ITEquipmentTable[[#This Row],[Name]], ITEquipmentTable[Name], "&lt;&gt;&lt;Unassigned&gt;",  ITEquipmentTable[Name], "&lt;&gt;N/A") &gt; 1</f>
        <v>0</v>
      </c>
      <c r="M305" s="168" t="b">
        <f>AND(COUNTIFS(ITEquipmentTable[IPv4 Address], ITEquipmentTable[[#This Row],[IPv4 Address]]) &gt; 1, ITEquipmentTable[[#This Row],[IPv4 Address]] &lt;&gt; "DHCP",  ITEquipmentTable[[#This Row],[IPv4 Address]] &lt;&gt; "N/A")</f>
        <v>0</v>
      </c>
    </row>
    <row r="306" spans="1:13" x14ac:dyDescent="0.2">
      <c r="A306" s="168">
        <f>IF(LEN(ITSecondTable[[#This Row],[Tag]]) &gt; 0, _xlfn.XLOOKUP(ITSecondTable[[#This Row],[Tag]],StorageTable[Tag], StorageTable[In Storage - Count Total], "Err", 0, 1), 0)</f>
        <v>0</v>
      </c>
      <c r="B306" s="1">
        <f>_xlfn.LET(_xlpm.loc, ITEquipmentTable[Storage Location],
COUNTIFS(ITSecondTable[Tag], ITSecondTable[[#This Row],[Tag]], _xlpm.loc, "&lt;&gt;In Use", _xlpm.loc, "&lt;&gt;",  _xlpm.loc, "&lt;&gt;E-Waste", _xlpm.loc, "&lt;&gt;Virtual",  _xlpm.loc, "&lt;&gt;Assigned to Employee", _xlpm.loc, "&lt;&gt;Decommisioned", _xlpm.loc, "&lt;&gt;Missing")
)</f>
        <v>0</v>
      </c>
      <c r="C306" s="1">
        <f>_xlfn.LET(_xlpm.loc, ITEquipmentTable[Storage Location],
COUNTIFS(ITSecondTable[Tag], ITSecondTable[[#This Row],[Tag]], _xlpm.loc, "&lt;&gt;E-Waste", _xlpm.loc, "&lt;&gt;Virtual", _xlpm.loc, "&lt;&gt;Decommisioned")
)</f>
        <v>32</v>
      </c>
      <c r="D306" s="168">
        <f>_xlfn.LET(_xlpm.loc, ITEquipmentTable[Storage Location],
COUNTIFS(ITSecondTable[Tag], ITSecondTable[[#This Row],[Tag]], _xlpm.loc, "Missing")
)</f>
        <v>0</v>
      </c>
      <c r="E306" s="168">
        <f>_xlfn.LET(_xlpm.loc, ITEquipmentTable[Storage Location],
COUNTIFS(ITSecondTable[Tag], ITSecondTable[[#This Row],[Tag]], _xlpm.loc, "In Use") + COUNTIFS(ITSecondTable[Tag], ITSecondTable[[#This Row],[Tag]], _xlpm.loc, "Assigned to Employee")
)</f>
        <v>26</v>
      </c>
      <c r="F306" s="168">
        <f>_xlfn.LET(_xlpm.loc, ITEquipmentTable[Storage Location],
COUNTIFS(ITSecondTable[Tag], ITSecondTable[[#This Row],[Tag]], _xlpm.loc, "")
)</f>
        <v>6</v>
      </c>
      <c r="G306" s="168">
        <f>MAX(ITSecondTable[[#This Row],[SQty]] - ITSecondTable[[#This Row],[IQty]], 0)</f>
        <v>0</v>
      </c>
      <c r="H306" s="168">
        <f>MAX(ITSecondTable[[#This Row],[IQty]]-ITSecondTable[[#This Row],[SQty]], 0)</f>
        <v>0</v>
      </c>
      <c r="I306" s="151" t="str">
        <f>IFERROR(_xlfn.TEXTJOIN("~", TRUE, ITEquipmentTable[[#This Row],[Type]],ITEquipmentTable[[#This Row],[Brand]],ITEquipmentTable[[#This Row],[Model]]), "")</f>
        <v>Desktop</v>
      </c>
      <c r="J306" s="151" t="b">
        <f xml:space="preserve"> _xlfn.IFNA(MATCH( ITSecondTable[[#This Row],[Tag]], StorageTable[Tag], 0)  &gt; -1, FALSE)</f>
        <v>1</v>
      </c>
      <c r="K306" s="168" t="b">
        <f>COUNTIFS(ITEquipmentTable[Serial], ITEquipmentTable[[#This Row],[Serial]], ITEquipmentTable[Serial], "&lt;&gt;N/A") &gt; 1</f>
        <v>0</v>
      </c>
      <c r="L306" s="168" t="b">
        <f>COUNTIFS(ITEquipmentTable[Name], ITEquipmentTable[[#This Row],[Name]], ITEquipmentTable[Name], "&lt;&gt;&lt;Unassigned&gt;",  ITEquipmentTable[Name], "&lt;&gt;N/A") &gt; 1</f>
        <v>0</v>
      </c>
      <c r="M306" s="168" t="b">
        <f>AND(COUNTIFS(ITEquipmentTable[IPv4 Address], ITEquipmentTable[[#This Row],[IPv4 Address]]) &gt; 1, ITEquipmentTable[[#This Row],[IPv4 Address]] &lt;&gt; "DHCP",  ITEquipmentTable[[#This Row],[IPv4 Address]] &lt;&gt; "N/A")</f>
        <v>0</v>
      </c>
    </row>
    <row r="307" spans="1:13" x14ac:dyDescent="0.2">
      <c r="A307" s="168">
        <f>IF(LEN(ITSecondTable[[#This Row],[Tag]]) &gt; 0, _xlfn.XLOOKUP(ITSecondTable[[#This Row],[Tag]],StorageTable[Tag], StorageTable[In Storage - Count Total], "Err", 0, 1), 0)</f>
        <v>0</v>
      </c>
      <c r="B307" s="1">
        <f>_xlfn.LET(_xlpm.loc, ITEquipmentTable[Storage Location],
COUNTIFS(ITSecondTable[Tag], ITSecondTable[[#This Row],[Tag]], _xlpm.loc, "&lt;&gt;In Use", _xlpm.loc, "&lt;&gt;",  _xlpm.loc, "&lt;&gt;E-Waste", _xlpm.loc, "&lt;&gt;Virtual",  _xlpm.loc, "&lt;&gt;Assigned to Employee", _xlpm.loc, "&lt;&gt;Decommisioned", _xlpm.loc, "&lt;&gt;Missing")
)</f>
        <v>0</v>
      </c>
      <c r="C307" s="1">
        <f>_xlfn.LET(_xlpm.loc, ITEquipmentTable[Storage Location],
COUNTIFS(ITSecondTable[Tag], ITSecondTable[[#This Row],[Tag]], _xlpm.loc, "&lt;&gt;E-Waste", _xlpm.loc, "&lt;&gt;Virtual", _xlpm.loc, "&lt;&gt;Decommisioned")
)</f>
        <v>78</v>
      </c>
      <c r="D307" s="168">
        <f>_xlfn.LET(_xlpm.loc, ITEquipmentTable[Storage Location],
COUNTIFS(ITSecondTable[Tag], ITSecondTable[[#This Row],[Tag]], _xlpm.loc, "Missing")
)</f>
        <v>0</v>
      </c>
      <c r="E307" s="168">
        <f>_xlfn.LET(_xlpm.loc, ITEquipmentTable[Storage Location],
COUNTIFS(ITSecondTable[Tag], ITSecondTable[[#This Row],[Tag]], _xlpm.loc, "In Use") + COUNTIFS(ITSecondTable[Tag], ITSecondTable[[#This Row],[Tag]], _xlpm.loc, "Assigned to Employee")
)</f>
        <v>44</v>
      </c>
      <c r="F307" s="168">
        <f>_xlfn.LET(_xlpm.loc, ITEquipmentTable[Storage Location],
COUNTIFS(ITSecondTable[Tag], ITSecondTable[[#This Row],[Tag]], _xlpm.loc, "")
)</f>
        <v>34</v>
      </c>
      <c r="G307" s="168">
        <f>MAX(ITSecondTable[[#This Row],[SQty]] - ITSecondTable[[#This Row],[IQty]], 0)</f>
        <v>0</v>
      </c>
      <c r="H307" s="168">
        <f>MAX(ITSecondTable[[#This Row],[IQty]]-ITSecondTable[[#This Row],[SQty]], 0)</f>
        <v>0</v>
      </c>
      <c r="I307" s="151" t="str">
        <f>IFERROR(_xlfn.TEXTJOIN("~", TRUE, ITEquipmentTable[[#This Row],[Type]],ITEquipmentTable[[#This Row],[Brand]],ITEquipmentTable[[#This Row],[Model]]), "")</f>
        <v>Laptop~HP</v>
      </c>
      <c r="J307" s="151" t="b">
        <f xml:space="preserve"> _xlfn.IFNA(MATCH( ITSecondTable[[#This Row],[Tag]], StorageTable[Tag], 0)  &gt; -1, FALSE)</f>
        <v>0</v>
      </c>
      <c r="K307" s="168" t="b">
        <f>COUNTIFS(ITEquipmentTable[Serial], ITEquipmentTable[[#This Row],[Serial]], ITEquipmentTable[Serial], "&lt;&gt;N/A") &gt; 1</f>
        <v>0</v>
      </c>
      <c r="L307" s="168" t="b">
        <f>COUNTIFS(ITEquipmentTable[Name], ITEquipmentTable[[#This Row],[Name]], ITEquipmentTable[Name], "&lt;&gt;&lt;Unassigned&gt;",  ITEquipmentTable[Name], "&lt;&gt;N/A") &gt; 1</f>
        <v>0</v>
      </c>
      <c r="M307" s="168" t="b">
        <f>AND(COUNTIFS(ITEquipmentTable[IPv4 Address], ITEquipmentTable[[#This Row],[IPv4 Address]]) &gt; 1, ITEquipmentTable[[#This Row],[IPv4 Address]] &lt;&gt; "DHCP",  ITEquipmentTable[[#This Row],[IPv4 Address]] &lt;&gt; "N/A")</f>
        <v>0</v>
      </c>
    </row>
    <row r="308" spans="1:13" x14ac:dyDescent="0.2">
      <c r="A308" s="168">
        <f>IF(LEN(ITSecondTable[[#This Row],[Tag]]) &gt; 0, _xlfn.XLOOKUP(ITSecondTable[[#This Row],[Tag]],StorageTable[Tag], StorageTable[In Storage - Count Total], "Err", 0, 1), 0)</f>
        <v>6</v>
      </c>
      <c r="B308" s="1">
        <f>_xlfn.LET(_xlpm.loc, ITEquipmentTable[Storage Location],
COUNTIFS(ITSecondTable[Tag], ITSecondTable[[#This Row],[Tag]], _xlpm.loc, "&lt;&gt;In Use", _xlpm.loc, "&lt;&gt;",  _xlpm.loc, "&lt;&gt;E-Waste", _xlpm.loc, "&lt;&gt;Virtual",  _xlpm.loc, "&lt;&gt;Assigned to Employee", _xlpm.loc, "&lt;&gt;Decommisioned", _xlpm.loc, "&lt;&gt;Missing")
)</f>
        <v>17</v>
      </c>
      <c r="C308" s="1">
        <f>_xlfn.LET(_xlpm.loc, ITEquipmentTable[Storage Location],
COUNTIFS(ITSecondTable[Tag], ITSecondTable[[#This Row],[Tag]], _xlpm.loc, "&lt;&gt;E-Waste", _xlpm.loc, "&lt;&gt;Virtual", _xlpm.loc, "&lt;&gt;Decommisioned")
)</f>
        <v>64</v>
      </c>
      <c r="D308" s="168">
        <f>_xlfn.LET(_xlpm.loc, ITEquipmentTable[Storage Location],
COUNTIFS(ITSecondTable[Tag], ITSecondTable[[#This Row],[Tag]], _xlpm.loc, "Missing")
)</f>
        <v>0</v>
      </c>
      <c r="E308" s="168">
        <f>_xlfn.LET(_xlpm.loc, ITEquipmentTable[Storage Location],
COUNTIFS(ITSecondTable[Tag], ITSecondTable[[#This Row],[Tag]], _xlpm.loc, "In Use") + COUNTIFS(ITSecondTable[Tag], ITSecondTable[[#This Row],[Tag]], _xlpm.loc, "Assigned to Employee")
)</f>
        <v>30</v>
      </c>
      <c r="F308" s="168">
        <f>_xlfn.LET(_xlpm.loc, ITEquipmentTable[Storage Location],
COUNTIFS(ITSecondTable[Tag], ITSecondTable[[#This Row],[Tag]], _xlpm.loc, "")
)</f>
        <v>17</v>
      </c>
      <c r="G308" s="168">
        <f>MAX(ITSecondTable[[#This Row],[SQty]] - ITSecondTable[[#This Row],[IQty]], 0)</f>
        <v>11</v>
      </c>
      <c r="H308" s="168">
        <f>MAX(ITSecondTable[[#This Row],[IQty]]-ITSecondTable[[#This Row],[SQty]], 0)</f>
        <v>0</v>
      </c>
      <c r="I308" s="151" t="str">
        <f>IFERROR(_xlfn.TEXTJOIN("~", TRUE, ITEquipmentTable[[#This Row],[Type]],ITEquipmentTable[[#This Row],[Brand]],ITEquipmentTable[[#This Row],[Model]]), "")</f>
        <v>Desktop~Dell~OptiPlex 3040</v>
      </c>
      <c r="J308" s="151" t="b">
        <f xml:space="preserve"> _xlfn.IFNA(MATCH( ITSecondTable[[#This Row],[Tag]], StorageTable[Tag], 0)  &gt; -1, FALSE)</f>
        <v>0</v>
      </c>
      <c r="K308" s="168" t="b">
        <f>COUNTIFS(ITEquipmentTable[Serial], ITEquipmentTable[[#This Row],[Serial]], ITEquipmentTable[Serial], "&lt;&gt;N/A") &gt; 1</f>
        <v>0</v>
      </c>
      <c r="L308" s="168" t="b">
        <f>COUNTIFS(ITEquipmentTable[Name], ITEquipmentTable[[#This Row],[Name]], ITEquipmentTable[Name], "&lt;&gt;&lt;Unassigned&gt;",  ITEquipmentTable[Name], "&lt;&gt;N/A") &gt; 1</f>
        <v>0</v>
      </c>
      <c r="M308" s="168" t="b">
        <f>AND(COUNTIFS(ITEquipmentTable[IPv4 Address], ITEquipmentTable[[#This Row],[IPv4 Address]]) &gt; 1, ITEquipmentTable[[#This Row],[IPv4 Address]] &lt;&gt; "DHCP",  ITEquipmentTable[[#This Row],[IPv4 Address]] &lt;&gt; "N/A")</f>
        <v>0</v>
      </c>
    </row>
    <row r="309" spans="1:13" x14ac:dyDescent="0.2">
      <c r="A309" s="168">
        <f>IF(LEN(ITSecondTable[[#This Row],[Tag]]) &gt; 0, _xlfn.XLOOKUP(ITSecondTable[[#This Row],[Tag]],StorageTable[Tag], StorageTable[In Storage - Count Total], "Err", 0, 1), 0)</f>
        <v>0</v>
      </c>
      <c r="B309" s="1">
        <f>_xlfn.LET(_xlpm.loc, ITEquipmentTable[Storage Location],
COUNTIFS(ITSecondTable[Tag], ITSecondTable[[#This Row],[Tag]], _xlpm.loc, "&lt;&gt;In Use", _xlpm.loc, "&lt;&gt;",  _xlpm.loc, "&lt;&gt;E-Waste", _xlpm.loc, "&lt;&gt;Virtual",  _xlpm.loc, "&lt;&gt;Assigned to Employee", _xlpm.loc, "&lt;&gt;Decommisioned", _xlpm.loc, "&lt;&gt;Missing")
)</f>
        <v>2</v>
      </c>
      <c r="C309" s="1">
        <f>_xlfn.LET(_xlpm.loc, ITEquipmentTable[Storage Location],
COUNTIFS(ITSecondTable[Tag], ITSecondTable[[#This Row],[Tag]], _xlpm.loc, "&lt;&gt;E-Waste", _xlpm.loc, "&lt;&gt;Virtual", _xlpm.loc, "&lt;&gt;Decommisioned")
)</f>
        <v>17</v>
      </c>
      <c r="D309" s="168">
        <f>_xlfn.LET(_xlpm.loc, ITEquipmentTable[Storage Location],
COUNTIFS(ITSecondTable[Tag], ITSecondTable[[#This Row],[Tag]], _xlpm.loc, "Missing")
)</f>
        <v>0</v>
      </c>
      <c r="E309" s="168">
        <f>_xlfn.LET(_xlpm.loc, ITEquipmentTable[Storage Location],
COUNTIFS(ITSecondTable[Tag], ITSecondTable[[#This Row],[Tag]], _xlpm.loc, "In Use") + COUNTIFS(ITSecondTable[Tag], ITSecondTable[[#This Row],[Tag]], _xlpm.loc, "Assigned to Employee")
)</f>
        <v>5</v>
      </c>
      <c r="F309" s="168">
        <f>_xlfn.LET(_xlpm.loc, ITEquipmentTable[Storage Location],
COUNTIFS(ITSecondTable[Tag], ITSecondTable[[#This Row],[Tag]], _xlpm.loc, "")
)</f>
        <v>10</v>
      </c>
      <c r="G309" s="168">
        <f>MAX(ITSecondTable[[#This Row],[SQty]] - ITSecondTable[[#This Row],[IQty]], 0)</f>
        <v>2</v>
      </c>
      <c r="H309" s="168">
        <f>MAX(ITSecondTable[[#This Row],[IQty]]-ITSecondTable[[#This Row],[SQty]], 0)</f>
        <v>0</v>
      </c>
      <c r="I309" s="151" t="str">
        <f>IFERROR(_xlfn.TEXTJOIN("~", TRUE, ITEquipmentTable[[#This Row],[Type]],ITEquipmentTable[[#This Row],[Brand]],ITEquipmentTable[[#This Row],[Model]]), "")</f>
        <v>Laptop~HP~HP ProBook 640 G3</v>
      </c>
      <c r="J309" s="151" t="b">
        <f xml:space="preserve"> _xlfn.IFNA(MATCH( ITSecondTable[[#This Row],[Tag]], StorageTable[Tag], 0)  &gt; -1, FALSE)</f>
        <v>0</v>
      </c>
      <c r="K309" s="168" t="b">
        <f>COUNTIFS(ITEquipmentTable[Serial], ITEquipmentTable[[#This Row],[Serial]], ITEquipmentTable[Serial], "&lt;&gt;N/A") &gt; 1</f>
        <v>0</v>
      </c>
      <c r="L309" s="168" t="b">
        <f>COUNTIFS(ITEquipmentTable[Name], ITEquipmentTable[[#This Row],[Name]], ITEquipmentTable[Name], "&lt;&gt;&lt;Unassigned&gt;",  ITEquipmentTable[Name], "&lt;&gt;N/A") &gt; 1</f>
        <v>0</v>
      </c>
      <c r="M309" s="168" t="b">
        <f>AND(COUNTIFS(ITEquipmentTable[IPv4 Address], ITEquipmentTable[[#This Row],[IPv4 Address]]) &gt; 1, ITEquipmentTable[[#This Row],[IPv4 Address]] &lt;&gt; "DHCP",  ITEquipmentTable[[#This Row],[IPv4 Address]] &lt;&gt; "N/A")</f>
        <v>0</v>
      </c>
    </row>
    <row r="310" spans="1:13" x14ac:dyDescent="0.2">
      <c r="A310" s="168">
        <f>IF(LEN(ITSecondTable[[#This Row],[Tag]]) &gt; 0, _xlfn.XLOOKUP(ITSecondTable[[#This Row],[Tag]],StorageTable[Tag], StorageTable[In Storage - Count Total], "Err", 0, 1), 0)</f>
        <v>0</v>
      </c>
      <c r="B310" s="1">
        <f>_xlfn.LET(_xlpm.loc, ITEquipmentTable[Storage Location],
COUNTIFS(ITSecondTable[Tag], ITSecondTable[[#This Row],[Tag]], _xlpm.loc, "&lt;&gt;In Use", _xlpm.loc, "&lt;&gt;",  _xlpm.loc, "&lt;&gt;E-Waste", _xlpm.loc, "&lt;&gt;Virtual",  _xlpm.loc, "&lt;&gt;Assigned to Employee", _xlpm.loc, "&lt;&gt;Decommisioned", _xlpm.loc, "&lt;&gt;Missing")
)</f>
        <v>2</v>
      </c>
      <c r="C310" s="1">
        <f>_xlfn.LET(_xlpm.loc, ITEquipmentTable[Storage Location],
COUNTIFS(ITSecondTable[Tag], ITSecondTable[[#This Row],[Tag]], _xlpm.loc, "&lt;&gt;E-Waste", _xlpm.loc, "&lt;&gt;Virtual", _xlpm.loc, "&lt;&gt;Decommisioned")
)</f>
        <v>13</v>
      </c>
      <c r="D310" s="168">
        <f>_xlfn.LET(_xlpm.loc, ITEquipmentTable[Storage Location],
COUNTIFS(ITSecondTable[Tag], ITSecondTable[[#This Row],[Tag]], _xlpm.loc, "Missing")
)</f>
        <v>0</v>
      </c>
      <c r="E310" s="168">
        <f>_xlfn.LET(_xlpm.loc, ITEquipmentTable[Storage Location],
COUNTIFS(ITSecondTable[Tag], ITSecondTable[[#This Row],[Tag]], _xlpm.loc, "In Use") + COUNTIFS(ITSecondTable[Tag], ITSecondTable[[#This Row],[Tag]], _xlpm.loc, "Assigned to Employee")
)</f>
        <v>1</v>
      </c>
      <c r="F310" s="168">
        <f>_xlfn.LET(_xlpm.loc, ITEquipmentTable[Storage Location],
COUNTIFS(ITSecondTable[Tag], ITSecondTable[[#This Row],[Tag]], _xlpm.loc, "")
)</f>
        <v>10</v>
      </c>
      <c r="G310" s="168">
        <f>MAX(ITSecondTable[[#This Row],[SQty]] - ITSecondTable[[#This Row],[IQty]], 0)</f>
        <v>2</v>
      </c>
      <c r="H310" s="168">
        <f>MAX(ITSecondTable[[#This Row],[IQty]]-ITSecondTable[[#This Row],[SQty]], 0)</f>
        <v>0</v>
      </c>
      <c r="I310" s="151" t="str">
        <f>IFERROR(_xlfn.TEXTJOIN("~", TRUE, ITEquipmentTable[[#This Row],[Type]],ITEquipmentTable[[#This Row],[Brand]],ITEquipmentTable[[#This Row],[Model]]), "")</f>
        <v>Laptop~HP~HP ProBook 650 G1</v>
      </c>
      <c r="J310" s="151" t="b">
        <f xml:space="preserve"> _xlfn.IFNA(MATCH( ITSecondTable[[#This Row],[Tag]], StorageTable[Tag], 0)  &gt; -1, FALSE)</f>
        <v>0</v>
      </c>
      <c r="K310" s="168" t="b">
        <f>COUNTIFS(ITEquipmentTable[Serial], ITEquipmentTable[[#This Row],[Serial]], ITEquipmentTable[Serial], "&lt;&gt;N/A") &gt; 1</f>
        <v>0</v>
      </c>
      <c r="L310" s="168" t="b">
        <f>COUNTIFS(ITEquipmentTable[Name], ITEquipmentTable[[#This Row],[Name]], ITEquipmentTable[Name], "&lt;&gt;&lt;Unassigned&gt;",  ITEquipmentTable[Name], "&lt;&gt;N/A") &gt; 1</f>
        <v>0</v>
      </c>
      <c r="M310" s="168" t="b">
        <f>AND(COUNTIFS(ITEquipmentTable[IPv4 Address], ITEquipmentTable[[#This Row],[IPv4 Address]]) &gt; 1, ITEquipmentTable[[#This Row],[IPv4 Address]] &lt;&gt; "DHCP",  ITEquipmentTable[[#This Row],[IPv4 Address]] &lt;&gt; "N/A")</f>
        <v>0</v>
      </c>
    </row>
    <row r="311" spans="1:13" x14ac:dyDescent="0.2">
      <c r="A311" s="168">
        <f>IF(LEN(ITSecondTable[[#This Row],[Tag]]) &gt; 0, _xlfn.XLOOKUP(ITSecondTable[[#This Row],[Tag]],StorageTable[Tag], StorageTable[In Storage - Count Total], "Err", 0, 1), 0)</f>
        <v>0</v>
      </c>
      <c r="B311" s="1">
        <f>_xlfn.LET(_xlpm.loc, ITEquipmentTable[Storage Location],
COUNTIFS(ITSecondTable[Tag], ITSecondTable[[#This Row],[Tag]], _xlpm.loc, "&lt;&gt;In Use", _xlpm.loc, "&lt;&gt;",  _xlpm.loc, "&lt;&gt;E-Waste", _xlpm.loc, "&lt;&gt;Virtual",  _xlpm.loc, "&lt;&gt;Assigned to Employee", _xlpm.loc, "&lt;&gt;Decommisioned", _xlpm.loc, "&lt;&gt;Missing")
)</f>
        <v>0</v>
      </c>
      <c r="C311" s="1">
        <f>_xlfn.LET(_xlpm.loc, ITEquipmentTable[Storage Location],
COUNTIFS(ITSecondTable[Tag], ITSecondTable[[#This Row],[Tag]], _xlpm.loc, "&lt;&gt;E-Waste", _xlpm.loc, "&lt;&gt;Virtual", _xlpm.loc, "&lt;&gt;Decommisioned")
)</f>
        <v>15</v>
      </c>
      <c r="D311" s="168">
        <f>_xlfn.LET(_xlpm.loc, ITEquipmentTable[Storage Location],
COUNTIFS(ITSecondTable[Tag], ITSecondTable[[#This Row],[Tag]], _xlpm.loc, "Missing")
)</f>
        <v>0</v>
      </c>
      <c r="E311" s="168">
        <f>_xlfn.LET(_xlpm.loc, ITEquipmentTable[Storage Location],
COUNTIFS(ITSecondTable[Tag], ITSecondTable[[#This Row],[Tag]], _xlpm.loc, "In Use") + COUNTIFS(ITSecondTable[Tag], ITSecondTable[[#This Row],[Tag]], _xlpm.loc, "Assigned to Employee")
)</f>
        <v>2</v>
      </c>
      <c r="F311" s="168">
        <f>_xlfn.LET(_xlpm.loc, ITEquipmentTable[Storage Location],
COUNTIFS(ITSecondTable[Tag], ITSecondTable[[#This Row],[Tag]], _xlpm.loc, "")
)</f>
        <v>13</v>
      </c>
      <c r="G311" s="168">
        <f>MAX(ITSecondTable[[#This Row],[SQty]] - ITSecondTable[[#This Row],[IQty]], 0)</f>
        <v>0</v>
      </c>
      <c r="H311" s="168">
        <f>MAX(ITSecondTable[[#This Row],[IQty]]-ITSecondTable[[#This Row],[SQty]], 0)</f>
        <v>0</v>
      </c>
      <c r="I311" s="151" t="str">
        <f>IFERROR(_xlfn.TEXTJOIN("~", TRUE, ITEquipmentTable[[#This Row],[Type]],ITEquipmentTable[[#This Row],[Brand]],ITEquipmentTable[[#This Row],[Model]]), "")</f>
        <v>Tablet</v>
      </c>
      <c r="J311" s="151" t="b">
        <f xml:space="preserve"> _xlfn.IFNA(MATCH( ITSecondTable[[#This Row],[Tag]], StorageTable[Tag], 0)  &gt; -1, FALSE)</f>
        <v>1</v>
      </c>
      <c r="K311" s="168" t="b">
        <f>COUNTIFS(ITEquipmentTable[Serial], ITEquipmentTable[[#This Row],[Serial]], ITEquipmentTable[Serial], "&lt;&gt;N/A") &gt; 1</f>
        <v>0</v>
      </c>
      <c r="L311" s="168" t="b">
        <f>COUNTIFS(ITEquipmentTable[Name], ITEquipmentTable[[#This Row],[Name]], ITEquipmentTable[Name], "&lt;&gt;&lt;Unassigned&gt;",  ITEquipmentTable[Name], "&lt;&gt;N/A") &gt; 1</f>
        <v>0</v>
      </c>
      <c r="M311" s="168" t="b">
        <f>AND(COUNTIFS(ITEquipmentTable[IPv4 Address], ITEquipmentTable[[#This Row],[IPv4 Address]]) &gt; 1, ITEquipmentTable[[#This Row],[IPv4 Address]] &lt;&gt; "DHCP",  ITEquipmentTable[[#This Row],[IPv4 Address]] &lt;&gt; "N/A")</f>
        <v>0</v>
      </c>
    </row>
    <row r="312" spans="1:13" x14ac:dyDescent="0.2">
      <c r="A312" s="168">
        <f>IF(LEN(ITSecondTable[[#This Row],[Tag]]) &gt; 0, _xlfn.XLOOKUP(ITSecondTable[[#This Row],[Tag]],StorageTable[Tag], StorageTable[In Storage - Count Total], "Err", 0, 1), 0)</f>
        <v>0</v>
      </c>
      <c r="B312" s="1">
        <f>_xlfn.LET(_xlpm.loc, ITEquipmentTable[Storage Location],
COUNTIFS(ITSecondTable[Tag], ITSecondTable[[#This Row],[Tag]], _xlpm.loc, "&lt;&gt;In Use", _xlpm.loc, "&lt;&gt;",  _xlpm.loc, "&lt;&gt;E-Waste", _xlpm.loc, "&lt;&gt;Virtual",  _xlpm.loc, "&lt;&gt;Assigned to Employee", _xlpm.loc, "&lt;&gt;Decommisioned", _xlpm.loc, "&lt;&gt;Missing")
)</f>
        <v>0</v>
      </c>
      <c r="C312" s="1">
        <f>_xlfn.LET(_xlpm.loc, ITEquipmentTable[Storage Location],
COUNTIFS(ITSecondTable[Tag], ITSecondTable[[#This Row],[Tag]], _xlpm.loc, "&lt;&gt;E-Waste", _xlpm.loc, "&lt;&gt;Virtual", _xlpm.loc, "&lt;&gt;Decommisioned")
)</f>
        <v>10</v>
      </c>
      <c r="D312" s="168">
        <f>_xlfn.LET(_xlpm.loc, ITEquipmentTable[Storage Location],
COUNTIFS(ITSecondTable[Tag], ITSecondTable[[#This Row],[Tag]], _xlpm.loc, "Missing")
)</f>
        <v>0</v>
      </c>
      <c r="E312" s="168">
        <f>_xlfn.LET(_xlpm.loc, ITEquipmentTable[Storage Location],
COUNTIFS(ITSecondTable[Tag], ITSecondTable[[#This Row],[Tag]], _xlpm.loc, "In Use") + COUNTIFS(ITSecondTable[Tag], ITSecondTable[[#This Row],[Tag]], _xlpm.loc, "Assigned to Employee")
)</f>
        <v>5</v>
      </c>
      <c r="F312" s="168">
        <f>_xlfn.LET(_xlpm.loc, ITEquipmentTable[Storage Location],
COUNTIFS(ITSecondTable[Tag], ITSecondTable[[#This Row],[Tag]], _xlpm.loc, "")
)</f>
        <v>5</v>
      </c>
      <c r="G312" s="168">
        <f>MAX(ITSecondTable[[#This Row],[SQty]] - ITSecondTable[[#This Row],[IQty]], 0)</f>
        <v>0</v>
      </c>
      <c r="H312" s="168">
        <f>MAX(ITSecondTable[[#This Row],[IQty]]-ITSecondTable[[#This Row],[SQty]], 0)</f>
        <v>0</v>
      </c>
      <c r="I312" s="151" t="str">
        <f>IFERROR(_xlfn.TEXTJOIN("~", TRUE, ITEquipmentTable[[#This Row],[Type]],ITEquipmentTable[[#This Row],[Brand]],ITEquipmentTable[[#This Row],[Model]]), "")</f>
        <v>Laptop~HP~HP ProBook 640 G4</v>
      </c>
      <c r="J312" s="151" t="b">
        <f xml:space="preserve"> _xlfn.IFNA(MATCH( ITSecondTable[[#This Row],[Tag]], StorageTable[Tag], 0)  &gt; -1, FALSE)</f>
        <v>0</v>
      </c>
      <c r="K312" s="168" t="b">
        <f>COUNTIFS(ITEquipmentTable[Serial], ITEquipmentTable[[#This Row],[Serial]], ITEquipmentTable[Serial], "&lt;&gt;N/A") &gt; 1</f>
        <v>0</v>
      </c>
      <c r="L312" s="168" t="b">
        <f>COUNTIFS(ITEquipmentTable[Name], ITEquipmentTable[[#This Row],[Name]], ITEquipmentTable[Name], "&lt;&gt;&lt;Unassigned&gt;",  ITEquipmentTable[Name], "&lt;&gt;N/A") &gt; 1</f>
        <v>0</v>
      </c>
      <c r="M312" s="168" t="b">
        <f>AND(COUNTIFS(ITEquipmentTable[IPv4 Address], ITEquipmentTable[[#This Row],[IPv4 Address]]) &gt; 1, ITEquipmentTable[[#This Row],[IPv4 Address]] &lt;&gt; "DHCP",  ITEquipmentTable[[#This Row],[IPv4 Address]] &lt;&gt; "N/A")</f>
        <v>0</v>
      </c>
    </row>
    <row r="313" spans="1:13" x14ac:dyDescent="0.2">
      <c r="A313" s="168">
        <f>IF(LEN(ITSecondTable[[#This Row],[Tag]]) &gt; 0, _xlfn.XLOOKUP(ITSecondTable[[#This Row],[Tag]],StorageTable[Tag], StorageTable[In Storage - Count Total], "Err", 0, 1), 0)</f>
        <v>6</v>
      </c>
      <c r="B313" s="1">
        <f>_xlfn.LET(_xlpm.loc, ITEquipmentTable[Storage Location],
COUNTIFS(ITSecondTable[Tag], ITSecondTable[[#This Row],[Tag]], _xlpm.loc, "&lt;&gt;In Use", _xlpm.loc, "&lt;&gt;",  _xlpm.loc, "&lt;&gt;E-Waste", _xlpm.loc, "&lt;&gt;Virtual",  _xlpm.loc, "&lt;&gt;Assigned to Employee", _xlpm.loc, "&lt;&gt;Decommisioned", _xlpm.loc, "&lt;&gt;Missing")
)</f>
        <v>17</v>
      </c>
      <c r="C313" s="1">
        <f>_xlfn.LET(_xlpm.loc, ITEquipmentTable[Storage Location],
COUNTIFS(ITSecondTable[Tag], ITSecondTable[[#This Row],[Tag]], _xlpm.loc, "&lt;&gt;E-Waste", _xlpm.loc, "&lt;&gt;Virtual", _xlpm.loc, "&lt;&gt;Decommisioned")
)</f>
        <v>64</v>
      </c>
      <c r="D313" s="168">
        <f>_xlfn.LET(_xlpm.loc, ITEquipmentTable[Storage Location],
COUNTIFS(ITSecondTable[Tag], ITSecondTable[[#This Row],[Tag]], _xlpm.loc, "Missing")
)</f>
        <v>0</v>
      </c>
      <c r="E313" s="168">
        <f>_xlfn.LET(_xlpm.loc, ITEquipmentTable[Storage Location],
COUNTIFS(ITSecondTable[Tag], ITSecondTable[[#This Row],[Tag]], _xlpm.loc, "In Use") + COUNTIFS(ITSecondTable[Tag], ITSecondTable[[#This Row],[Tag]], _xlpm.loc, "Assigned to Employee")
)</f>
        <v>30</v>
      </c>
      <c r="F313" s="168">
        <f>_xlfn.LET(_xlpm.loc, ITEquipmentTable[Storage Location],
COUNTIFS(ITSecondTable[Tag], ITSecondTable[[#This Row],[Tag]], _xlpm.loc, "")
)</f>
        <v>17</v>
      </c>
      <c r="G313" s="168">
        <f>MAX(ITSecondTable[[#This Row],[SQty]] - ITSecondTable[[#This Row],[IQty]], 0)</f>
        <v>11</v>
      </c>
      <c r="H313" s="168">
        <f>MAX(ITSecondTable[[#This Row],[IQty]]-ITSecondTable[[#This Row],[SQty]], 0)</f>
        <v>0</v>
      </c>
      <c r="I313" s="151" t="str">
        <f>IFERROR(_xlfn.TEXTJOIN("~", TRUE, ITEquipmentTable[[#This Row],[Type]],ITEquipmentTable[[#This Row],[Brand]],ITEquipmentTable[[#This Row],[Model]]), "")</f>
        <v>Desktop~Dell~OptiPlex 3040</v>
      </c>
      <c r="J313" s="151" t="b">
        <f xml:space="preserve"> _xlfn.IFNA(MATCH( ITSecondTable[[#This Row],[Tag]], StorageTable[Tag], 0)  &gt; -1, FALSE)</f>
        <v>0</v>
      </c>
      <c r="K313" s="168" t="b">
        <f>COUNTIFS(ITEquipmentTable[Serial], ITEquipmentTable[[#This Row],[Serial]], ITEquipmentTable[Serial], "&lt;&gt;N/A") &gt; 1</f>
        <v>0</v>
      </c>
      <c r="L313" s="168" t="b">
        <f>COUNTIFS(ITEquipmentTable[Name], ITEquipmentTable[[#This Row],[Name]], ITEquipmentTable[Name], "&lt;&gt;&lt;Unassigned&gt;",  ITEquipmentTable[Name], "&lt;&gt;N/A") &gt; 1</f>
        <v>0</v>
      </c>
      <c r="M313" s="168" t="b">
        <f>AND(COUNTIFS(ITEquipmentTable[IPv4 Address], ITEquipmentTable[[#This Row],[IPv4 Address]]) &gt; 1, ITEquipmentTable[[#This Row],[IPv4 Address]] &lt;&gt; "DHCP",  ITEquipmentTable[[#This Row],[IPv4 Address]] &lt;&gt; "N/A")</f>
        <v>0</v>
      </c>
    </row>
    <row r="314" spans="1:13" x14ac:dyDescent="0.2">
      <c r="A314" s="168">
        <f>IF(LEN(ITSecondTable[[#This Row],[Tag]]) &gt; 0, _xlfn.XLOOKUP(ITSecondTable[[#This Row],[Tag]],StorageTable[Tag], StorageTable[In Storage - Count Total], "Err", 0, 1), 0)</f>
        <v>6</v>
      </c>
      <c r="B314" s="1">
        <f>_xlfn.LET(_xlpm.loc, ITEquipmentTable[Storage Location],
COUNTIFS(ITSecondTable[Tag], ITSecondTable[[#This Row],[Tag]], _xlpm.loc, "&lt;&gt;In Use", _xlpm.loc, "&lt;&gt;",  _xlpm.loc, "&lt;&gt;E-Waste", _xlpm.loc, "&lt;&gt;Virtual",  _xlpm.loc, "&lt;&gt;Assigned to Employee", _xlpm.loc, "&lt;&gt;Decommisioned", _xlpm.loc, "&lt;&gt;Missing")
)</f>
        <v>17</v>
      </c>
      <c r="C314" s="1">
        <f>_xlfn.LET(_xlpm.loc, ITEquipmentTable[Storage Location],
COUNTIFS(ITSecondTable[Tag], ITSecondTable[[#This Row],[Tag]], _xlpm.loc, "&lt;&gt;E-Waste", _xlpm.loc, "&lt;&gt;Virtual", _xlpm.loc, "&lt;&gt;Decommisioned")
)</f>
        <v>64</v>
      </c>
      <c r="D314" s="168">
        <f>_xlfn.LET(_xlpm.loc, ITEquipmentTable[Storage Location],
COUNTIFS(ITSecondTable[Tag], ITSecondTable[[#This Row],[Tag]], _xlpm.loc, "Missing")
)</f>
        <v>0</v>
      </c>
      <c r="E314" s="168">
        <f>_xlfn.LET(_xlpm.loc, ITEquipmentTable[Storage Location],
COUNTIFS(ITSecondTable[Tag], ITSecondTable[[#This Row],[Tag]], _xlpm.loc, "In Use") + COUNTIFS(ITSecondTable[Tag], ITSecondTable[[#This Row],[Tag]], _xlpm.loc, "Assigned to Employee")
)</f>
        <v>30</v>
      </c>
      <c r="F314" s="168">
        <f>_xlfn.LET(_xlpm.loc, ITEquipmentTable[Storage Location],
COUNTIFS(ITSecondTable[Tag], ITSecondTable[[#This Row],[Tag]], _xlpm.loc, "")
)</f>
        <v>17</v>
      </c>
      <c r="G314" s="168">
        <f>MAX(ITSecondTable[[#This Row],[SQty]] - ITSecondTable[[#This Row],[IQty]], 0)</f>
        <v>11</v>
      </c>
      <c r="H314" s="168">
        <f>MAX(ITSecondTable[[#This Row],[IQty]]-ITSecondTable[[#This Row],[SQty]], 0)</f>
        <v>0</v>
      </c>
      <c r="I314" s="151" t="str">
        <f>IFERROR(_xlfn.TEXTJOIN("~", TRUE, ITEquipmentTable[[#This Row],[Type]],ITEquipmentTable[[#This Row],[Brand]],ITEquipmentTable[[#This Row],[Model]]), "")</f>
        <v>Desktop~Dell~OptiPlex 3040</v>
      </c>
      <c r="J314" s="151" t="b">
        <f xml:space="preserve"> _xlfn.IFNA(MATCH( ITSecondTable[[#This Row],[Tag]], StorageTable[Tag], 0)  &gt; -1, FALSE)</f>
        <v>0</v>
      </c>
      <c r="K314" s="168" t="b">
        <f>COUNTIFS(ITEquipmentTable[Serial], ITEquipmentTable[[#This Row],[Serial]], ITEquipmentTable[Serial], "&lt;&gt;N/A") &gt; 1</f>
        <v>0</v>
      </c>
      <c r="L314" s="168" t="b">
        <f>COUNTIFS(ITEquipmentTable[Name], ITEquipmentTable[[#This Row],[Name]], ITEquipmentTable[Name], "&lt;&gt;&lt;Unassigned&gt;",  ITEquipmentTable[Name], "&lt;&gt;N/A") &gt; 1</f>
        <v>0</v>
      </c>
      <c r="M314" s="168" t="b">
        <f>AND(COUNTIFS(ITEquipmentTable[IPv4 Address], ITEquipmentTable[[#This Row],[IPv4 Address]]) &gt; 1, ITEquipmentTable[[#This Row],[IPv4 Address]] &lt;&gt; "DHCP",  ITEquipmentTable[[#This Row],[IPv4 Address]] &lt;&gt; "N/A")</f>
        <v>0</v>
      </c>
    </row>
    <row r="315" spans="1:13" x14ac:dyDescent="0.2">
      <c r="A315" s="168">
        <f>IF(LEN(ITSecondTable[[#This Row],[Tag]]) &gt; 0, _xlfn.XLOOKUP(ITSecondTable[[#This Row],[Tag]],StorageTable[Tag], StorageTable[In Storage - Count Total], "Err", 0, 1), 0)</f>
        <v>6</v>
      </c>
      <c r="B315" s="1">
        <f>_xlfn.LET(_xlpm.loc, ITEquipmentTable[Storage Location],
COUNTIFS(ITSecondTable[Tag], ITSecondTable[[#This Row],[Tag]], _xlpm.loc, "&lt;&gt;In Use", _xlpm.loc, "&lt;&gt;",  _xlpm.loc, "&lt;&gt;E-Waste", _xlpm.loc, "&lt;&gt;Virtual",  _xlpm.loc, "&lt;&gt;Assigned to Employee", _xlpm.loc, "&lt;&gt;Decommisioned", _xlpm.loc, "&lt;&gt;Missing")
)</f>
        <v>17</v>
      </c>
      <c r="C315" s="1">
        <f>_xlfn.LET(_xlpm.loc, ITEquipmentTable[Storage Location],
COUNTIFS(ITSecondTable[Tag], ITSecondTable[[#This Row],[Tag]], _xlpm.loc, "&lt;&gt;E-Waste", _xlpm.loc, "&lt;&gt;Virtual", _xlpm.loc, "&lt;&gt;Decommisioned")
)</f>
        <v>64</v>
      </c>
      <c r="D315" s="168">
        <f>_xlfn.LET(_xlpm.loc, ITEquipmentTable[Storage Location],
COUNTIFS(ITSecondTable[Tag], ITSecondTable[[#This Row],[Tag]], _xlpm.loc, "Missing")
)</f>
        <v>0</v>
      </c>
      <c r="E315" s="168">
        <f>_xlfn.LET(_xlpm.loc, ITEquipmentTable[Storage Location],
COUNTIFS(ITSecondTable[Tag], ITSecondTable[[#This Row],[Tag]], _xlpm.loc, "In Use") + COUNTIFS(ITSecondTable[Tag], ITSecondTable[[#This Row],[Tag]], _xlpm.loc, "Assigned to Employee")
)</f>
        <v>30</v>
      </c>
      <c r="F315" s="168">
        <f>_xlfn.LET(_xlpm.loc, ITEquipmentTable[Storage Location],
COUNTIFS(ITSecondTable[Tag], ITSecondTable[[#This Row],[Tag]], _xlpm.loc, "")
)</f>
        <v>17</v>
      </c>
      <c r="G315" s="168">
        <f>MAX(ITSecondTable[[#This Row],[SQty]] - ITSecondTable[[#This Row],[IQty]], 0)</f>
        <v>11</v>
      </c>
      <c r="H315" s="168">
        <f>MAX(ITSecondTable[[#This Row],[IQty]]-ITSecondTable[[#This Row],[SQty]], 0)</f>
        <v>0</v>
      </c>
      <c r="I315" s="151" t="str">
        <f>IFERROR(_xlfn.TEXTJOIN("~", TRUE, ITEquipmentTable[[#This Row],[Type]],ITEquipmentTable[[#This Row],[Brand]],ITEquipmentTable[[#This Row],[Model]]), "")</f>
        <v>Desktop~Dell~OptiPlex 3040</v>
      </c>
      <c r="J315" s="151" t="b">
        <f xml:space="preserve"> _xlfn.IFNA(MATCH( ITSecondTable[[#This Row],[Tag]], StorageTable[Tag], 0)  &gt; -1, FALSE)</f>
        <v>0</v>
      </c>
      <c r="K315" s="168" t="b">
        <f>COUNTIFS(ITEquipmentTable[Serial], ITEquipmentTable[[#This Row],[Serial]], ITEquipmentTable[Serial], "&lt;&gt;N/A") &gt; 1</f>
        <v>0</v>
      </c>
      <c r="L315" s="168" t="b">
        <f>COUNTIFS(ITEquipmentTable[Name], ITEquipmentTable[[#This Row],[Name]], ITEquipmentTable[Name], "&lt;&gt;&lt;Unassigned&gt;",  ITEquipmentTable[Name], "&lt;&gt;N/A") &gt; 1</f>
        <v>0</v>
      </c>
      <c r="M315" s="168" t="b">
        <f>AND(COUNTIFS(ITEquipmentTable[IPv4 Address], ITEquipmentTable[[#This Row],[IPv4 Address]]) &gt; 1, ITEquipmentTable[[#This Row],[IPv4 Address]] &lt;&gt; "DHCP",  ITEquipmentTable[[#This Row],[IPv4 Address]] &lt;&gt; "N/A")</f>
        <v>0</v>
      </c>
    </row>
    <row r="316" spans="1:13" x14ac:dyDescent="0.2">
      <c r="A316" s="168">
        <f>IF(LEN(ITSecondTable[[#This Row],[Tag]]) &gt; 0, _xlfn.XLOOKUP(ITSecondTable[[#This Row],[Tag]],StorageTable[Tag], StorageTable[In Storage - Count Total], "Err", 0, 1), 0)</f>
        <v>6</v>
      </c>
      <c r="B316" s="1">
        <f>_xlfn.LET(_xlpm.loc, ITEquipmentTable[Storage Location],
COUNTIFS(ITSecondTable[Tag], ITSecondTable[[#This Row],[Tag]], _xlpm.loc, "&lt;&gt;In Use", _xlpm.loc, "&lt;&gt;",  _xlpm.loc, "&lt;&gt;E-Waste", _xlpm.loc, "&lt;&gt;Virtual",  _xlpm.loc, "&lt;&gt;Assigned to Employee", _xlpm.loc, "&lt;&gt;Decommisioned", _xlpm.loc, "&lt;&gt;Missing")
)</f>
        <v>17</v>
      </c>
      <c r="C316" s="1">
        <f>_xlfn.LET(_xlpm.loc, ITEquipmentTable[Storage Location],
COUNTIFS(ITSecondTable[Tag], ITSecondTable[[#This Row],[Tag]], _xlpm.loc, "&lt;&gt;E-Waste", _xlpm.loc, "&lt;&gt;Virtual", _xlpm.loc, "&lt;&gt;Decommisioned")
)</f>
        <v>64</v>
      </c>
      <c r="D316" s="168">
        <f>_xlfn.LET(_xlpm.loc, ITEquipmentTable[Storage Location],
COUNTIFS(ITSecondTable[Tag], ITSecondTable[[#This Row],[Tag]], _xlpm.loc, "Missing")
)</f>
        <v>0</v>
      </c>
      <c r="E316" s="168">
        <f>_xlfn.LET(_xlpm.loc, ITEquipmentTable[Storage Location],
COUNTIFS(ITSecondTable[Tag], ITSecondTable[[#This Row],[Tag]], _xlpm.loc, "In Use") + COUNTIFS(ITSecondTable[Tag], ITSecondTable[[#This Row],[Tag]], _xlpm.loc, "Assigned to Employee")
)</f>
        <v>30</v>
      </c>
      <c r="F316" s="168">
        <f>_xlfn.LET(_xlpm.loc, ITEquipmentTable[Storage Location],
COUNTIFS(ITSecondTable[Tag], ITSecondTable[[#This Row],[Tag]], _xlpm.loc, "")
)</f>
        <v>17</v>
      </c>
      <c r="G316" s="168">
        <f>MAX(ITSecondTable[[#This Row],[SQty]] - ITSecondTable[[#This Row],[IQty]], 0)</f>
        <v>11</v>
      </c>
      <c r="H316" s="168">
        <f>MAX(ITSecondTable[[#This Row],[IQty]]-ITSecondTable[[#This Row],[SQty]], 0)</f>
        <v>0</v>
      </c>
      <c r="I316" s="151" t="str">
        <f>IFERROR(_xlfn.TEXTJOIN("~", TRUE, ITEquipmentTable[[#This Row],[Type]],ITEquipmentTable[[#This Row],[Brand]],ITEquipmentTable[[#This Row],[Model]]), "")</f>
        <v>Desktop~Dell~OptiPlex 3040</v>
      </c>
      <c r="J316" s="151" t="b">
        <f xml:space="preserve"> _xlfn.IFNA(MATCH( ITSecondTable[[#This Row],[Tag]], StorageTable[Tag], 0)  &gt; -1, FALSE)</f>
        <v>0</v>
      </c>
      <c r="K316" s="168" t="b">
        <f>COUNTIFS(ITEquipmentTable[Serial], ITEquipmentTable[[#This Row],[Serial]], ITEquipmentTable[Serial], "&lt;&gt;N/A") &gt; 1</f>
        <v>0</v>
      </c>
      <c r="L316" s="168" t="b">
        <f>COUNTIFS(ITEquipmentTable[Name], ITEquipmentTable[[#This Row],[Name]], ITEquipmentTable[Name], "&lt;&gt;&lt;Unassigned&gt;",  ITEquipmentTable[Name], "&lt;&gt;N/A") &gt; 1</f>
        <v>0</v>
      </c>
      <c r="M316" s="168" t="b">
        <f>AND(COUNTIFS(ITEquipmentTable[IPv4 Address], ITEquipmentTable[[#This Row],[IPv4 Address]]) &gt; 1, ITEquipmentTable[[#This Row],[IPv4 Address]] &lt;&gt; "DHCP",  ITEquipmentTable[[#This Row],[IPv4 Address]] &lt;&gt; "N/A")</f>
        <v>0</v>
      </c>
    </row>
    <row r="317" spans="1:13" x14ac:dyDescent="0.2">
      <c r="A317" s="168">
        <f>IF(LEN(ITSecondTable[[#This Row],[Tag]]) &gt; 0, _xlfn.XLOOKUP(ITSecondTable[[#This Row],[Tag]],StorageTable[Tag], StorageTable[In Storage - Count Total], "Err", 0, 1), 0)</f>
        <v>6</v>
      </c>
      <c r="B317" s="1">
        <f>_xlfn.LET(_xlpm.loc, ITEquipmentTable[Storage Location],
COUNTIFS(ITSecondTable[Tag], ITSecondTable[[#This Row],[Tag]], _xlpm.loc, "&lt;&gt;In Use", _xlpm.loc, "&lt;&gt;",  _xlpm.loc, "&lt;&gt;E-Waste", _xlpm.loc, "&lt;&gt;Virtual",  _xlpm.loc, "&lt;&gt;Assigned to Employee", _xlpm.loc, "&lt;&gt;Decommisioned", _xlpm.loc, "&lt;&gt;Missing")
)</f>
        <v>17</v>
      </c>
      <c r="C317" s="1">
        <f>_xlfn.LET(_xlpm.loc, ITEquipmentTable[Storage Location],
COUNTIFS(ITSecondTable[Tag], ITSecondTable[[#This Row],[Tag]], _xlpm.loc, "&lt;&gt;E-Waste", _xlpm.loc, "&lt;&gt;Virtual", _xlpm.loc, "&lt;&gt;Decommisioned")
)</f>
        <v>64</v>
      </c>
      <c r="D317" s="168">
        <f>_xlfn.LET(_xlpm.loc, ITEquipmentTable[Storage Location],
COUNTIFS(ITSecondTable[Tag], ITSecondTable[[#This Row],[Tag]], _xlpm.loc, "Missing")
)</f>
        <v>0</v>
      </c>
      <c r="E317" s="168">
        <f>_xlfn.LET(_xlpm.loc, ITEquipmentTable[Storage Location],
COUNTIFS(ITSecondTable[Tag], ITSecondTable[[#This Row],[Tag]], _xlpm.loc, "In Use") + COUNTIFS(ITSecondTable[Tag], ITSecondTable[[#This Row],[Tag]], _xlpm.loc, "Assigned to Employee")
)</f>
        <v>30</v>
      </c>
      <c r="F317" s="168">
        <f>_xlfn.LET(_xlpm.loc, ITEquipmentTable[Storage Location],
COUNTIFS(ITSecondTable[Tag], ITSecondTable[[#This Row],[Tag]], _xlpm.loc, "")
)</f>
        <v>17</v>
      </c>
      <c r="G317" s="168">
        <f>MAX(ITSecondTable[[#This Row],[SQty]] - ITSecondTable[[#This Row],[IQty]], 0)</f>
        <v>11</v>
      </c>
      <c r="H317" s="168">
        <f>MAX(ITSecondTable[[#This Row],[IQty]]-ITSecondTable[[#This Row],[SQty]], 0)</f>
        <v>0</v>
      </c>
      <c r="I317" s="151" t="str">
        <f>IFERROR(_xlfn.TEXTJOIN("~", TRUE, ITEquipmentTable[[#This Row],[Type]],ITEquipmentTable[[#This Row],[Brand]],ITEquipmentTable[[#This Row],[Model]]), "")</f>
        <v>Desktop~Dell~OptiPlex 3040</v>
      </c>
      <c r="J317" s="151" t="b">
        <f xml:space="preserve"> _xlfn.IFNA(MATCH( ITSecondTable[[#This Row],[Tag]], StorageTable[Tag], 0)  &gt; -1, FALSE)</f>
        <v>0</v>
      </c>
      <c r="K317" s="168" t="b">
        <f>COUNTIFS(ITEquipmentTable[Serial], ITEquipmentTable[[#This Row],[Serial]], ITEquipmentTable[Serial], "&lt;&gt;N/A") &gt; 1</f>
        <v>0</v>
      </c>
      <c r="L317" s="168" t="b">
        <f>COUNTIFS(ITEquipmentTable[Name], ITEquipmentTable[[#This Row],[Name]], ITEquipmentTable[Name], "&lt;&gt;&lt;Unassigned&gt;",  ITEquipmentTable[Name], "&lt;&gt;N/A") &gt; 1</f>
        <v>0</v>
      </c>
      <c r="M317" s="168" t="b">
        <f>AND(COUNTIFS(ITEquipmentTable[IPv4 Address], ITEquipmentTable[[#This Row],[IPv4 Address]]) &gt; 1, ITEquipmentTable[[#This Row],[IPv4 Address]] &lt;&gt; "DHCP",  ITEquipmentTable[[#This Row],[IPv4 Address]] &lt;&gt; "N/A")</f>
        <v>0</v>
      </c>
    </row>
    <row r="318" spans="1:13" x14ac:dyDescent="0.2">
      <c r="A318" s="168">
        <f>IF(LEN(ITSecondTable[[#This Row],[Tag]]) &gt; 0, _xlfn.XLOOKUP(ITSecondTable[[#This Row],[Tag]],StorageTable[Tag], StorageTable[In Storage - Count Total], "Err", 0, 1), 0)</f>
        <v>6</v>
      </c>
      <c r="B318" s="1">
        <f>_xlfn.LET(_xlpm.loc, ITEquipmentTable[Storage Location],
COUNTIFS(ITSecondTable[Tag], ITSecondTable[[#This Row],[Tag]], _xlpm.loc, "&lt;&gt;In Use", _xlpm.loc, "&lt;&gt;",  _xlpm.loc, "&lt;&gt;E-Waste", _xlpm.loc, "&lt;&gt;Virtual",  _xlpm.loc, "&lt;&gt;Assigned to Employee", _xlpm.loc, "&lt;&gt;Decommisioned", _xlpm.loc, "&lt;&gt;Missing")
)</f>
        <v>17</v>
      </c>
      <c r="C318" s="1">
        <f>_xlfn.LET(_xlpm.loc, ITEquipmentTable[Storage Location],
COUNTIFS(ITSecondTable[Tag], ITSecondTable[[#This Row],[Tag]], _xlpm.loc, "&lt;&gt;E-Waste", _xlpm.loc, "&lt;&gt;Virtual", _xlpm.loc, "&lt;&gt;Decommisioned")
)</f>
        <v>64</v>
      </c>
      <c r="D318" s="168">
        <f>_xlfn.LET(_xlpm.loc, ITEquipmentTable[Storage Location],
COUNTIFS(ITSecondTable[Tag], ITSecondTable[[#This Row],[Tag]], _xlpm.loc, "Missing")
)</f>
        <v>0</v>
      </c>
      <c r="E318" s="168">
        <f>_xlfn.LET(_xlpm.loc, ITEquipmentTable[Storage Location],
COUNTIFS(ITSecondTable[Tag], ITSecondTable[[#This Row],[Tag]], _xlpm.loc, "In Use") + COUNTIFS(ITSecondTable[Tag], ITSecondTable[[#This Row],[Tag]], _xlpm.loc, "Assigned to Employee")
)</f>
        <v>30</v>
      </c>
      <c r="F318" s="168">
        <f>_xlfn.LET(_xlpm.loc, ITEquipmentTable[Storage Location],
COUNTIFS(ITSecondTable[Tag], ITSecondTable[[#This Row],[Tag]], _xlpm.loc, "")
)</f>
        <v>17</v>
      </c>
      <c r="G318" s="168">
        <f>MAX(ITSecondTable[[#This Row],[SQty]] - ITSecondTable[[#This Row],[IQty]], 0)</f>
        <v>11</v>
      </c>
      <c r="H318" s="168">
        <f>MAX(ITSecondTable[[#This Row],[IQty]]-ITSecondTable[[#This Row],[SQty]], 0)</f>
        <v>0</v>
      </c>
      <c r="I318" s="151" t="str">
        <f>IFERROR(_xlfn.TEXTJOIN("~", TRUE, ITEquipmentTable[[#This Row],[Type]],ITEquipmentTable[[#This Row],[Brand]],ITEquipmentTable[[#This Row],[Model]]), "")</f>
        <v>Desktop~Dell~OptiPlex 3040</v>
      </c>
      <c r="J318" s="151" t="b">
        <f xml:space="preserve"> _xlfn.IFNA(MATCH( ITSecondTable[[#This Row],[Tag]], StorageTable[Tag], 0)  &gt; -1, FALSE)</f>
        <v>0</v>
      </c>
      <c r="K318" s="168" t="b">
        <f>COUNTIFS(ITEquipmentTable[Serial], ITEquipmentTable[[#This Row],[Serial]], ITEquipmentTable[Serial], "&lt;&gt;N/A") &gt; 1</f>
        <v>0</v>
      </c>
      <c r="L318" s="168" t="b">
        <f>COUNTIFS(ITEquipmentTable[Name], ITEquipmentTable[[#This Row],[Name]], ITEquipmentTable[Name], "&lt;&gt;&lt;Unassigned&gt;",  ITEquipmentTable[Name], "&lt;&gt;N/A") &gt; 1</f>
        <v>0</v>
      </c>
      <c r="M318" s="168" t="b">
        <f>AND(COUNTIFS(ITEquipmentTable[IPv4 Address], ITEquipmentTable[[#This Row],[IPv4 Address]]) &gt; 1, ITEquipmentTable[[#This Row],[IPv4 Address]] &lt;&gt; "DHCP",  ITEquipmentTable[[#This Row],[IPv4 Address]] &lt;&gt; "N/A")</f>
        <v>0</v>
      </c>
    </row>
    <row r="319" spans="1:13" x14ac:dyDescent="0.2">
      <c r="A319" s="168">
        <f>IF(LEN(ITSecondTable[[#This Row],[Tag]]) &gt; 0, _xlfn.XLOOKUP(ITSecondTable[[#This Row],[Tag]],StorageTable[Tag], StorageTable[In Storage - Count Total], "Err", 0, 1), 0)</f>
        <v>6</v>
      </c>
      <c r="B319" s="1">
        <f>_xlfn.LET(_xlpm.loc, ITEquipmentTable[Storage Location],
COUNTIFS(ITSecondTable[Tag], ITSecondTable[[#This Row],[Tag]], _xlpm.loc, "&lt;&gt;In Use", _xlpm.loc, "&lt;&gt;",  _xlpm.loc, "&lt;&gt;E-Waste", _xlpm.loc, "&lt;&gt;Virtual",  _xlpm.loc, "&lt;&gt;Assigned to Employee", _xlpm.loc, "&lt;&gt;Decommisioned", _xlpm.loc, "&lt;&gt;Missing")
)</f>
        <v>17</v>
      </c>
      <c r="C319" s="1">
        <f>_xlfn.LET(_xlpm.loc, ITEquipmentTable[Storage Location],
COUNTIFS(ITSecondTable[Tag], ITSecondTable[[#This Row],[Tag]], _xlpm.loc, "&lt;&gt;E-Waste", _xlpm.loc, "&lt;&gt;Virtual", _xlpm.loc, "&lt;&gt;Decommisioned")
)</f>
        <v>64</v>
      </c>
      <c r="D319" s="168">
        <f>_xlfn.LET(_xlpm.loc, ITEquipmentTable[Storage Location],
COUNTIFS(ITSecondTable[Tag], ITSecondTable[[#This Row],[Tag]], _xlpm.loc, "Missing")
)</f>
        <v>0</v>
      </c>
      <c r="E319" s="168">
        <f>_xlfn.LET(_xlpm.loc, ITEquipmentTable[Storage Location],
COUNTIFS(ITSecondTable[Tag], ITSecondTable[[#This Row],[Tag]], _xlpm.loc, "In Use") + COUNTIFS(ITSecondTable[Tag], ITSecondTable[[#This Row],[Tag]], _xlpm.loc, "Assigned to Employee")
)</f>
        <v>30</v>
      </c>
      <c r="F319" s="168">
        <f>_xlfn.LET(_xlpm.loc, ITEquipmentTable[Storage Location],
COUNTIFS(ITSecondTable[Tag], ITSecondTable[[#This Row],[Tag]], _xlpm.loc, "")
)</f>
        <v>17</v>
      </c>
      <c r="G319" s="168">
        <f>MAX(ITSecondTable[[#This Row],[SQty]] - ITSecondTable[[#This Row],[IQty]], 0)</f>
        <v>11</v>
      </c>
      <c r="H319" s="168">
        <f>MAX(ITSecondTable[[#This Row],[IQty]]-ITSecondTable[[#This Row],[SQty]], 0)</f>
        <v>0</v>
      </c>
      <c r="I319" s="151" t="str">
        <f>IFERROR(_xlfn.TEXTJOIN("~", TRUE, ITEquipmentTable[[#This Row],[Type]],ITEquipmentTable[[#This Row],[Brand]],ITEquipmentTable[[#This Row],[Model]]), "")</f>
        <v>Desktop~Dell~OptiPlex 3040</v>
      </c>
      <c r="J319" s="151" t="b">
        <f xml:space="preserve"> _xlfn.IFNA(MATCH( ITSecondTable[[#This Row],[Tag]], StorageTable[Tag], 0)  &gt; -1, FALSE)</f>
        <v>0</v>
      </c>
      <c r="K319" s="168" t="b">
        <f>COUNTIFS(ITEquipmentTable[Serial], ITEquipmentTable[[#This Row],[Serial]], ITEquipmentTable[Serial], "&lt;&gt;N/A") &gt; 1</f>
        <v>0</v>
      </c>
      <c r="L319" s="168" t="b">
        <f>COUNTIFS(ITEquipmentTable[Name], ITEquipmentTable[[#This Row],[Name]], ITEquipmentTable[Name], "&lt;&gt;&lt;Unassigned&gt;",  ITEquipmentTable[Name], "&lt;&gt;N/A") &gt; 1</f>
        <v>0</v>
      </c>
      <c r="M319" s="168" t="b">
        <f>AND(COUNTIFS(ITEquipmentTable[IPv4 Address], ITEquipmentTable[[#This Row],[IPv4 Address]]) &gt; 1, ITEquipmentTable[[#This Row],[IPv4 Address]] &lt;&gt; "DHCP",  ITEquipmentTable[[#This Row],[IPv4 Address]] &lt;&gt; "N/A")</f>
        <v>0</v>
      </c>
    </row>
    <row r="320" spans="1:13" x14ac:dyDescent="0.2">
      <c r="A320" s="168">
        <f>IF(LEN(ITSecondTable[[#This Row],[Tag]]) &gt; 0, _xlfn.XLOOKUP(ITSecondTable[[#This Row],[Tag]],StorageTable[Tag], StorageTable[In Storage - Count Total], "Err", 0, 1), 0)</f>
        <v>6</v>
      </c>
      <c r="B320" s="1">
        <f>_xlfn.LET(_xlpm.loc, ITEquipmentTable[Storage Location],
COUNTIFS(ITSecondTable[Tag], ITSecondTable[[#This Row],[Tag]], _xlpm.loc, "&lt;&gt;In Use", _xlpm.loc, "&lt;&gt;",  _xlpm.loc, "&lt;&gt;E-Waste", _xlpm.loc, "&lt;&gt;Virtual",  _xlpm.loc, "&lt;&gt;Assigned to Employee", _xlpm.loc, "&lt;&gt;Decommisioned", _xlpm.loc, "&lt;&gt;Missing")
)</f>
        <v>17</v>
      </c>
      <c r="C320" s="1">
        <f>_xlfn.LET(_xlpm.loc, ITEquipmentTable[Storage Location],
COUNTIFS(ITSecondTable[Tag], ITSecondTable[[#This Row],[Tag]], _xlpm.loc, "&lt;&gt;E-Waste", _xlpm.loc, "&lt;&gt;Virtual", _xlpm.loc, "&lt;&gt;Decommisioned")
)</f>
        <v>64</v>
      </c>
      <c r="D320" s="168">
        <f>_xlfn.LET(_xlpm.loc, ITEquipmentTable[Storage Location],
COUNTIFS(ITSecondTable[Tag], ITSecondTable[[#This Row],[Tag]], _xlpm.loc, "Missing")
)</f>
        <v>0</v>
      </c>
      <c r="E320" s="168">
        <f>_xlfn.LET(_xlpm.loc, ITEquipmentTable[Storage Location],
COUNTIFS(ITSecondTable[Tag], ITSecondTable[[#This Row],[Tag]], _xlpm.loc, "In Use") + COUNTIFS(ITSecondTable[Tag], ITSecondTable[[#This Row],[Tag]], _xlpm.loc, "Assigned to Employee")
)</f>
        <v>30</v>
      </c>
      <c r="F320" s="168">
        <f>_xlfn.LET(_xlpm.loc, ITEquipmentTable[Storage Location],
COUNTIFS(ITSecondTable[Tag], ITSecondTable[[#This Row],[Tag]], _xlpm.loc, "")
)</f>
        <v>17</v>
      </c>
      <c r="G320" s="168">
        <f>MAX(ITSecondTable[[#This Row],[SQty]] - ITSecondTable[[#This Row],[IQty]], 0)</f>
        <v>11</v>
      </c>
      <c r="H320" s="168">
        <f>MAX(ITSecondTable[[#This Row],[IQty]]-ITSecondTable[[#This Row],[SQty]], 0)</f>
        <v>0</v>
      </c>
      <c r="I320" s="151" t="str">
        <f>IFERROR(_xlfn.TEXTJOIN("~", TRUE, ITEquipmentTable[[#This Row],[Type]],ITEquipmentTable[[#This Row],[Brand]],ITEquipmentTable[[#This Row],[Model]]), "")</f>
        <v>Desktop~Dell~OptiPlex 3040</v>
      </c>
      <c r="J320" s="151" t="b">
        <f xml:space="preserve"> _xlfn.IFNA(MATCH( ITSecondTable[[#This Row],[Tag]], StorageTable[Tag], 0)  &gt; -1, FALSE)</f>
        <v>0</v>
      </c>
      <c r="K320" s="168" t="b">
        <f>COUNTIFS(ITEquipmentTable[Serial], ITEquipmentTable[[#This Row],[Serial]], ITEquipmentTable[Serial], "&lt;&gt;N/A") &gt; 1</f>
        <v>0</v>
      </c>
      <c r="L320" s="168" t="b">
        <f>COUNTIFS(ITEquipmentTable[Name], ITEquipmentTable[[#This Row],[Name]], ITEquipmentTable[Name], "&lt;&gt;&lt;Unassigned&gt;",  ITEquipmentTable[Name], "&lt;&gt;N/A") &gt; 1</f>
        <v>0</v>
      </c>
      <c r="M320" s="168" t="b">
        <f>AND(COUNTIFS(ITEquipmentTable[IPv4 Address], ITEquipmentTable[[#This Row],[IPv4 Address]]) &gt; 1, ITEquipmentTable[[#This Row],[IPv4 Address]] &lt;&gt; "DHCP",  ITEquipmentTable[[#This Row],[IPv4 Address]] &lt;&gt; "N/A")</f>
        <v>0</v>
      </c>
    </row>
    <row r="321" spans="1:13" x14ac:dyDescent="0.2">
      <c r="A321" s="168">
        <f>IF(LEN(ITSecondTable[[#This Row],[Tag]]) &gt; 0, _xlfn.XLOOKUP(ITSecondTable[[#This Row],[Tag]],StorageTable[Tag], StorageTable[In Storage - Count Total], "Err", 0, 1), 0)</f>
        <v>0</v>
      </c>
      <c r="B321" s="1">
        <f>_xlfn.LET(_xlpm.loc, ITEquipmentTable[Storage Location],
COUNTIFS(ITSecondTable[Tag], ITSecondTable[[#This Row],[Tag]], _xlpm.loc, "&lt;&gt;In Use", _xlpm.loc, "&lt;&gt;",  _xlpm.loc, "&lt;&gt;E-Waste", _xlpm.loc, "&lt;&gt;Virtual",  _xlpm.loc, "&lt;&gt;Assigned to Employee", _xlpm.loc, "&lt;&gt;Decommisioned", _xlpm.loc, "&lt;&gt;Missing")
)</f>
        <v>0</v>
      </c>
      <c r="C321" s="1">
        <f>_xlfn.LET(_xlpm.loc, ITEquipmentTable[Storage Location],
COUNTIFS(ITSecondTable[Tag], ITSecondTable[[#This Row],[Tag]], _xlpm.loc, "&lt;&gt;E-Waste", _xlpm.loc, "&lt;&gt;Virtual", _xlpm.loc, "&lt;&gt;Decommisioned")
)</f>
        <v>29</v>
      </c>
      <c r="D321" s="168">
        <f>_xlfn.LET(_xlpm.loc, ITEquipmentTable[Storage Location],
COUNTIFS(ITSecondTable[Tag], ITSecondTable[[#This Row],[Tag]], _xlpm.loc, "Missing")
)</f>
        <v>0</v>
      </c>
      <c r="E321" s="168">
        <f>_xlfn.LET(_xlpm.loc, ITEquipmentTable[Storage Location],
COUNTIFS(ITSecondTable[Tag], ITSecondTable[[#This Row],[Tag]], _xlpm.loc, "In Use") + COUNTIFS(ITSecondTable[Tag], ITSecondTable[[#This Row],[Tag]], _xlpm.loc, "Assigned to Employee")
)</f>
        <v>3</v>
      </c>
      <c r="F321" s="168">
        <f>_xlfn.LET(_xlpm.loc, ITEquipmentTable[Storage Location],
COUNTIFS(ITSecondTable[Tag], ITSecondTable[[#This Row],[Tag]], _xlpm.loc, "")
)</f>
        <v>26</v>
      </c>
      <c r="G321" s="168">
        <f>MAX(ITSecondTable[[#This Row],[SQty]] - ITSecondTable[[#This Row],[IQty]], 0)</f>
        <v>0</v>
      </c>
      <c r="H321" s="168">
        <f>MAX(ITSecondTable[[#This Row],[IQty]]-ITSecondTable[[#This Row],[SQty]], 0)</f>
        <v>0</v>
      </c>
      <c r="I321" s="151" t="str">
        <f>IFERROR(_xlfn.TEXTJOIN("~", TRUE, ITEquipmentTable[[#This Row],[Type]],ITEquipmentTable[[#This Row],[Brand]],ITEquipmentTable[[#This Row],[Model]]), "")</f>
        <v>Laptop~HP~HP ProBook 650 G2</v>
      </c>
      <c r="J321" s="151" t="b">
        <f xml:space="preserve"> _xlfn.IFNA(MATCH( ITSecondTable[[#This Row],[Tag]], StorageTable[Tag], 0)  &gt; -1, FALSE)</f>
        <v>0</v>
      </c>
      <c r="K321" s="168" t="b">
        <f>COUNTIFS(ITEquipmentTable[Serial], ITEquipmentTable[[#This Row],[Serial]], ITEquipmentTable[Serial], "&lt;&gt;N/A") &gt; 1</f>
        <v>0</v>
      </c>
      <c r="L321" s="168" t="b">
        <f>COUNTIFS(ITEquipmentTable[Name], ITEquipmentTable[[#This Row],[Name]], ITEquipmentTable[Name], "&lt;&gt;&lt;Unassigned&gt;",  ITEquipmentTable[Name], "&lt;&gt;N/A") &gt; 1</f>
        <v>0</v>
      </c>
      <c r="M321" s="168" t="b">
        <f>AND(COUNTIFS(ITEquipmentTable[IPv4 Address], ITEquipmentTable[[#This Row],[IPv4 Address]]) &gt; 1, ITEquipmentTable[[#This Row],[IPv4 Address]] &lt;&gt; "DHCP",  ITEquipmentTable[[#This Row],[IPv4 Address]] &lt;&gt; "N/A")</f>
        <v>0</v>
      </c>
    </row>
    <row r="322" spans="1:13" x14ac:dyDescent="0.2">
      <c r="A322" s="168">
        <f>IF(LEN(ITSecondTable[[#This Row],[Tag]]) &gt; 0, _xlfn.XLOOKUP(ITSecondTable[[#This Row],[Tag]],StorageTable[Tag], StorageTable[In Storage - Count Total], "Err", 0, 1), 0)</f>
        <v>0</v>
      </c>
      <c r="B322" s="1">
        <f>_xlfn.LET(_xlpm.loc, ITEquipmentTable[Storage Location],
COUNTIFS(ITSecondTable[Tag], ITSecondTable[[#This Row],[Tag]], _xlpm.loc, "&lt;&gt;In Use", _xlpm.loc, "&lt;&gt;",  _xlpm.loc, "&lt;&gt;E-Waste", _xlpm.loc, "&lt;&gt;Virtual",  _xlpm.loc, "&lt;&gt;Assigned to Employee", _xlpm.loc, "&lt;&gt;Decommisioned", _xlpm.loc, "&lt;&gt;Missing")
)</f>
        <v>0</v>
      </c>
      <c r="C322" s="1">
        <f>_xlfn.LET(_xlpm.loc, ITEquipmentTable[Storage Location],
COUNTIFS(ITSecondTable[Tag], ITSecondTable[[#This Row],[Tag]], _xlpm.loc, "&lt;&gt;E-Waste", _xlpm.loc, "&lt;&gt;Virtual", _xlpm.loc, "&lt;&gt;Decommisioned")
)</f>
        <v>12</v>
      </c>
      <c r="D322" s="168">
        <f>_xlfn.LET(_xlpm.loc, ITEquipmentTable[Storage Location],
COUNTIFS(ITSecondTable[Tag], ITSecondTable[[#This Row],[Tag]], _xlpm.loc, "Missing")
)</f>
        <v>0</v>
      </c>
      <c r="E322" s="168">
        <f>_xlfn.LET(_xlpm.loc, ITEquipmentTable[Storage Location],
COUNTIFS(ITSecondTable[Tag], ITSecondTable[[#This Row],[Tag]], _xlpm.loc, "In Use") + COUNTIFS(ITSecondTable[Tag], ITSecondTable[[#This Row],[Tag]], _xlpm.loc, "Assigned to Employee")
)</f>
        <v>8</v>
      </c>
      <c r="F322" s="168">
        <f>_xlfn.LET(_xlpm.loc, ITEquipmentTable[Storage Location],
COUNTIFS(ITSecondTable[Tag], ITSecondTable[[#This Row],[Tag]], _xlpm.loc, "")
)</f>
        <v>4</v>
      </c>
      <c r="G322" s="168">
        <f>MAX(ITSecondTable[[#This Row],[SQty]] - ITSecondTable[[#This Row],[IQty]], 0)</f>
        <v>0</v>
      </c>
      <c r="H322" s="168">
        <f>MAX(ITSecondTable[[#This Row],[IQty]]-ITSecondTable[[#This Row],[SQty]], 0)</f>
        <v>0</v>
      </c>
      <c r="I322" s="151" t="str">
        <f>IFERROR(_xlfn.TEXTJOIN("~", TRUE, ITEquipmentTable[[#This Row],[Type]],ITEquipmentTable[[#This Row],[Brand]],ITEquipmentTable[[#This Row],[Model]]), "")</f>
        <v>Tablet~Microsoft~Surface Pro</v>
      </c>
      <c r="J322" s="151" t="b">
        <f xml:space="preserve"> _xlfn.IFNA(MATCH( ITSecondTable[[#This Row],[Tag]], StorageTable[Tag], 0)  &gt; -1, FALSE)</f>
        <v>0</v>
      </c>
      <c r="K322" s="168" t="b">
        <f>COUNTIFS(ITEquipmentTable[Serial], ITEquipmentTable[[#This Row],[Serial]], ITEquipmentTable[Serial], "&lt;&gt;N/A") &gt; 1</f>
        <v>0</v>
      </c>
      <c r="L322" s="168" t="b">
        <f>COUNTIFS(ITEquipmentTable[Name], ITEquipmentTable[[#This Row],[Name]], ITEquipmentTable[Name], "&lt;&gt;&lt;Unassigned&gt;",  ITEquipmentTable[Name], "&lt;&gt;N/A") &gt; 1</f>
        <v>0</v>
      </c>
      <c r="M322" s="168" t="b">
        <f>AND(COUNTIFS(ITEquipmentTable[IPv4 Address], ITEquipmentTable[[#This Row],[IPv4 Address]]) &gt; 1, ITEquipmentTable[[#This Row],[IPv4 Address]] &lt;&gt; "DHCP",  ITEquipmentTable[[#This Row],[IPv4 Address]] &lt;&gt; "N/A")</f>
        <v>0</v>
      </c>
    </row>
    <row r="323" spans="1:13" x14ac:dyDescent="0.2">
      <c r="A323" s="168">
        <f>IF(LEN(ITSecondTable[[#This Row],[Tag]]) &gt; 0, _xlfn.XLOOKUP(ITSecondTable[[#This Row],[Tag]],StorageTable[Tag], StorageTable[In Storage - Count Total], "Err", 0, 1), 0)</f>
        <v>0</v>
      </c>
      <c r="B323" s="1">
        <f>_xlfn.LET(_xlpm.loc, ITEquipmentTable[Storage Location],
COUNTIFS(ITSecondTable[Tag], ITSecondTable[[#This Row],[Tag]], _xlpm.loc, "&lt;&gt;In Use", _xlpm.loc, "&lt;&gt;",  _xlpm.loc, "&lt;&gt;E-Waste", _xlpm.loc, "&lt;&gt;Virtual",  _xlpm.loc, "&lt;&gt;Assigned to Employee", _xlpm.loc, "&lt;&gt;Decommisioned", _xlpm.loc, "&lt;&gt;Missing")
)</f>
        <v>0</v>
      </c>
      <c r="C323" s="1">
        <f>_xlfn.LET(_xlpm.loc, ITEquipmentTable[Storage Location],
COUNTIFS(ITSecondTable[Tag], ITSecondTable[[#This Row],[Tag]], _xlpm.loc, "&lt;&gt;E-Waste", _xlpm.loc, "&lt;&gt;Virtual", _xlpm.loc, "&lt;&gt;Decommisioned")
)</f>
        <v>15</v>
      </c>
      <c r="D323" s="168">
        <f>_xlfn.LET(_xlpm.loc, ITEquipmentTable[Storage Location],
COUNTIFS(ITSecondTable[Tag], ITSecondTable[[#This Row],[Tag]], _xlpm.loc, "Missing")
)</f>
        <v>0</v>
      </c>
      <c r="E323" s="168">
        <f>_xlfn.LET(_xlpm.loc, ITEquipmentTable[Storage Location],
COUNTIFS(ITSecondTable[Tag], ITSecondTable[[#This Row],[Tag]], _xlpm.loc, "In Use") + COUNTIFS(ITSecondTable[Tag], ITSecondTable[[#This Row],[Tag]], _xlpm.loc, "Assigned to Employee")
)</f>
        <v>2</v>
      </c>
      <c r="F323" s="168">
        <f>_xlfn.LET(_xlpm.loc, ITEquipmentTable[Storage Location],
COUNTIFS(ITSecondTable[Tag], ITSecondTable[[#This Row],[Tag]], _xlpm.loc, "")
)</f>
        <v>13</v>
      </c>
      <c r="G323" s="168">
        <f>MAX(ITSecondTable[[#This Row],[SQty]] - ITSecondTable[[#This Row],[IQty]], 0)</f>
        <v>0</v>
      </c>
      <c r="H323" s="168">
        <f>MAX(ITSecondTable[[#This Row],[IQty]]-ITSecondTable[[#This Row],[SQty]], 0)</f>
        <v>0</v>
      </c>
      <c r="I323" s="151" t="str">
        <f>IFERROR(_xlfn.TEXTJOIN("~", TRUE, ITEquipmentTable[[#This Row],[Type]],ITEquipmentTable[[#This Row],[Brand]],ITEquipmentTable[[#This Row],[Model]]), "")</f>
        <v>Tablet</v>
      </c>
      <c r="J323" s="151" t="b">
        <f xml:space="preserve"> _xlfn.IFNA(MATCH( ITSecondTable[[#This Row],[Tag]], StorageTable[Tag], 0)  &gt; -1, FALSE)</f>
        <v>1</v>
      </c>
      <c r="K323" s="168" t="b">
        <f>COUNTIFS(ITEquipmentTable[Serial], ITEquipmentTable[[#This Row],[Serial]], ITEquipmentTable[Serial], "&lt;&gt;N/A") &gt; 1</f>
        <v>0</v>
      </c>
      <c r="L323" s="168" t="b">
        <f>COUNTIFS(ITEquipmentTable[Name], ITEquipmentTable[[#This Row],[Name]], ITEquipmentTable[Name], "&lt;&gt;&lt;Unassigned&gt;",  ITEquipmentTable[Name], "&lt;&gt;N/A") &gt; 1</f>
        <v>0</v>
      </c>
      <c r="M323" s="168" t="b">
        <f>AND(COUNTIFS(ITEquipmentTable[IPv4 Address], ITEquipmentTable[[#This Row],[IPv4 Address]]) &gt; 1, ITEquipmentTable[[#This Row],[IPv4 Address]] &lt;&gt; "DHCP",  ITEquipmentTable[[#This Row],[IPv4 Address]] &lt;&gt; "N/A")</f>
        <v>0</v>
      </c>
    </row>
    <row r="324" spans="1:13" x14ac:dyDescent="0.2">
      <c r="A324" s="168">
        <f>IF(LEN(ITSecondTable[[#This Row],[Tag]]) &gt; 0, _xlfn.XLOOKUP(ITSecondTable[[#This Row],[Tag]],StorageTable[Tag], StorageTable[In Storage - Count Total], "Err", 0, 1), 0)</f>
        <v>0</v>
      </c>
      <c r="B324" s="1">
        <f>_xlfn.LET(_xlpm.loc, ITEquipmentTable[Storage Location],
COUNTIFS(ITSecondTable[Tag], ITSecondTable[[#This Row],[Tag]], _xlpm.loc, "&lt;&gt;In Use", _xlpm.loc, "&lt;&gt;",  _xlpm.loc, "&lt;&gt;E-Waste", _xlpm.loc, "&lt;&gt;Virtual",  _xlpm.loc, "&lt;&gt;Assigned to Employee", _xlpm.loc, "&lt;&gt;Decommisioned", _xlpm.loc, "&lt;&gt;Missing")
)</f>
        <v>0</v>
      </c>
      <c r="C324" s="1">
        <f>_xlfn.LET(_xlpm.loc, ITEquipmentTable[Storage Location],
COUNTIFS(ITSecondTable[Tag], ITSecondTable[[#This Row],[Tag]], _xlpm.loc, "&lt;&gt;E-Waste", _xlpm.loc, "&lt;&gt;Virtual", _xlpm.loc, "&lt;&gt;Decommisioned")
)</f>
        <v>1</v>
      </c>
      <c r="D324" s="168">
        <f>_xlfn.LET(_xlpm.loc, ITEquipmentTable[Storage Location],
COUNTIFS(ITSecondTable[Tag], ITSecondTable[[#This Row],[Tag]], _xlpm.loc, "Missing")
)</f>
        <v>0</v>
      </c>
      <c r="E324" s="168">
        <f>_xlfn.LET(_xlpm.loc, ITEquipmentTable[Storage Location],
COUNTIFS(ITSecondTable[Tag], ITSecondTable[[#This Row],[Tag]], _xlpm.loc, "In Use") + COUNTIFS(ITSecondTable[Tag], ITSecondTable[[#This Row],[Tag]], _xlpm.loc, "Assigned to Employee")
)</f>
        <v>1</v>
      </c>
      <c r="F324" s="168">
        <f>_xlfn.LET(_xlpm.loc, ITEquipmentTable[Storage Location],
COUNTIFS(ITSecondTable[Tag], ITSecondTable[[#This Row],[Tag]], _xlpm.loc, "")
)</f>
        <v>0</v>
      </c>
      <c r="G324" s="168">
        <f>MAX(ITSecondTable[[#This Row],[SQty]] - ITSecondTable[[#This Row],[IQty]], 0)</f>
        <v>0</v>
      </c>
      <c r="H324" s="168">
        <f>MAX(ITSecondTable[[#This Row],[IQty]]-ITSecondTable[[#This Row],[SQty]], 0)</f>
        <v>0</v>
      </c>
      <c r="I324" s="151" t="str">
        <f>IFERROR(_xlfn.TEXTJOIN("~", TRUE, ITEquipmentTable[[#This Row],[Type]],ITEquipmentTable[[#This Row],[Brand]],ITEquipmentTable[[#This Row],[Model]]), "")</f>
        <v>Tablet~Microsoft</v>
      </c>
      <c r="J324" s="151" t="b">
        <f xml:space="preserve"> _xlfn.IFNA(MATCH( ITSecondTable[[#This Row],[Tag]], StorageTable[Tag], 0)  &gt; -1, FALSE)</f>
        <v>0</v>
      </c>
      <c r="K324" s="168" t="b">
        <f>COUNTIFS(ITEquipmentTable[Serial], ITEquipmentTable[[#This Row],[Serial]], ITEquipmentTable[Serial], "&lt;&gt;N/A") &gt; 1</f>
        <v>0</v>
      </c>
      <c r="L324" s="168" t="b">
        <f>COUNTIFS(ITEquipmentTable[Name], ITEquipmentTable[[#This Row],[Name]], ITEquipmentTable[Name], "&lt;&gt;&lt;Unassigned&gt;",  ITEquipmentTable[Name], "&lt;&gt;N/A") &gt; 1</f>
        <v>0</v>
      </c>
      <c r="M324" s="168" t="b">
        <f>AND(COUNTIFS(ITEquipmentTable[IPv4 Address], ITEquipmentTable[[#This Row],[IPv4 Address]]) &gt; 1, ITEquipmentTable[[#This Row],[IPv4 Address]] &lt;&gt; "DHCP",  ITEquipmentTable[[#This Row],[IPv4 Address]] &lt;&gt; "N/A")</f>
        <v>0</v>
      </c>
    </row>
    <row r="325" spans="1:13" x14ac:dyDescent="0.2">
      <c r="A325" s="168">
        <f>IF(LEN(ITSecondTable[[#This Row],[Tag]]) &gt; 0, _xlfn.XLOOKUP(ITSecondTable[[#This Row],[Tag]],StorageTable[Tag], StorageTable[In Storage - Count Total], "Err", 0, 1), 0)</f>
        <v>0</v>
      </c>
      <c r="B325" s="1">
        <f>_xlfn.LET(_xlpm.loc, ITEquipmentTable[Storage Location],
COUNTIFS(ITSecondTable[Tag], ITSecondTable[[#This Row],[Tag]], _xlpm.loc, "&lt;&gt;In Use", _xlpm.loc, "&lt;&gt;",  _xlpm.loc, "&lt;&gt;E-Waste", _xlpm.loc, "&lt;&gt;Virtual",  _xlpm.loc, "&lt;&gt;Assigned to Employee", _xlpm.loc, "&lt;&gt;Decommisioned", _xlpm.loc, "&lt;&gt;Missing")
)</f>
        <v>0</v>
      </c>
      <c r="C325" s="1">
        <f>_xlfn.LET(_xlpm.loc, ITEquipmentTable[Storage Location],
COUNTIFS(ITSecondTable[Tag], ITSecondTable[[#This Row],[Tag]], _xlpm.loc, "&lt;&gt;E-Waste", _xlpm.loc, "&lt;&gt;Virtual", _xlpm.loc, "&lt;&gt;Decommisioned")
)</f>
        <v>15</v>
      </c>
      <c r="D325" s="168">
        <f>_xlfn.LET(_xlpm.loc, ITEquipmentTable[Storage Location],
COUNTIFS(ITSecondTable[Tag], ITSecondTable[[#This Row],[Tag]], _xlpm.loc, "Missing")
)</f>
        <v>0</v>
      </c>
      <c r="E325" s="168">
        <f>_xlfn.LET(_xlpm.loc, ITEquipmentTable[Storage Location],
COUNTIFS(ITSecondTable[Tag], ITSecondTable[[#This Row],[Tag]], _xlpm.loc, "In Use") + COUNTIFS(ITSecondTable[Tag], ITSecondTable[[#This Row],[Tag]], _xlpm.loc, "Assigned to Employee")
)</f>
        <v>2</v>
      </c>
      <c r="F325" s="168">
        <f>_xlfn.LET(_xlpm.loc, ITEquipmentTable[Storage Location],
COUNTIFS(ITSecondTable[Tag], ITSecondTable[[#This Row],[Tag]], _xlpm.loc, "")
)</f>
        <v>13</v>
      </c>
      <c r="G325" s="168">
        <f>MAX(ITSecondTable[[#This Row],[SQty]] - ITSecondTable[[#This Row],[IQty]], 0)</f>
        <v>0</v>
      </c>
      <c r="H325" s="168">
        <f>MAX(ITSecondTable[[#This Row],[IQty]]-ITSecondTable[[#This Row],[SQty]], 0)</f>
        <v>0</v>
      </c>
      <c r="I325" s="151" t="str">
        <f>IFERROR(_xlfn.TEXTJOIN("~", TRUE, ITEquipmentTable[[#This Row],[Type]],ITEquipmentTable[[#This Row],[Brand]],ITEquipmentTable[[#This Row],[Model]]), "")</f>
        <v>Tablet</v>
      </c>
      <c r="J325" s="151" t="b">
        <f xml:space="preserve"> _xlfn.IFNA(MATCH( ITSecondTable[[#This Row],[Tag]], StorageTable[Tag], 0)  &gt; -1, FALSE)</f>
        <v>1</v>
      </c>
      <c r="K325" s="168" t="b">
        <f>COUNTIFS(ITEquipmentTable[Serial], ITEquipmentTable[[#This Row],[Serial]], ITEquipmentTable[Serial], "&lt;&gt;N/A") &gt; 1</f>
        <v>0</v>
      </c>
      <c r="L325" s="168" t="b">
        <f>COUNTIFS(ITEquipmentTable[Name], ITEquipmentTable[[#This Row],[Name]], ITEquipmentTable[Name], "&lt;&gt;&lt;Unassigned&gt;",  ITEquipmentTable[Name], "&lt;&gt;N/A") &gt; 1</f>
        <v>0</v>
      </c>
      <c r="M325" s="168" t="b">
        <f>AND(COUNTIFS(ITEquipmentTable[IPv4 Address], ITEquipmentTable[[#This Row],[IPv4 Address]]) &gt; 1, ITEquipmentTable[[#This Row],[IPv4 Address]] &lt;&gt; "DHCP",  ITEquipmentTable[[#This Row],[IPv4 Address]] &lt;&gt; "N/A")</f>
        <v>0</v>
      </c>
    </row>
    <row r="326" spans="1:13" x14ac:dyDescent="0.2">
      <c r="A326" s="168">
        <f>IF(LEN(ITSecondTable[[#This Row],[Tag]]) &gt; 0, _xlfn.XLOOKUP(ITSecondTable[[#This Row],[Tag]],StorageTable[Tag], StorageTable[In Storage - Count Total], "Err", 0, 1), 0)</f>
        <v>0</v>
      </c>
      <c r="B326" s="1">
        <f>_xlfn.LET(_xlpm.loc, ITEquipmentTable[Storage Location],
COUNTIFS(ITSecondTable[Tag], ITSecondTable[[#This Row],[Tag]], _xlpm.loc, "&lt;&gt;In Use", _xlpm.loc, "&lt;&gt;",  _xlpm.loc, "&lt;&gt;E-Waste", _xlpm.loc, "&lt;&gt;Virtual",  _xlpm.loc, "&lt;&gt;Assigned to Employee", _xlpm.loc, "&lt;&gt;Decommisioned", _xlpm.loc, "&lt;&gt;Missing")
)</f>
        <v>0</v>
      </c>
      <c r="C326" s="1">
        <f>_xlfn.LET(_xlpm.loc, ITEquipmentTable[Storage Location],
COUNTIFS(ITSecondTable[Tag], ITSecondTable[[#This Row],[Tag]], _xlpm.loc, "&lt;&gt;E-Waste", _xlpm.loc, "&lt;&gt;Virtual", _xlpm.loc, "&lt;&gt;Decommisioned")
)</f>
        <v>15</v>
      </c>
      <c r="D326" s="168">
        <f>_xlfn.LET(_xlpm.loc, ITEquipmentTable[Storage Location],
COUNTIFS(ITSecondTable[Tag], ITSecondTable[[#This Row],[Tag]], _xlpm.loc, "Missing")
)</f>
        <v>0</v>
      </c>
      <c r="E326" s="168">
        <f>_xlfn.LET(_xlpm.loc, ITEquipmentTable[Storage Location],
COUNTIFS(ITSecondTable[Tag], ITSecondTable[[#This Row],[Tag]], _xlpm.loc, "In Use") + COUNTIFS(ITSecondTable[Tag], ITSecondTable[[#This Row],[Tag]], _xlpm.loc, "Assigned to Employee")
)</f>
        <v>2</v>
      </c>
      <c r="F326" s="168">
        <f>_xlfn.LET(_xlpm.loc, ITEquipmentTable[Storage Location],
COUNTIFS(ITSecondTable[Tag], ITSecondTable[[#This Row],[Tag]], _xlpm.loc, "")
)</f>
        <v>13</v>
      </c>
      <c r="G326" s="168">
        <f>MAX(ITSecondTable[[#This Row],[SQty]] - ITSecondTable[[#This Row],[IQty]], 0)</f>
        <v>0</v>
      </c>
      <c r="H326" s="168">
        <f>MAX(ITSecondTable[[#This Row],[IQty]]-ITSecondTable[[#This Row],[SQty]], 0)</f>
        <v>0</v>
      </c>
      <c r="I326" s="151" t="str">
        <f>IFERROR(_xlfn.TEXTJOIN("~", TRUE, ITEquipmentTable[[#This Row],[Type]],ITEquipmentTable[[#This Row],[Brand]],ITEquipmentTable[[#This Row],[Model]]), "")</f>
        <v>Tablet</v>
      </c>
      <c r="J326" s="151" t="b">
        <f xml:space="preserve"> _xlfn.IFNA(MATCH( ITSecondTable[[#This Row],[Tag]], StorageTable[Tag], 0)  &gt; -1, FALSE)</f>
        <v>1</v>
      </c>
      <c r="K326" s="168" t="b">
        <f>COUNTIFS(ITEquipmentTable[Serial], ITEquipmentTable[[#This Row],[Serial]], ITEquipmentTable[Serial], "&lt;&gt;N/A") &gt; 1</f>
        <v>0</v>
      </c>
      <c r="L326" s="168" t="b">
        <f>COUNTIFS(ITEquipmentTable[Name], ITEquipmentTable[[#This Row],[Name]], ITEquipmentTable[Name], "&lt;&gt;&lt;Unassigned&gt;",  ITEquipmentTable[Name], "&lt;&gt;N/A") &gt; 1</f>
        <v>0</v>
      </c>
      <c r="M326" s="168" t="b">
        <f>AND(COUNTIFS(ITEquipmentTable[IPv4 Address], ITEquipmentTable[[#This Row],[IPv4 Address]]) &gt; 1, ITEquipmentTable[[#This Row],[IPv4 Address]] &lt;&gt; "DHCP",  ITEquipmentTable[[#This Row],[IPv4 Address]] &lt;&gt; "N/A")</f>
        <v>0</v>
      </c>
    </row>
    <row r="327" spans="1:13" x14ac:dyDescent="0.2">
      <c r="A327" s="168">
        <f>IF(LEN(ITSecondTable[[#This Row],[Tag]]) &gt; 0, _xlfn.XLOOKUP(ITSecondTable[[#This Row],[Tag]],StorageTable[Tag], StorageTable[In Storage - Count Total], "Err", 0, 1), 0)</f>
        <v>0</v>
      </c>
      <c r="B327" s="1">
        <f>_xlfn.LET(_xlpm.loc, ITEquipmentTable[Storage Location],
COUNTIFS(ITSecondTable[Tag], ITSecondTable[[#This Row],[Tag]], _xlpm.loc, "&lt;&gt;In Use", _xlpm.loc, "&lt;&gt;",  _xlpm.loc, "&lt;&gt;E-Waste", _xlpm.loc, "&lt;&gt;Virtual",  _xlpm.loc, "&lt;&gt;Assigned to Employee", _xlpm.loc, "&lt;&gt;Decommisioned", _xlpm.loc, "&lt;&gt;Missing")
)</f>
        <v>0</v>
      </c>
      <c r="C327" s="1">
        <f>_xlfn.LET(_xlpm.loc, ITEquipmentTable[Storage Location],
COUNTIFS(ITSecondTable[Tag], ITSecondTable[[#This Row],[Tag]], _xlpm.loc, "&lt;&gt;E-Waste", _xlpm.loc, "&lt;&gt;Virtual", _xlpm.loc, "&lt;&gt;Decommisioned")
)</f>
        <v>15</v>
      </c>
      <c r="D327" s="168">
        <f>_xlfn.LET(_xlpm.loc, ITEquipmentTable[Storage Location],
COUNTIFS(ITSecondTable[Tag], ITSecondTable[[#This Row],[Tag]], _xlpm.loc, "Missing")
)</f>
        <v>0</v>
      </c>
      <c r="E327" s="168">
        <f>_xlfn.LET(_xlpm.loc, ITEquipmentTable[Storage Location],
COUNTIFS(ITSecondTable[Tag], ITSecondTable[[#This Row],[Tag]], _xlpm.loc, "In Use") + COUNTIFS(ITSecondTable[Tag], ITSecondTable[[#This Row],[Tag]], _xlpm.loc, "Assigned to Employee")
)</f>
        <v>2</v>
      </c>
      <c r="F327" s="168">
        <f>_xlfn.LET(_xlpm.loc, ITEquipmentTable[Storage Location],
COUNTIFS(ITSecondTable[Tag], ITSecondTable[[#This Row],[Tag]], _xlpm.loc, "")
)</f>
        <v>13</v>
      </c>
      <c r="G327" s="168">
        <f>MAX(ITSecondTable[[#This Row],[SQty]] - ITSecondTable[[#This Row],[IQty]], 0)</f>
        <v>0</v>
      </c>
      <c r="H327" s="168">
        <f>MAX(ITSecondTable[[#This Row],[IQty]]-ITSecondTable[[#This Row],[SQty]], 0)</f>
        <v>0</v>
      </c>
      <c r="I327" s="151" t="str">
        <f>IFERROR(_xlfn.TEXTJOIN("~", TRUE, ITEquipmentTable[[#This Row],[Type]],ITEquipmentTable[[#This Row],[Brand]],ITEquipmentTable[[#This Row],[Model]]), "")</f>
        <v>Tablet</v>
      </c>
      <c r="J327" s="151" t="b">
        <f xml:space="preserve"> _xlfn.IFNA(MATCH( ITSecondTable[[#This Row],[Tag]], StorageTable[Tag], 0)  &gt; -1, FALSE)</f>
        <v>1</v>
      </c>
      <c r="K327" s="168" t="b">
        <f>COUNTIFS(ITEquipmentTable[Serial], ITEquipmentTable[[#This Row],[Serial]], ITEquipmentTable[Serial], "&lt;&gt;N/A") &gt; 1</f>
        <v>0</v>
      </c>
      <c r="L327" s="168" t="b">
        <f>COUNTIFS(ITEquipmentTable[Name], ITEquipmentTable[[#This Row],[Name]], ITEquipmentTable[Name], "&lt;&gt;&lt;Unassigned&gt;",  ITEquipmentTable[Name], "&lt;&gt;N/A") &gt; 1</f>
        <v>0</v>
      </c>
      <c r="M327" s="168" t="b">
        <f>AND(COUNTIFS(ITEquipmentTable[IPv4 Address], ITEquipmentTable[[#This Row],[IPv4 Address]]) &gt; 1, ITEquipmentTable[[#This Row],[IPv4 Address]] &lt;&gt; "DHCP",  ITEquipmentTable[[#This Row],[IPv4 Address]] &lt;&gt; "N/A")</f>
        <v>0</v>
      </c>
    </row>
    <row r="328" spans="1:13" x14ac:dyDescent="0.2">
      <c r="A328" s="168">
        <f>IF(LEN(ITSecondTable[[#This Row],[Tag]]) &gt; 0, _xlfn.XLOOKUP(ITSecondTable[[#This Row],[Tag]],StorageTable[Tag], StorageTable[In Storage - Count Total], "Err", 0, 1), 0)</f>
        <v>0</v>
      </c>
      <c r="B328" s="1">
        <f>_xlfn.LET(_xlpm.loc, ITEquipmentTable[Storage Location],
COUNTIFS(ITSecondTable[Tag], ITSecondTable[[#This Row],[Tag]], _xlpm.loc, "&lt;&gt;In Use", _xlpm.loc, "&lt;&gt;",  _xlpm.loc, "&lt;&gt;E-Waste", _xlpm.loc, "&lt;&gt;Virtual",  _xlpm.loc, "&lt;&gt;Assigned to Employee", _xlpm.loc, "&lt;&gt;Decommisioned", _xlpm.loc, "&lt;&gt;Missing")
)</f>
        <v>0</v>
      </c>
      <c r="C328" s="1">
        <f>_xlfn.LET(_xlpm.loc, ITEquipmentTable[Storage Location],
COUNTIFS(ITSecondTable[Tag], ITSecondTable[[#This Row],[Tag]], _xlpm.loc, "&lt;&gt;E-Waste", _xlpm.loc, "&lt;&gt;Virtual", _xlpm.loc, "&lt;&gt;Decommisioned")
)</f>
        <v>15</v>
      </c>
      <c r="D328" s="168">
        <f>_xlfn.LET(_xlpm.loc, ITEquipmentTable[Storage Location],
COUNTIFS(ITSecondTable[Tag], ITSecondTable[[#This Row],[Tag]], _xlpm.loc, "Missing")
)</f>
        <v>0</v>
      </c>
      <c r="E328" s="168">
        <f>_xlfn.LET(_xlpm.loc, ITEquipmentTable[Storage Location],
COUNTIFS(ITSecondTable[Tag], ITSecondTable[[#This Row],[Tag]], _xlpm.loc, "In Use") + COUNTIFS(ITSecondTable[Tag], ITSecondTable[[#This Row],[Tag]], _xlpm.loc, "Assigned to Employee")
)</f>
        <v>2</v>
      </c>
      <c r="F328" s="168">
        <f>_xlfn.LET(_xlpm.loc, ITEquipmentTable[Storage Location],
COUNTIFS(ITSecondTable[Tag], ITSecondTable[[#This Row],[Tag]], _xlpm.loc, "")
)</f>
        <v>13</v>
      </c>
      <c r="G328" s="168">
        <f>MAX(ITSecondTable[[#This Row],[SQty]] - ITSecondTable[[#This Row],[IQty]], 0)</f>
        <v>0</v>
      </c>
      <c r="H328" s="168">
        <f>MAX(ITSecondTable[[#This Row],[IQty]]-ITSecondTable[[#This Row],[SQty]], 0)</f>
        <v>0</v>
      </c>
      <c r="I328" s="151" t="str">
        <f>IFERROR(_xlfn.TEXTJOIN("~", TRUE, ITEquipmentTable[[#This Row],[Type]],ITEquipmentTable[[#This Row],[Brand]],ITEquipmentTable[[#This Row],[Model]]), "")</f>
        <v>Tablet</v>
      </c>
      <c r="J328" s="151" t="b">
        <f xml:space="preserve"> _xlfn.IFNA(MATCH( ITSecondTable[[#This Row],[Tag]], StorageTable[Tag], 0)  &gt; -1, FALSE)</f>
        <v>1</v>
      </c>
      <c r="K328" s="168" t="b">
        <f>COUNTIFS(ITEquipmentTable[Serial], ITEquipmentTable[[#This Row],[Serial]], ITEquipmentTable[Serial], "&lt;&gt;N/A") &gt; 1</f>
        <v>0</v>
      </c>
      <c r="L328" s="168" t="b">
        <f>COUNTIFS(ITEquipmentTable[Name], ITEquipmentTable[[#This Row],[Name]], ITEquipmentTable[Name], "&lt;&gt;&lt;Unassigned&gt;",  ITEquipmentTable[Name], "&lt;&gt;N/A") &gt; 1</f>
        <v>0</v>
      </c>
      <c r="M328" s="168" t="b">
        <f>AND(COUNTIFS(ITEquipmentTable[IPv4 Address], ITEquipmentTable[[#This Row],[IPv4 Address]]) &gt; 1, ITEquipmentTable[[#This Row],[IPv4 Address]] &lt;&gt; "DHCP",  ITEquipmentTable[[#This Row],[IPv4 Address]] &lt;&gt; "N/A")</f>
        <v>0</v>
      </c>
    </row>
    <row r="329" spans="1:13" x14ac:dyDescent="0.2">
      <c r="A329" s="168">
        <f>IF(LEN(ITSecondTable[[#This Row],[Tag]]) &gt; 0, _xlfn.XLOOKUP(ITSecondTable[[#This Row],[Tag]],StorageTable[Tag], StorageTable[In Storage - Count Total], "Err", 0, 1), 0)</f>
        <v>0</v>
      </c>
      <c r="B329" s="1">
        <f>_xlfn.LET(_xlpm.loc, ITEquipmentTable[Storage Location],
COUNTIFS(ITSecondTable[Tag], ITSecondTable[[#This Row],[Tag]], _xlpm.loc, "&lt;&gt;In Use", _xlpm.loc, "&lt;&gt;",  _xlpm.loc, "&lt;&gt;E-Waste", _xlpm.loc, "&lt;&gt;Virtual",  _xlpm.loc, "&lt;&gt;Assigned to Employee", _xlpm.loc, "&lt;&gt;Decommisioned", _xlpm.loc, "&lt;&gt;Missing")
)</f>
        <v>0</v>
      </c>
      <c r="C329" s="1">
        <f>_xlfn.LET(_xlpm.loc, ITEquipmentTable[Storage Location],
COUNTIFS(ITSecondTable[Tag], ITSecondTable[[#This Row],[Tag]], _xlpm.loc, "&lt;&gt;E-Waste", _xlpm.loc, "&lt;&gt;Virtual", _xlpm.loc, "&lt;&gt;Decommisioned")
)</f>
        <v>15</v>
      </c>
      <c r="D329" s="168">
        <f>_xlfn.LET(_xlpm.loc, ITEquipmentTable[Storage Location],
COUNTIFS(ITSecondTable[Tag], ITSecondTable[[#This Row],[Tag]], _xlpm.loc, "Missing")
)</f>
        <v>0</v>
      </c>
      <c r="E329" s="168">
        <f>_xlfn.LET(_xlpm.loc, ITEquipmentTable[Storage Location],
COUNTIFS(ITSecondTable[Tag], ITSecondTable[[#This Row],[Tag]], _xlpm.loc, "In Use") + COUNTIFS(ITSecondTable[Tag], ITSecondTable[[#This Row],[Tag]], _xlpm.loc, "Assigned to Employee")
)</f>
        <v>2</v>
      </c>
      <c r="F329" s="168">
        <f>_xlfn.LET(_xlpm.loc, ITEquipmentTable[Storage Location],
COUNTIFS(ITSecondTable[Tag], ITSecondTable[[#This Row],[Tag]], _xlpm.loc, "")
)</f>
        <v>13</v>
      </c>
      <c r="G329" s="168">
        <f>MAX(ITSecondTable[[#This Row],[SQty]] - ITSecondTable[[#This Row],[IQty]], 0)</f>
        <v>0</v>
      </c>
      <c r="H329" s="168">
        <f>MAX(ITSecondTable[[#This Row],[IQty]]-ITSecondTable[[#This Row],[SQty]], 0)</f>
        <v>0</v>
      </c>
      <c r="I329" s="151" t="str">
        <f>IFERROR(_xlfn.TEXTJOIN("~", TRUE, ITEquipmentTable[[#This Row],[Type]],ITEquipmentTable[[#This Row],[Brand]],ITEquipmentTable[[#This Row],[Model]]), "")</f>
        <v>Tablet</v>
      </c>
      <c r="J329" s="151" t="b">
        <f xml:space="preserve"> _xlfn.IFNA(MATCH( ITSecondTable[[#This Row],[Tag]], StorageTable[Tag], 0)  &gt; -1, FALSE)</f>
        <v>1</v>
      </c>
      <c r="K329" s="168" t="b">
        <f>COUNTIFS(ITEquipmentTable[Serial], ITEquipmentTable[[#This Row],[Serial]], ITEquipmentTable[Serial], "&lt;&gt;N/A") &gt; 1</f>
        <v>0</v>
      </c>
      <c r="L329" s="168" t="b">
        <f>COUNTIFS(ITEquipmentTable[Name], ITEquipmentTable[[#This Row],[Name]], ITEquipmentTable[Name], "&lt;&gt;&lt;Unassigned&gt;",  ITEquipmentTable[Name], "&lt;&gt;N/A") &gt; 1</f>
        <v>0</v>
      </c>
      <c r="M329" s="168" t="b">
        <f>AND(COUNTIFS(ITEquipmentTable[IPv4 Address], ITEquipmentTable[[#This Row],[IPv4 Address]]) &gt; 1, ITEquipmentTable[[#This Row],[IPv4 Address]] &lt;&gt; "DHCP",  ITEquipmentTable[[#This Row],[IPv4 Address]] &lt;&gt; "N/A")</f>
        <v>0</v>
      </c>
    </row>
    <row r="330" spans="1:13" x14ac:dyDescent="0.2">
      <c r="A330" s="168">
        <f>IF(LEN(ITSecondTable[[#This Row],[Tag]]) &gt; 0, _xlfn.XLOOKUP(ITSecondTable[[#This Row],[Tag]],StorageTable[Tag], StorageTable[In Storage - Count Total], "Err", 0, 1), 0)</f>
        <v>1</v>
      </c>
      <c r="B330" s="1">
        <f>_xlfn.LET(_xlpm.loc, ITEquipmentTable[Storage Location],
COUNTIFS(ITSecondTable[Tag], ITSecondTable[[#This Row],[Tag]], _xlpm.loc, "&lt;&gt;In Use", _xlpm.loc, "&lt;&gt;",  _xlpm.loc, "&lt;&gt;E-Waste", _xlpm.loc, "&lt;&gt;Virtual",  _xlpm.loc, "&lt;&gt;Assigned to Employee", _xlpm.loc, "&lt;&gt;Decommisioned", _xlpm.loc, "&lt;&gt;Missing")
)</f>
        <v>1</v>
      </c>
      <c r="C330" s="1">
        <f>_xlfn.LET(_xlpm.loc, ITEquipmentTable[Storage Location],
COUNTIFS(ITSecondTable[Tag], ITSecondTable[[#This Row],[Tag]], _xlpm.loc, "&lt;&gt;E-Waste", _xlpm.loc, "&lt;&gt;Virtual", _xlpm.loc, "&lt;&gt;Decommisioned")
)</f>
        <v>1</v>
      </c>
      <c r="D330" s="168">
        <f>_xlfn.LET(_xlpm.loc, ITEquipmentTable[Storage Location],
COUNTIFS(ITSecondTable[Tag], ITSecondTable[[#This Row],[Tag]], _xlpm.loc, "Missing")
)</f>
        <v>0</v>
      </c>
      <c r="E330" s="168">
        <f>_xlfn.LET(_xlpm.loc, ITEquipmentTable[Storage Location],
COUNTIFS(ITSecondTable[Tag], ITSecondTable[[#This Row],[Tag]], _xlpm.loc, "In Use") + COUNTIFS(ITSecondTable[Tag], ITSecondTable[[#This Row],[Tag]], _xlpm.loc, "Assigned to Employee")
)</f>
        <v>0</v>
      </c>
      <c r="F330" s="168">
        <f>_xlfn.LET(_xlpm.loc, ITEquipmentTable[Storage Location],
COUNTIFS(ITSecondTable[Tag], ITSecondTable[[#This Row],[Tag]], _xlpm.loc, "")
)</f>
        <v>0</v>
      </c>
      <c r="G330" s="168">
        <f>MAX(ITSecondTable[[#This Row],[SQty]] - ITSecondTable[[#This Row],[IQty]], 0)</f>
        <v>0</v>
      </c>
      <c r="H330" s="168">
        <f>MAX(ITSecondTable[[#This Row],[IQty]]-ITSecondTable[[#This Row],[SQty]], 0)</f>
        <v>0</v>
      </c>
      <c r="I330" s="151" t="str">
        <f>IFERROR(_xlfn.TEXTJOIN("~", TRUE, ITEquipmentTable[[#This Row],[Type]],ITEquipmentTable[[#This Row],[Brand]],ITEquipmentTable[[#This Row],[Model]]), "")</f>
        <v>Laptop~HP~HP EliteBook 850</v>
      </c>
      <c r="J330" s="151" t="b">
        <f xml:space="preserve"> _xlfn.IFNA(MATCH( ITSecondTable[[#This Row],[Tag]], StorageTable[Tag], 0)  &gt; -1, FALSE)</f>
        <v>0</v>
      </c>
      <c r="K330" s="168" t="b">
        <f>COUNTIFS(ITEquipmentTable[Serial], ITEquipmentTable[[#This Row],[Serial]], ITEquipmentTable[Serial], "&lt;&gt;N/A") &gt; 1</f>
        <v>0</v>
      </c>
      <c r="L330" s="168" t="b">
        <f>COUNTIFS(ITEquipmentTable[Name], ITEquipmentTable[[#This Row],[Name]], ITEquipmentTable[Name], "&lt;&gt;&lt;Unassigned&gt;",  ITEquipmentTable[Name], "&lt;&gt;N/A") &gt; 1</f>
        <v>0</v>
      </c>
      <c r="M330" s="168" t="b">
        <f>AND(COUNTIFS(ITEquipmentTable[IPv4 Address], ITEquipmentTable[[#This Row],[IPv4 Address]]) &gt; 1, ITEquipmentTable[[#This Row],[IPv4 Address]] &lt;&gt; "DHCP",  ITEquipmentTable[[#This Row],[IPv4 Address]] &lt;&gt; "N/A")</f>
        <v>0</v>
      </c>
    </row>
    <row r="331" spans="1:13" x14ac:dyDescent="0.2">
      <c r="A331" s="168">
        <f>IF(LEN(ITSecondTable[[#This Row],[Tag]]) &gt; 0, _xlfn.XLOOKUP(ITSecondTable[[#This Row],[Tag]],StorageTable[Tag], StorageTable[In Storage - Count Total], "Err", 0, 1), 0)</f>
        <v>6</v>
      </c>
      <c r="B331" s="1">
        <f>_xlfn.LET(_xlpm.loc, ITEquipmentTable[Storage Location],
COUNTIFS(ITSecondTable[Tag], ITSecondTable[[#This Row],[Tag]], _xlpm.loc, "&lt;&gt;In Use", _xlpm.loc, "&lt;&gt;",  _xlpm.loc, "&lt;&gt;E-Waste", _xlpm.loc, "&lt;&gt;Virtual",  _xlpm.loc, "&lt;&gt;Assigned to Employee", _xlpm.loc, "&lt;&gt;Decommisioned", _xlpm.loc, "&lt;&gt;Missing")
)</f>
        <v>17</v>
      </c>
      <c r="C331" s="1">
        <f>_xlfn.LET(_xlpm.loc, ITEquipmentTable[Storage Location],
COUNTIFS(ITSecondTable[Tag], ITSecondTable[[#This Row],[Tag]], _xlpm.loc, "&lt;&gt;E-Waste", _xlpm.loc, "&lt;&gt;Virtual", _xlpm.loc, "&lt;&gt;Decommisioned")
)</f>
        <v>64</v>
      </c>
      <c r="D331" s="168">
        <f>_xlfn.LET(_xlpm.loc, ITEquipmentTable[Storage Location],
COUNTIFS(ITSecondTable[Tag], ITSecondTable[[#This Row],[Tag]], _xlpm.loc, "Missing")
)</f>
        <v>0</v>
      </c>
      <c r="E331" s="168">
        <f>_xlfn.LET(_xlpm.loc, ITEquipmentTable[Storage Location],
COUNTIFS(ITSecondTable[Tag], ITSecondTable[[#This Row],[Tag]], _xlpm.loc, "In Use") + COUNTIFS(ITSecondTable[Tag], ITSecondTable[[#This Row],[Tag]], _xlpm.loc, "Assigned to Employee")
)</f>
        <v>30</v>
      </c>
      <c r="F331" s="168">
        <f>_xlfn.LET(_xlpm.loc, ITEquipmentTable[Storage Location],
COUNTIFS(ITSecondTable[Tag], ITSecondTable[[#This Row],[Tag]], _xlpm.loc, "")
)</f>
        <v>17</v>
      </c>
      <c r="G331" s="168">
        <f>MAX(ITSecondTable[[#This Row],[SQty]] - ITSecondTable[[#This Row],[IQty]], 0)</f>
        <v>11</v>
      </c>
      <c r="H331" s="168">
        <f>MAX(ITSecondTable[[#This Row],[IQty]]-ITSecondTable[[#This Row],[SQty]], 0)</f>
        <v>0</v>
      </c>
      <c r="I331" s="151" t="str">
        <f>IFERROR(_xlfn.TEXTJOIN("~", TRUE, ITEquipmentTable[[#This Row],[Type]],ITEquipmentTable[[#This Row],[Brand]],ITEquipmentTable[[#This Row],[Model]]), "")</f>
        <v>Desktop~Dell~OptiPlex 3040</v>
      </c>
      <c r="J331" s="151" t="b">
        <f xml:space="preserve"> _xlfn.IFNA(MATCH( ITSecondTable[[#This Row],[Tag]], StorageTable[Tag], 0)  &gt; -1, FALSE)</f>
        <v>0</v>
      </c>
      <c r="K331" s="168" t="b">
        <f>COUNTIFS(ITEquipmentTable[Serial], ITEquipmentTable[[#This Row],[Serial]], ITEquipmentTable[Serial], "&lt;&gt;N/A") &gt; 1</f>
        <v>0</v>
      </c>
      <c r="L331" s="168" t="b">
        <f>COUNTIFS(ITEquipmentTable[Name], ITEquipmentTable[[#This Row],[Name]], ITEquipmentTable[Name], "&lt;&gt;&lt;Unassigned&gt;",  ITEquipmentTable[Name], "&lt;&gt;N/A") &gt; 1</f>
        <v>0</v>
      </c>
      <c r="M331" s="168" t="b">
        <f>AND(COUNTIFS(ITEquipmentTable[IPv4 Address], ITEquipmentTable[[#This Row],[IPv4 Address]]) &gt; 1, ITEquipmentTable[[#This Row],[IPv4 Address]] &lt;&gt; "DHCP",  ITEquipmentTable[[#This Row],[IPv4 Address]] &lt;&gt; "N/A")</f>
        <v>0</v>
      </c>
    </row>
    <row r="332" spans="1:13" x14ac:dyDescent="0.2">
      <c r="A332" s="168">
        <f>IF(LEN(ITSecondTable[[#This Row],[Tag]]) &gt; 0, _xlfn.XLOOKUP(ITSecondTable[[#This Row],[Tag]],StorageTable[Tag], StorageTable[In Storage - Count Total], "Err", 0, 1), 0)</f>
        <v>6</v>
      </c>
      <c r="B332" s="1">
        <f>_xlfn.LET(_xlpm.loc, ITEquipmentTable[Storage Location],
COUNTIFS(ITSecondTable[Tag], ITSecondTable[[#This Row],[Tag]], _xlpm.loc, "&lt;&gt;In Use", _xlpm.loc, "&lt;&gt;",  _xlpm.loc, "&lt;&gt;E-Waste", _xlpm.loc, "&lt;&gt;Virtual",  _xlpm.loc, "&lt;&gt;Assigned to Employee", _xlpm.loc, "&lt;&gt;Decommisioned", _xlpm.loc, "&lt;&gt;Missing")
)</f>
        <v>17</v>
      </c>
      <c r="C332" s="1">
        <f>_xlfn.LET(_xlpm.loc, ITEquipmentTable[Storage Location],
COUNTIFS(ITSecondTable[Tag], ITSecondTable[[#This Row],[Tag]], _xlpm.loc, "&lt;&gt;E-Waste", _xlpm.loc, "&lt;&gt;Virtual", _xlpm.loc, "&lt;&gt;Decommisioned")
)</f>
        <v>64</v>
      </c>
      <c r="D332" s="168">
        <f>_xlfn.LET(_xlpm.loc, ITEquipmentTable[Storage Location],
COUNTIFS(ITSecondTable[Tag], ITSecondTable[[#This Row],[Tag]], _xlpm.loc, "Missing")
)</f>
        <v>0</v>
      </c>
      <c r="E332" s="168">
        <f>_xlfn.LET(_xlpm.loc, ITEquipmentTable[Storage Location],
COUNTIFS(ITSecondTable[Tag], ITSecondTable[[#This Row],[Tag]], _xlpm.loc, "In Use") + COUNTIFS(ITSecondTable[Tag], ITSecondTable[[#This Row],[Tag]], _xlpm.loc, "Assigned to Employee")
)</f>
        <v>30</v>
      </c>
      <c r="F332" s="168">
        <f>_xlfn.LET(_xlpm.loc, ITEquipmentTable[Storage Location],
COUNTIFS(ITSecondTable[Tag], ITSecondTable[[#This Row],[Tag]], _xlpm.loc, "")
)</f>
        <v>17</v>
      </c>
      <c r="G332" s="168">
        <f>MAX(ITSecondTable[[#This Row],[SQty]] - ITSecondTable[[#This Row],[IQty]], 0)</f>
        <v>11</v>
      </c>
      <c r="H332" s="168">
        <f>MAX(ITSecondTable[[#This Row],[IQty]]-ITSecondTable[[#This Row],[SQty]], 0)</f>
        <v>0</v>
      </c>
      <c r="I332" s="151" t="str">
        <f>IFERROR(_xlfn.TEXTJOIN("~", TRUE, ITEquipmentTable[[#This Row],[Type]],ITEquipmentTable[[#This Row],[Brand]],ITEquipmentTable[[#This Row],[Model]]), "")</f>
        <v>Desktop~Dell~OptiPlex 3040</v>
      </c>
      <c r="J332" s="151" t="b">
        <f xml:space="preserve"> _xlfn.IFNA(MATCH( ITSecondTable[[#This Row],[Tag]], StorageTable[Tag], 0)  &gt; -1, FALSE)</f>
        <v>0</v>
      </c>
      <c r="K332" s="168" t="b">
        <f>COUNTIFS(ITEquipmentTable[Serial], ITEquipmentTable[[#This Row],[Serial]], ITEquipmentTable[Serial], "&lt;&gt;N/A") &gt; 1</f>
        <v>0</v>
      </c>
      <c r="L332" s="168" t="b">
        <f>COUNTIFS(ITEquipmentTable[Name], ITEquipmentTable[[#This Row],[Name]], ITEquipmentTable[Name], "&lt;&gt;&lt;Unassigned&gt;",  ITEquipmentTable[Name], "&lt;&gt;N/A") &gt; 1</f>
        <v>0</v>
      </c>
      <c r="M332" s="168" t="b">
        <f>AND(COUNTIFS(ITEquipmentTable[IPv4 Address], ITEquipmentTable[[#This Row],[IPv4 Address]]) &gt; 1, ITEquipmentTable[[#This Row],[IPv4 Address]] &lt;&gt; "DHCP",  ITEquipmentTable[[#This Row],[IPv4 Address]] &lt;&gt; "N/A")</f>
        <v>0</v>
      </c>
    </row>
    <row r="333" spans="1:13" x14ac:dyDescent="0.2">
      <c r="A333" s="168">
        <f>IF(LEN(ITSecondTable[[#This Row],[Tag]]) &gt; 0, _xlfn.XLOOKUP(ITSecondTable[[#This Row],[Tag]],StorageTable[Tag], StorageTable[In Storage - Count Total], "Err", 0, 1), 0)</f>
        <v>6</v>
      </c>
      <c r="B333" s="1">
        <f>_xlfn.LET(_xlpm.loc, ITEquipmentTable[Storage Location],
COUNTIFS(ITSecondTable[Tag], ITSecondTable[[#This Row],[Tag]], _xlpm.loc, "&lt;&gt;In Use", _xlpm.loc, "&lt;&gt;",  _xlpm.loc, "&lt;&gt;E-Waste", _xlpm.loc, "&lt;&gt;Virtual",  _xlpm.loc, "&lt;&gt;Assigned to Employee", _xlpm.loc, "&lt;&gt;Decommisioned", _xlpm.loc, "&lt;&gt;Missing")
)</f>
        <v>17</v>
      </c>
      <c r="C333" s="1">
        <f>_xlfn.LET(_xlpm.loc, ITEquipmentTable[Storage Location],
COUNTIFS(ITSecondTable[Tag], ITSecondTable[[#This Row],[Tag]], _xlpm.loc, "&lt;&gt;E-Waste", _xlpm.loc, "&lt;&gt;Virtual", _xlpm.loc, "&lt;&gt;Decommisioned")
)</f>
        <v>64</v>
      </c>
      <c r="D333" s="168">
        <f>_xlfn.LET(_xlpm.loc, ITEquipmentTable[Storage Location],
COUNTIFS(ITSecondTable[Tag], ITSecondTable[[#This Row],[Tag]], _xlpm.loc, "Missing")
)</f>
        <v>0</v>
      </c>
      <c r="E333" s="168">
        <f>_xlfn.LET(_xlpm.loc, ITEquipmentTable[Storage Location],
COUNTIFS(ITSecondTable[Tag], ITSecondTable[[#This Row],[Tag]], _xlpm.loc, "In Use") + COUNTIFS(ITSecondTable[Tag], ITSecondTable[[#This Row],[Tag]], _xlpm.loc, "Assigned to Employee")
)</f>
        <v>30</v>
      </c>
      <c r="F333" s="168">
        <f>_xlfn.LET(_xlpm.loc, ITEquipmentTable[Storage Location],
COUNTIFS(ITSecondTable[Tag], ITSecondTable[[#This Row],[Tag]], _xlpm.loc, "")
)</f>
        <v>17</v>
      </c>
      <c r="G333" s="168">
        <f>MAX(ITSecondTable[[#This Row],[SQty]] - ITSecondTable[[#This Row],[IQty]], 0)</f>
        <v>11</v>
      </c>
      <c r="H333" s="168">
        <f>MAX(ITSecondTable[[#This Row],[IQty]]-ITSecondTable[[#This Row],[SQty]], 0)</f>
        <v>0</v>
      </c>
      <c r="I333" s="151" t="str">
        <f>IFERROR(_xlfn.TEXTJOIN("~", TRUE, ITEquipmentTable[[#This Row],[Type]],ITEquipmentTable[[#This Row],[Brand]],ITEquipmentTable[[#This Row],[Model]]), "")</f>
        <v>Desktop~Dell~OptiPlex 3040</v>
      </c>
      <c r="J333" s="151" t="b">
        <f xml:space="preserve"> _xlfn.IFNA(MATCH( ITSecondTable[[#This Row],[Tag]], StorageTable[Tag], 0)  &gt; -1, FALSE)</f>
        <v>0</v>
      </c>
      <c r="K333" s="168" t="b">
        <f>COUNTIFS(ITEquipmentTable[Serial], ITEquipmentTable[[#This Row],[Serial]], ITEquipmentTable[Serial], "&lt;&gt;N/A") &gt; 1</f>
        <v>0</v>
      </c>
      <c r="L333" s="168" t="b">
        <f>COUNTIFS(ITEquipmentTable[Name], ITEquipmentTable[[#This Row],[Name]], ITEquipmentTable[Name], "&lt;&gt;&lt;Unassigned&gt;",  ITEquipmentTable[Name], "&lt;&gt;N/A") &gt; 1</f>
        <v>0</v>
      </c>
      <c r="M333" s="168" t="b">
        <f>AND(COUNTIFS(ITEquipmentTable[IPv4 Address], ITEquipmentTable[[#This Row],[IPv4 Address]]) &gt; 1, ITEquipmentTable[[#This Row],[IPv4 Address]] &lt;&gt; "DHCP",  ITEquipmentTable[[#This Row],[IPv4 Address]] &lt;&gt; "N/A")</f>
        <v>0</v>
      </c>
    </row>
    <row r="334" spans="1:13" x14ac:dyDescent="0.2">
      <c r="A334" s="168">
        <f>IF(LEN(ITSecondTable[[#This Row],[Tag]]) &gt; 0, _xlfn.XLOOKUP(ITSecondTable[[#This Row],[Tag]],StorageTable[Tag], StorageTable[In Storage - Count Total], "Err", 0, 1), 0)</f>
        <v>0</v>
      </c>
      <c r="B334" s="1">
        <f>_xlfn.LET(_xlpm.loc, ITEquipmentTable[Storage Location],
COUNTIFS(ITSecondTable[Tag], ITSecondTable[[#This Row],[Tag]], _xlpm.loc, "&lt;&gt;In Use", _xlpm.loc, "&lt;&gt;",  _xlpm.loc, "&lt;&gt;E-Waste", _xlpm.loc, "&lt;&gt;Virtual",  _xlpm.loc, "&lt;&gt;Assigned to Employee", _xlpm.loc, "&lt;&gt;Decommisioned", _xlpm.loc, "&lt;&gt;Missing")
)</f>
        <v>2</v>
      </c>
      <c r="C334" s="1">
        <f>_xlfn.LET(_xlpm.loc, ITEquipmentTable[Storage Location],
COUNTIFS(ITSecondTable[Tag], ITSecondTable[[#This Row],[Tag]], _xlpm.loc, "&lt;&gt;E-Waste", _xlpm.loc, "&lt;&gt;Virtual", _xlpm.loc, "&lt;&gt;Decommisioned")
)</f>
        <v>17</v>
      </c>
      <c r="D334" s="168">
        <f>_xlfn.LET(_xlpm.loc, ITEquipmentTable[Storage Location],
COUNTIFS(ITSecondTable[Tag], ITSecondTable[[#This Row],[Tag]], _xlpm.loc, "Missing")
)</f>
        <v>0</v>
      </c>
      <c r="E334" s="168">
        <f>_xlfn.LET(_xlpm.loc, ITEquipmentTable[Storage Location],
COUNTIFS(ITSecondTable[Tag], ITSecondTable[[#This Row],[Tag]], _xlpm.loc, "In Use") + COUNTIFS(ITSecondTable[Tag], ITSecondTable[[#This Row],[Tag]], _xlpm.loc, "Assigned to Employee")
)</f>
        <v>5</v>
      </c>
      <c r="F334" s="168">
        <f>_xlfn.LET(_xlpm.loc, ITEquipmentTable[Storage Location],
COUNTIFS(ITSecondTable[Tag], ITSecondTable[[#This Row],[Tag]], _xlpm.loc, "")
)</f>
        <v>10</v>
      </c>
      <c r="G334" s="168">
        <f>MAX(ITSecondTable[[#This Row],[SQty]] - ITSecondTable[[#This Row],[IQty]], 0)</f>
        <v>2</v>
      </c>
      <c r="H334" s="168">
        <f>MAX(ITSecondTable[[#This Row],[IQty]]-ITSecondTable[[#This Row],[SQty]], 0)</f>
        <v>0</v>
      </c>
      <c r="I334" s="151" t="str">
        <f>IFERROR(_xlfn.TEXTJOIN("~", TRUE, ITEquipmentTable[[#This Row],[Type]],ITEquipmentTable[[#This Row],[Brand]],ITEquipmentTable[[#This Row],[Model]]), "")</f>
        <v>Laptop~HP~HP ProBook 640 G3</v>
      </c>
      <c r="J334" s="151" t="b">
        <f xml:space="preserve"> _xlfn.IFNA(MATCH( ITSecondTable[[#This Row],[Tag]], StorageTable[Tag], 0)  &gt; -1, FALSE)</f>
        <v>0</v>
      </c>
      <c r="K334" s="168" t="b">
        <f>COUNTIFS(ITEquipmentTable[Serial], ITEquipmentTable[[#This Row],[Serial]], ITEquipmentTable[Serial], "&lt;&gt;N/A") &gt; 1</f>
        <v>0</v>
      </c>
      <c r="L334" s="168" t="b">
        <f>COUNTIFS(ITEquipmentTable[Name], ITEquipmentTable[[#This Row],[Name]], ITEquipmentTable[Name], "&lt;&gt;&lt;Unassigned&gt;",  ITEquipmentTable[Name], "&lt;&gt;N/A") &gt; 1</f>
        <v>0</v>
      </c>
      <c r="M334" s="168" t="b">
        <f>AND(COUNTIFS(ITEquipmentTable[IPv4 Address], ITEquipmentTable[[#This Row],[IPv4 Address]]) &gt; 1, ITEquipmentTable[[#This Row],[IPv4 Address]] &lt;&gt; "DHCP",  ITEquipmentTable[[#This Row],[IPv4 Address]] &lt;&gt; "N/A")</f>
        <v>0</v>
      </c>
    </row>
    <row r="335" spans="1:13" x14ac:dyDescent="0.2">
      <c r="A335" s="168">
        <f>IF(LEN(ITSecondTable[[#This Row],[Tag]]) &gt; 0, _xlfn.XLOOKUP(ITSecondTable[[#This Row],[Tag]],StorageTable[Tag], StorageTable[In Storage - Count Total], "Err", 0, 1), 0)</f>
        <v>0</v>
      </c>
      <c r="B335" s="1">
        <f>_xlfn.LET(_xlpm.loc, ITEquipmentTable[Storage Location],
COUNTIFS(ITSecondTable[Tag], ITSecondTable[[#This Row],[Tag]], _xlpm.loc, "&lt;&gt;In Use", _xlpm.loc, "&lt;&gt;",  _xlpm.loc, "&lt;&gt;E-Waste", _xlpm.loc, "&lt;&gt;Virtual",  _xlpm.loc, "&lt;&gt;Assigned to Employee", _xlpm.loc, "&lt;&gt;Decommisioned", _xlpm.loc, "&lt;&gt;Missing")
)</f>
        <v>0</v>
      </c>
      <c r="C335" s="1">
        <f>_xlfn.LET(_xlpm.loc, ITEquipmentTable[Storage Location],
COUNTIFS(ITSecondTable[Tag], ITSecondTable[[#This Row],[Tag]], _xlpm.loc, "&lt;&gt;E-Waste", _xlpm.loc, "&lt;&gt;Virtual", _xlpm.loc, "&lt;&gt;Decommisioned")
)</f>
        <v>21</v>
      </c>
      <c r="D335" s="168">
        <f>_xlfn.LET(_xlpm.loc, ITEquipmentTable[Storage Location],
COUNTIFS(ITSecondTable[Tag], ITSecondTable[[#This Row],[Tag]], _xlpm.loc, "Missing")
)</f>
        <v>0</v>
      </c>
      <c r="E335" s="168">
        <f>_xlfn.LET(_xlpm.loc, ITEquipmentTable[Storage Location],
COUNTIFS(ITSecondTable[Tag], ITSecondTable[[#This Row],[Tag]], _xlpm.loc, "In Use") + COUNTIFS(ITSecondTable[Tag], ITSecondTable[[#This Row],[Tag]], _xlpm.loc, "Assigned to Employee")
)</f>
        <v>3</v>
      </c>
      <c r="F335" s="168">
        <f>_xlfn.LET(_xlpm.loc, ITEquipmentTable[Storage Location],
COUNTIFS(ITSecondTable[Tag], ITSecondTable[[#This Row],[Tag]], _xlpm.loc, "")
)</f>
        <v>18</v>
      </c>
      <c r="G335" s="168">
        <f>MAX(ITSecondTable[[#This Row],[SQty]] - ITSecondTable[[#This Row],[IQty]], 0)</f>
        <v>0</v>
      </c>
      <c r="H335" s="168">
        <f>MAX(ITSecondTable[[#This Row],[IQty]]-ITSecondTable[[#This Row],[SQty]], 0)</f>
        <v>0</v>
      </c>
      <c r="I335" s="151" t="str">
        <f>IFERROR(_xlfn.TEXTJOIN("~", TRUE, ITEquipmentTable[[#This Row],[Type]],ITEquipmentTable[[#This Row],[Brand]],ITEquipmentTable[[#This Row],[Model]]), "")</f>
        <v/>
      </c>
      <c r="J335" s="151" t="b">
        <f xml:space="preserve"> _xlfn.IFNA(MATCH( ITSecondTable[[#This Row],[Tag]], StorageTable[Tag], 0)  &gt; -1, FALSE)</f>
        <v>0</v>
      </c>
      <c r="K335" s="168" t="b">
        <f>COUNTIFS(ITEquipmentTable[Serial], ITEquipmentTable[[#This Row],[Serial]], ITEquipmentTable[Serial], "&lt;&gt;N/A") &gt; 1</f>
        <v>0</v>
      </c>
      <c r="L335" s="168" t="b">
        <f>COUNTIFS(ITEquipmentTable[Name], ITEquipmentTable[[#This Row],[Name]], ITEquipmentTable[Name], "&lt;&gt;&lt;Unassigned&gt;",  ITEquipmentTable[Name], "&lt;&gt;N/A") &gt; 1</f>
        <v>0</v>
      </c>
      <c r="M335" s="168" t="b">
        <f>AND(COUNTIFS(ITEquipmentTable[IPv4 Address], ITEquipmentTable[[#This Row],[IPv4 Address]]) &gt; 1, ITEquipmentTable[[#This Row],[IPv4 Address]] &lt;&gt; "DHCP",  ITEquipmentTable[[#This Row],[IPv4 Address]] &lt;&gt; "N/A")</f>
        <v>0</v>
      </c>
    </row>
    <row r="336" spans="1:13" x14ac:dyDescent="0.2">
      <c r="A336" s="168">
        <f>IF(LEN(ITSecondTable[[#This Row],[Tag]]) &gt; 0, _xlfn.XLOOKUP(ITSecondTable[[#This Row],[Tag]],StorageTable[Tag], StorageTable[In Storage - Count Total], "Err", 0, 1), 0)</f>
        <v>0</v>
      </c>
      <c r="B336" s="1">
        <f>_xlfn.LET(_xlpm.loc, ITEquipmentTable[Storage Location],
COUNTIFS(ITSecondTable[Tag], ITSecondTable[[#This Row],[Tag]], _xlpm.loc, "&lt;&gt;In Use", _xlpm.loc, "&lt;&gt;",  _xlpm.loc, "&lt;&gt;E-Waste", _xlpm.loc, "&lt;&gt;Virtual",  _xlpm.loc, "&lt;&gt;Assigned to Employee", _xlpm.loc, "&lt;&gt;Decommisioned", _xlpm.loc, "&lt;&gt;Missing")
)</f>
        <v>0</v>
      </c>
      <c r="C336" s="1">
        <f>_xlfn.LET(_xlpm.loc, ITEquipmentTable[Storage Location],
COUNTIFS(ITSecondTable[Tag], ITSecondTable[[#This Row],[Tag]], _xlpm.loc, "&lt;&gt;E-Waste", _xlpm.loc, "&lt;&gt;Virtual", _xlpm.loc, "&lt;&gt;Decommisioned")
)</f>
        <v>21</v>
      </c>
      <c r="D336" s="168">
        <f>_xlfn.LET(_xlpm.loc, ITEquipmentTable[Storage Location],
COUNTIFS(ITSecondTable[Tag], ITSecondTable[[#This Row],[Tag]], _xlpm.loc, "Missing")
)</f>
        <v>0</v>
      </c>
      <c r="E336" s="168">
        <f>_xlfn.LET(_xlpm.loc, ITEquipmentTable[Storage Location],
COUNTIFS(ITSecondTable[Tag], ITSecondTable[[#This Row],[Tag]], _xlpm.loc, "In Use") + COUNTIFS(ITSecondTable[Tag], ITSecondTable[[#This Row],[Tag]], _xlpm.loc, "Assigned to Employee")
)</f>
        <v>3</v>
      </c>
      <c r="F336" s="168">
        <f>_xlfn.LET(_xlpm.loc, ITEquipmentTable[Storage Location],
COUNTIFS(ITSecondTable[Tag], ITSecondTable[[#This Row],[Tag]], _xlpm.loc, "")
)</f>
        <v>18</v>
      </c>
      <c r="G336" s="168">
        <f>MAX(ITSecondTable[[#This Row],[SQty]] - ITSecondTable[[#This Row],[IQty]], 0)</f>
        <v>0</v>
      </c>
      <c r="H336" s="168">
        <f>MAX(ITSecondTable[[#This Row],[IQty]]-ITSecondTable[[#This Row],[SQty]], 0)</f>
        <v>0</v>
      </c>
      <c r="I336" s="151" t="str">
        <f>IFERROR(_xlfn.TEXTJOIN("~", TRUE, ITEquipmentTable[[#This Row],[Type]],ITEquipmentTable[[#This Row],[Brand]],ITEquipmentTable[[#This Row],[Model]]), "")</f>
        <v/>
      </c>
      <c r="J336" s="151" t="b">
        <f xml:space="preserve"> _xlfn.IFNA(MATCH( ITSecondTable[[#This Row],[Tag]], StorageTable[Tag], 0)  &gt; -1, FALSE)</f>
        <v>0</v>
      </c>
      <c r="K336" s="168" t="b">
        <f>COUNTIFS(ITEquipmentTable[Serial], ITEquipmentTable[[#This Row],[Serial]], ITEquipmentTable[Serial], "&lt;&gt;N/A") &gt; 1</f>
        <v>0</v>
      </c>
      <c r="L336" s="168" t="b">
        <f>COUNTIFS(ITEquipmentTable[Name], ITEquipmentTable[[#This Row],[Name]], ITEquipmentTable[Name], "&lt;&gt;&lt;Unassigned&gt;",  ITEquipmentTable[Name], "&lt;&gt;N/A") &gt; 1</f>
        <v>0</v>
      </c>
      <c r="M336" s="168" t="b">
        <f>AND(COUNTIFS(ITEquipmentTable[IPv4 Address], ITEquipmentTable[[#This Row],[IPv4 Address]]) &gt; 1, ITEquipmentTable[[#This Row],[IPv4 Address]] &lt;&gt; "DHCP",  ITEquipmentTable[[#This Row],[IPv4 Address]] &lt;&gt; "N/A")</f>
        <v>0</v>
      </c>
    </row>
    <row r="337" spans="1:13" x14ac:dyDescent="0.2">
      <c r="A337" s="168">
        <f>IF(LEN(ITSecondTable[[#This Row],[Tag]]) &gt; 0, _xlfn.XLOOKUP(ITSecondTable[[#This Row],[Tag]],StorageTable[Tag], StorageTable[In Storage - Count Total], "Err", 0, 1), 0)</f>
        <v>0</v>
      </c>
      <c r="B337" s="1">
        <f>_xlfn.LET(_xlpm.loc, ITEquipmentTable[Storage Location],
COUNTIFS(ITSecondTable[Tag], ITSecondTable[[#This Row],[Tag]], _xlpm.loc, "&lt;&gt;In Use", _xlpm.loc, "&lt;&gt;",  _xlpm.loc, "&lt;&gt;E-Waste", _xlpm.loc, "&lt;&gt;Virtual",  _xlpm.loc, "&lt;&gt;Assigned to Employee", _xlpm.loc, "&lt;&gt;Decommisioned", _xlpm.loc, "&lt;&gt;Missing")
)</f>
        <v>2</v>
      </c>
      <c r="C337" s="1">
        <f>_xlfn.LET(_xlpm.loc, ITEquipmentTable[Storage Location],
COUNTIFS(ITSecondTable[Tag], ITSecondTable[[#This Row],[Tag]], _xlpm.loc, "&lt;&gt;E-Waste", _xlpm.loc, "&lt;&gt;Virtual", _xlpm.loc, "&lt;&gt;Decommisioned")
)</f>
        <v>27</v>
      </c>
      <c r="D337" s="168">
        <f>_xlfn.LET(_xlpm.loc, ITEquipmentTable[Storage Location],
COUNTIFS(ITSecondTable[Tag], ITSecondTable[[#This Row],[Tag]], _xlpm.loc, "Missing")
)</f>
        <v>0</v>
      </c>
      <c r="E337" s="168">
        <f>_xlfn.LET(_xlpm.loc, ITEquipmentTable[Storage Location],
COUNTIFS(ITSecondTable[Tag], ITSecondTable[[#This Row],[Tag]], _xlpm.loc, "In Use") + COUNTIFS(ITSecondTable[Tag], ITSecondTable[[#This Row],[Tag]], _xlpm.loc, "Assigned to Employee")
)</f>
        <v>20</v>
      </c>
      <c r="F337" s="168">
        <f>_xlfn.LET(_xlpm.loc, ITEquipmentTable[Storage Location],
COUNTIFS(ITSecondTable[Tag], ITSecondTable[[#This Row],[Tag]], _xlpm.loc, "")
)</f>
        <v>5</v>
      </c>
      <c r="G337" s="168">
        <f>MAX(ITSecondTable[[#This Row],[SQty]] - ITSecondTable[[#This Row],[IQty]], 0)</f>
        <v>2</v>
      </c>
      <c r="H337" s="168">
        <f>MAX(ITSecondTable[[#This Row],[IQty]]-ITSecondTable[[#This Row],[SQty]], 0)</f>
        <v>0</v>
      </c>
      <c r="I337" s="151" t="str">
        <f>IFERROR(_xlfn.TEXTJOIN("~", TRUE, ITEquipmentTable[[#This Row],[Type]],ITEquipmentTable[[#This Row],[Brand]],ITEquipmentTable[[#This Row],[Model]]), "")</f>
        <v>Desktop~HP</v>
      </c>
      <c r="J337" s="151" t="b">
        <f xml:space="preserve"> _xlfn.IFNA(MATCH( ITSecondTable[[#This Row],[Tag]], StorageTable[Tag], 0)  &gt; -1, FALSE)</f>
        <v>0</v>
      </c>
      <c r="K337" s="168" t="b">
        <f>COUNTIFS(ITEquipmentTable[Serial], ITEquipmentTable[[#This Row],[Serial]], ITEquipmentTable[Serial], "&lt;&gt;N/A") &gt; 1</f>
        <v>0</v>
      </c>
      <c r="L337" s="168" t="b">
        <f>COUNTIFS(ITEquipmentTable[Name], ITEquipmentTable[[#This Row],[Name]], ITEquipmentTable[Name], "&lt;&gt;&lt;Unassigned&gt;",  ITEquipmentTable[Name], "&lt;&gt;N/A") &gt; 1</f>
        <v>0</v>
      </c>
      <c r="M337" s="168" t="b">
        <f>AND(COUNTIFS(ITEquipmentTable[IPv4 Address], ITEquipmentTable[[#This Row],[IPv4 Address]]) &gt; 1, ITEquipmentTable[[#This Row],[IPv4 Address]] &lt;&gt; "DHCP",  ITEquipmentTable[[#This Row],[IPv4 Address]] &lt;&gt; "N/A")</f>
        <v>0</v>
      </c>
    </row>
    <row r="338" spans="1:13" x14ac:dyDescent="0.2">
      <c r="A338" s="168">
        <f>IF(LEN(ITSecondTable[[#This Row],[Tag]]) &gt; 0, _xlfn.XLOOKUP(ITSecondTable[[#This Row],[Tag]],StorageTable[Tag], StorageTable[In Storage - Count Total], "Err", 0, 1), 0)</f>
        <v>0</v>
      </c>
      <c r="B338" s="1">
        <f>_xlfn.LET(_xlpm.loc, ITEquipmentTable[Storage Location],
COUNTIFS(ITSecondTable[Tag], ITSecondTable[[#This Row],[Tag]], _xlpm.loc, "&lt;&gt;In Use", _xlpm.loc, "&lt;&gt;",  _xlpm.loc, "&lt;&gt;E-Waste", _xlpm.loc, "&lt;&gt;Virtual",  _xlpm.loc, "&lt;&gt;Assigned to Employee", _xlpm.loc, "&lt;&gt;Decommisioned", _xlpm.loc, "&lt;&gt;Missing")
)</f>
        <v>0</v>
      </c>
      <c r="C338" s="1">
        <f>_xlfn.LET(_xlpm.loc, ITEquipmentTable[Storage Location],
COUNTIFS(ITSecondTable[Tag], ITSecondTable[[#This Row],[Tag]], _xlpm.loc, "&lt;&gt;E-Waste", _xlpm.loc, "&lt;&gt;Virtual", _xlpm.loc, "&lt;&gt;Decommisioned")
)</f>
        <v>32</v>
      </c>
      <c r="D338" s="168">
        <f>_xlfn.LET(_xlpm.loc, ITEquipmentTable[Storage Location],
COUNTIFS(ITSecondTable[Tag], ITSecondTable[[#This Row],[Tag]], _xlpm.loc, "Missing")
)</f>
        <v>0</v>
      </c>
      <c r="E338" s="168">
        <f>_xlfn.LET(_xlpm.loc, ITEquipmentTable[Storage Location],
COUNTIFS(ITSecondTable[Tag], ITSecondTable[[#This Row],[Tag]], _xlpm.loc, "In Use") + COUNTIFS(ITSecondTable[Tag], ITSecondTable[[#This Row],[Tag]], _xlpm.loc, "Assigned to Employee")
)</f>
        <v>26</v>
      </c>
      <c r="F338" s="168">
        <f>_xlfn.LET(_xlpm.loc, ITEquipmentTable[Storage Location],
COUNTIFS(ITSecondTable[Tag], ITSecondTable[[#This Row],[Tag]], _xlpm.loc, "")
)</f>
        <v>6</v>
      </c>
      <c r="G338" s="168">
        <f>MAX(ITSecondTable[[#This Row],[SQty]] - ITSecondTable[[#This Row],[IQty]], 0)</f>
        <v>0</v>
      </c>
      <c r="H338" s="168">
        <f>MAX(ITSecondTable[[#This Row],[IQty]]-ITSecondTable[[#This Row],[SQty]], 0)</f>
        <v>0</v>
      </c>
      <c r="I338" s="151" t="str">
        <f>IFERROR(_xlfn.TEXTJOIN("~", TRUE, ITEquipmentTable[[#This Row],[Type]],ITEquipmentTable[[#This Row],[Brand]],ITEquipmentTable[[#This Row],[Model]]), "")</f>
        <v>Desktop</v>
      </c>
      <c r="J338" s="151" t="b">
        <f xml:space="preserve"> _xlfn.IFNA(MATCH( ITSecondTable[[#This Row],[Tag]], StorageTable[Tag], 0)  &gt; -1, FALSE)</f>
        <v>1</v>
      </c>
      <c r="K338" s="168" t="b">
        <f>COUNTIFS(ITEquipmentTable[Serial], ITEquipmentTable[[#This Row],[Serial]], ITEquipmentTable[Serial], "&lt;&gt;N/A") &gt; 1</f>
        <v>0</v>
      </c>
      <c r="L338" s="168" t="b">
        <f>COUNTIFS(ITEquipmentTable[Name], ITEquipmentTable[[#This Row],[Name]], ITEquipmentTable[Name], "&lt;&gt;&lt;Unassigned&gt;",  ITEquipmentTable[Name], "&lt;&gt;N/A") &gt; 1</f>
        <v>0</v>
      </c>
      <c r="M338" s="168" t="b">
        <f>AND(COUNTIFS(ITEquipmentTable[IPv4 Address], ITEquipmentTable[[#This Row],[IPv4 Address]]) &gt; 1, ITEquipmentTable[[#This Row],[IPv4 Address]] &lt;&gt; "DHCP",  ITEquipmentTable[[#This Row],[IPv4 Address]] &lt;&gt; "N/A")</f>
        <v>0</v>
      </c>
    </row>
    <row r="339" spans="1:13" x14ac:dyDescent="0.2">
      <c r="A339" s="168">
        <f>IF(LEN(ITSecondTable[[#This Row],[Tag]]) &gt; 0, _xlfn.XLOOKUP(ITSecondTable[[#This Row],[Tag]],StorageTable[Tag], StorageTable[In Storage - Count Total], "Err", 0, 1), 0)</f>
        <v>0</v>
      </c>
      <c r="B339" s="1">
        <f>_xlfn.LET(_xlpm.loc, ITEquipmentTable[Storage Location],
COUNTIFS(ITSecondTable[Tag], ITSecondTable[[#This Row],[Tag]], _xlpm.loc, "&lt;&gt;In Use", _xlpm.loc, "&lt;&gt;",  _xlpm.loc, "&lt;&gt;E-Waste", _xlpm.loc, "&lt;&gt;Virtual",  _xlpm.loc, "&lt;&gt;Assigned to Employee", _xlpm.loc, "&lt;&gt;Decommisioned", _xlpm.loc, "&lt;&gt;Missing")
)</f>
        <v>2</v>
      </c>
      <c r="C339" s="1">
        <f>_xlfn.LET(_xlpm.loc, ITEquipmentTable[Storage Location],
COUNTIFS(ITSecondTable[Tag], ITSecondTable[[#This Row],[Tag]], _xlpm.loc, "&lt;&gt;E-Waste", _xlpm.loc, "&lt;&gt;Virtual", _xlpm.loc, "&lt;&gt;Decommisioned")
)</f>
        <v>27</v>
      </c>
      <c r="D339" s="168">
        <f>_xlfn.LET(_xlpm.loc, ITEquipmentTable[Storage Location],
COUNTIFS(ITSecondTable[Tag], ITSecondTable[[#This Row],[Tag]], _xlpm.loc, "Missing")
)</f>
        <v>0</v>
      </c>
      <c r="E339" s="168">
        <f>_xlfn.LET(_xlpm.loc, ITEquipmentTable[Storage Location],
COUNTIFS(ITSecondTable[Tag], ITSecondTable[[#This Row],[Tag]], _xlpm.loc, "In Use") + COUNTIFS(ITSecondTable[Tag], ITSecondTable[[#This Row],[Tag]], _xlpm.loc, "Assigned to Employee")
)</f>
        <v>20</v>
      </c>
      <c r="F339" s="168">
        <f>_xlfn.LET(_xlpm.loc, ITEquipmentTable[Storage Location],
COUNTIFS(ITSecondTable[Tag], ITSecondTable[[#This Row],[Tag]], _xlpm.loc, "")
)</f>
        <v>5</v>
      </c>
      <c r="G339" s="168">
        <f>MAX(ITSecondTable[[#This Row],[SQty]] - ITSecondTable[[#This Row],[IQty]], 0)</f>
        <v>2</v>
      </c>
      <c r="H339" s="168">
        <f>MAX(ITSecondTable[[#This Row],[IQty]]-ITSecondTable[[#This Row],[SQty]], 0)</f>
        <v>0</v>
      </c>
      <c r="I339" s="151" t="str">
        <f>IFERROR(_xlfn.TEXTJOIN("~", TRUE, ITEquipmentTable[[#This Row],[Type]],ITEquipmentTable[[#This Row],[Brand]],ITEquipmentTable[[#This Row],[Model]]), "")</f>
        <v>Desktop~HP</v>
      </c>
      <c r="J339" s="151" t="b">
        <f xml:space="preserve"> _xlfn.IFNA(MATCH( ITSecondTable[[#This Row],[Tag]], StorageTable[Tag], 0)  &gt; -1, FALSE)</f>
        <v>0</v>
      </c>
      <c r="K339" s="168" t="b">
        <f>COUNTIFS(ITEquipmentTable[Serial], ITEquipmentTable[[#This Row],[Serial]], ITEquipmentTable[Serial], "&lt;&gt;N/A") &gt; 1</f>
        <v>0</v>
      </c>
      <c r="L339" s="168" t="b">
        <f>COUNTIFS(ITEquipmentTable[Name], ITEquipmentTable[[#This Row],[Name]], ITEquipmentTable[Name], "&lt;&gt;&lt;Unassigned&gt;",  ITEquipmentTable[Name], "&lt;&gt;N/A") &gt; 1</f>
        <v>0</v>
      </c>
      <c r="M339" s="168" t="b">
        <f>AND(COUNTIFS(ITEquipmentTable[IPv4 Address], ITEquipmentTable[[#This Row],[IPv4 Address]]) &gt; 1, ITEquipmentTable[[#This Row],[IPv4 Address]] &lt;&gt; "DHCP",  ITEquipmentTable[[#This Row],[IPv4 Address]] &lt;&gt; "N/A")</f>
        <v>0</v>
      </c>
    </row>
    <row r="340" spans="1:13" x14ac:dyDescent="0.2">
      <c r="A340" s="168">
        <f>IF(LEN(ITSecondTable[[#This Row],[Tag]]) &gt; 0, _xlfn.XLOOKUP(ITSecondTable[[#This Row],[Tag]],StorageTable[Tag], StorageTable[In Storage - Count Total], "Err", 0, 1), 0)</f>
        <v>0</v>
      </c>
      <c r="B340" s="1">
        <f>_xlfn.LET(_xlpm.loc, ITEquipmentTable[Storage Location],
COUNTIFS(ITSecondTable[Tag], ITSecondTable[[#This Row],[Tag]], _xlpm.loc, "&lt;&gt;In Use", _xlpm.loc, "&lt;&gt;",  _xlpm.loc, "&lt;&gt;E-Waste", _xlpm.loc, "&lt;&gt;Virtual",  _xlpm.loc, "&lt;&gt;Assigned to Employee", _xlpm.loc, "&lt;&gt;Decommisioned", _xlpm.loc, "&lt;&gt;Missing")
)</f>
        <v>2</v>
      </c>
      <c r="C340" s="1">
        <f>_xlfn.LET(_xlpm.loc, ITEquipmentTable[Storage Location],
COUNTIFS(ITSecondTable[Tag], ITSecondTable[[#This Row],[Tag]], _xlpm.loc, "&lt;&gt;E-Waste", _xlpm.loc, "&lt;&gt;Virtual", _xlpm.loc, "&lt;&gt;Decommisioned")
)</f>
        <v>27</v>
      </c>
      <c r="D340" s="168">
        <f>_xlfn.LET(_xlpm.loc, ITEquipmentTable[Storage Location],
COUNTIFS(ITSecondTable[Tag], ITSecondTable[[#This Row],[Tag]], _xlpm.loc, "Missing")
)</f>
        <v>0</v>
      </c>
      <c r="E340" s="168">
        <f>_xlfn.LET(_xlpm.loc, ITEquipmentTable[Storage Location],
COUNTIFS(ITSecondTable[Tag], ITSecondTable[[#This Row],[Tag]], _xlpm.loc, "In Use") + COUNTIFS(ITSecondTable[Tag], ITSecondTable[[#This Row],[Tag]], _xlpm.loc, "Assigned to Employee")
)</f>
        <v>20</v>
      </c>
      <c r="F340" s="168">
        <f>_xlfn.LET(_xlpm.loc, ITEquipmentTable[Storage Location],
COUNTIFS(ITSecondTable[Tag], ITSecondTable[[#This Row],[Tag]], _xlpm.loc, "")
)</f>
        <v>5</v>
      </c>
      <c r="G340" s="168">
        <f>MAX(ITSecondTable[[#This Row],[SQty]] - ITSecondTable[[#This Row],[IQty]], 0)</f>
        <v>2</v>
      </c>
      <c r="H340" s="168">
        <f>MAX(ITSecondTable[[#This Row],[IQty]]-ITSecondTable[[#This Row],[SQty]], 0)</f>
        <v>0</v>
      </c>
      <c r="I340" s="151" t="str">
        <f>IFERROR(_xlfn.TEXTJOIN("~", TRUE, ITEquipmentTable[[#This Row],[Type]],ITEquipmentTable[[#This Row],[Brand]],ITEquipmentTable[[#This Row],[Model]]), "")</f>
        <v>Desktop~HP</v>
      </c>
      <c r="J340" s="151" t="b">
        <f xml:space="preserve"> _xlfn.IFNA(MATCH( ITSecondTable[[#This Row],[Tag]], StorageTable[Tag], 0)  &gt; -1, FALSE)</f>
        <v>0</v>
      </c>
      <c r="K340" s="168" t="b">
        <f>COUNTIFS(ITEquipmentTable[Serial], ITEquipmentTable[[#This Row],[Serial]], ITEquipmentTable[Serial], "&lt;&gt;N/A") &gt; 1</f>
        <v>0</v>
      </c>
      <c r="L340" s="168" t="b">
        <f>COUNTIFS(ITEquipmentTable[Name], ITEquipmentTable[[#This Row],[Name]], ITEquipmentTable[Name], "&lt;&gt;&lt;Unassigned&gt;",  ITEquipmentTable[Name], "&lt;&gt;N/A") &gt; 1</f>
        <v>0</v>
      </c>
      <c r="M340" s="168" t="b">
        <f>AND(COUNTIFS(ITEquipmentTable[IPv4 Address], ITEquipmentTable[[#This Row],[IPv4 Address]]) &gt; 1, ITEquipmentTable[[#This Row],[IPv4 Address]] &lt;&gt; "DHCP",  ITEquipmentTable[[#This Row],[IPv4 Address]] &lt;&gt; "N/A")</f>
        <v>0</v>
      </c>
    </row>
    <row r="341" spans="1:13" x14ac:dyDescent="0.2">
      <c r="A341" s="168">
        <f>IF(LEN(ITSecondTable[[#This Row],[Tag]]) &gt; 0, _xlfn.XLOOKUP(ITSecondTable[[#This Row],[Tag]],StorageTable[Tag], StorageTable[In Storage - Count Total], "Err", 0, 1), 0)</f>
        <v>0</v>
      </c>
      <c r="B341" s="1">
        <f>_xlfn.LET(_xlpm.loc, ITEquipmentTable[Storage Location],
COUNTIFS(ITSecondTable[Tag], ITSecondTable[[#This Row],[Tag]], _xlpm.loc, "&lt;&gt;In Use", _xlpm.loc, "&lt;&gt;",  _xlpm.loc, "&lt;&gt;E-Waste", _xlpm.loc, "&lt;&gt;Virtual",  _xlpm.loc, "&lt;&gt;Assigned to Employee", _xlpm.loc, "&lt;&gt;Decommisioned", _xlpm.loc, "&lt;&gt;Missing")
)</f>
        <v>2</v>
      </c>
      <c r="C341" s="1">
        <f>_xlfn.LET(_xlpm.loc, ITEquipmentTable[Storage Location],
COUNTIFS(ITSecondTable[Tag], ITSecondTable[[#This Row],[Tag]], _xlpm.loc, "&lt;&gt;E-Waste", _xlpm.loc, "&lt;&gt;Virtual", _xlpm.loc, "&lt;&gt;Decommisioned")
)</f>
        <v>27</v>
      </c>
      <c r="D341" s="168">
        <f>_xlfn.LET(_xlpm.loc, ITEquipmentTable[Storage Location],
COUNTIFS(ITSecondTable[Tag], ITSecondTable[[#This Row],[Tag]], _xlpm.loc, "Missing")
)</f>
        <v>0</v>
      </c>
      <c r="E341" s="168">
        <f>_xlfn.LET(_xlpm.loc, ITEquipmentTable[Storage Location],
COUNTIFS(ITSecondTable[Tag], ITSecondTable[[#This Row],[Tag]], _xlpm.loc, "In Use") + COUNTIFS(ITSecondTable[Tag], ITSecondTable[[#This Row],[Tag]], _xlpm.loc, "Assigned to Employee")
)</f>
        <v>20</v>
      </c>
      <c r="F341" s="168">
        <f>_xlfn.LET(_xlpm.loc, ITEquipmentTable[Storage Location],
COUNTIFS(ITSecondTable[Tag], ITSecondTable[[#This Row],[Tag]], _xlpm.loc, "")
)</f>
        <v>5</v>
      </c>
      <c r="G341" s="168">
        <f>MAX(ITSecondTable[[#This Row],[SQty]] - ITSecondTable[[#This Row],[IQty]], 0)</f>
        <v>2</v>
      </c>
      <c r="H341" s="168">
        <f>MAX(ITSecondTable[[#This Row],[IQty]]-ITSecondTable[[#This Row],[SQty]], 0)</f>
        <v>0</v>
      </c>
      <c r="I341" s="151" t="str">
        <f>IFERROR(_xlfn.TEXTJOIN("~", TRUE, ITEquipmentTable[[#This Row],[Type]],ITEquipmentTable[[#This Row],[Brand]],ITEquipmentTable[[#This Row],[Model]]), "")</f>
        <v>Desktop~HP</v>
      </c>
      <c r="J341" s="151" t="b">
        <f xml:space="preserve"> _xlfn.IFNA(MATCH( ITSecondTable[[#This Row],[Tag]], StorageTable[Tag], 0)  &gt; -1, FALSE)</f>
        <v>0</v>
      </c>
      <c r="K341" s="168" t="b">
        <f>COUNTIFS(ITEquipmentTable[Serial], ITEquipmentTable[[#This Row],[Serial]], ITEquipmentTable[Serial], "&lt;&gt;N/A") &gt; 1</f>
        <v>0</v>
      </c>
      <c r="L341" s="168" t="b">
        <f>COUNTIFS(ITEquipmentTable[Name], ITEquipmentTable[[#This Row],[Name]], ITEquipmentTable[Name], "&lt;&gt;&lt;Unassigned&gt;",  ITEquipmentTable[Name], "&lt;&gt;N/A") &gt; 1</f>
        <v>0</v>
      </c>
      <c r="M341" s="168" t="b">
        <f>AND(COUNTIFS(ITEquipmentTable[IPv4 Address], ITEquipmentTable[[#This Row],[IPv4 Address]]) &gt; 1, ITEquipmentTable[[#This Row],[IPv4 Address]] &lt;&gt; "DHCP",  ITEquipmentTable[[#This Row],[IPv4 Address]] &lt;&gt; "N/A")</f>
        <v>0</v>
      </c>
    </row>
    <row r="342" spans="1:13" x14ac:dyDescent="0.2">
      <c r="A342" s="168">
        <f>IF(LEN(ITSecondTable[[#This Row],[Tag]]) &gt; 0, _xlfn.XLOOKUP(ITSecondTable[[#This Row],[Tag]],StorageTable[Tag], StorageTable[In Storage - Count Total], "Err", 0, 1), 0)</f>
        <v>0</v>
      </c>
      <c r="B342" s="1">
        <f>_xlfn.LET(_xlpm.loc, ITEquipmentTable[Storage Location],
COUNTIFS(ITSecondTable[Tag], ITSecondTable[[#This Row],[Tag]], _xlpm.loc, "&lt;&gt;In Use", _xlpm.loc, "&lt;&gt;",  _xlpm.loc, "&lt;&gt;E-Waste", _xlpm.loc, "&lt;&gt;Virtual",  _xlpm.loc, "&lt;&gt;Assigned to Employee", _xlpm.loc, "&lt;&gt;Decommisioned", _xlpm.loc, "&lt;&gt;Missing")
)</f>
        <v>2</v>
      </c>
      <c r="C342" s="1">
        <f>_xlfn.LET(_xlpm.loc, ITEquipmentTable[Storage Location],
COUNTIFS(ITSecondTable[Tag], ITSecondTable[[#This Row],[Tag]], _xlpm.loc, "&lt;&gt;E-Waste", _xlpm.loc, "&lt;&gt;Virtual", _xlpm.loc, "&lt;&gt;Decommisioned")
)</f>
        <v>27</v>
      </c>
      <c r="D342" s="168">
        <f>_xlfn.LET(_xlpm.loc, ITEquipmentTable[Storage Location],
COUNTIFS(ITSecondTable[Tag], ITSecondTable[[#This Row],[Tag]], _xlpm.loc, "Missing")
)</f>
        <v>0</v>
      </c>
      <c r="E342" s="168">
        <f>_xlfn.LET(_xlpm.loc, ITEquipmentTable[Storage Location],
COUNTIFS(ITSecondTable[Tag], ITSecondTable[[#This Row],[Tag]], _xlpm.loc, "In Use") + COUNTIFS(ITSecondTable[Tag], ITSecondTable[[#This Row],[Tag]], _xlpm.loc, "Assigned to Employee")
)</f>
        <v>20</v>
      </c>
      <c r="F342" s="168">
        <f>_xlfn.LET(_xlpm.loc, ITEquipmentTable[Storage Location],
COUNTIFS(ITSecondTable[Tag], ITSecondTable[[#This Row],[Tag]], _xlpm.loc, "")
)</f>
        <v>5</v>
      </c>
      <c r="G342" s="168">
        <f>MAX(ITSecondTable[[#This Row],[SQty]] - ITSecondTable[[#This Row],[IQty]], 0)</f>
        <v>2</v>
      </c>
      <c r="H342" s="168">
        <f>MAX(ITSecondTable[[#This Row],[IQty]]-ITSecondTable[[#This Row],[SQty]], 0)</f>
        <v>0</v>
      </c>
      <c r="I342" s="151" t="str">
        <f>IFERROR(_xlfn.TEXTJOIN("~", TRUE, ITEquipmentTable[[#This Row],[Type]],ITEquipmentTable[[#This Row],[Brand]],ITEquipmentTable[[#This Row],[Model]]), "")</f>
        <v>Desktop~HP</v>
      </c>
      <c r="J342" s="151" t="b">
        <f xml:space="preserve"> _xlfn.IFNA(MATCH( ITSecondTable[[#This Row],[Tag]], StorageTable[Tag], 0)  &gt; -1, FALSE)</f>
        <v>0</v>
      </c>
      <c r="K342" s="168" t="b">
        <f>COUNTIFS(ITEquipmentTable[Serial], ITEquipmentTable[[#This Row],[Serial]], ITEquipmentTable[Serial], "&lt;&gt;N/A") &gt; 1</f>
        <v>0</v>
      </c>
      <c r="L342" s="168" t="b">
        <f>COUNTIFS(ITEquipmentTable[Name], ITEquipmentTable[[#This Row],[Name]], ITEquipmentTable[Name], "&lt;&gt;&lt;Unassigned&gt;",  ITEquipmentTable[Name], "&lt;&gt;N/A") &gt; 1</f>
        <v>0</v>
      </c>
      <c r="M342" s="168" t="b">
        <f>AND(COUNTIFS(ITEquipmentTable[IPv4 Address], ITEquipmentTable[[#This Row],[IPv4 Address]]) &gt; 1, ITEquipmentTable[[#This Row],[IPv4 Address]] &lt;&gt; "DHCP",  ITEquipmentTable[[#This Row],[IPv4 Address]] &lt;&gt; "N/A")</f>
        <v>0</v>
      </c>
    </row>
    <row r="343" spans="1:13" x14ac:dyDescent="0.2">
      <c r="A343" s="168">
        <f>IF(LEN(ITSecondTable[[#This Row],[Tag]]) &gt; 0, _xlfn.XLOOKUP(ITSecondTable[[#This Row],[Tag]],StorageTable[Tag], StorageTable[In Storage - Count Total], "Err", 0, 1), 0)</f>
        <v>0</v>
      </c>
      <c r="B343" s="1">
        <f>_xlfn.LET(_xlpm.loc, ITEquipmentTable[Storage Location],
COUNTIFS(ITSecondTable[Tag], ITSecondTable[[#This Row],[Tag]], _xlpm.loc, "&lt;&gt;In Use", _xlpm.loc, "&lt;&gt;",  _xlpm.loc, "&lt;&gt;E-Waste", _xlpm.loc, "&lt;&gt;Virtual",  _xlpm.loc, "&lt;&gt;Assigned to Employee", _xlpm.loc, "&lt;&gt;Decommisioned", _xlpm.loc, "&lt;&gt;Missing")
)</f>
        <v>2</v>
      </c>
      <c r="C343" s="1">
        <f>_xlfn.LET(_xlpm.loc, ITEquipmentTable[Storage Location],
COUNTIFS(ITSecondTable[Tag], ITSecondTable[[#This Row],[Tag]], _xlpm.loc, "&lt;&gt;E-Waste", _xlpm.loc, "&lt;&gt;Virtual", _xlpm.loc, "&lt;&gt;Decommisioned")
)</f>
        <v>27</v>
      </c>
      <c r="D343" s="168">
        <f>_xlfn.LET(_xlpm.loc, ITEquipmentTable[Storage Location],
COUNTIFS(ITSecondTable[Tag], ITSecondTable[[#This Row],[Tag]], _xlpm.loc, "Missing")
)</f>
        <v>0</v>
      </c>
      <c r="E343" s="168">
        <f>_xlfn.LET(_xlpm.loc, ITEquipmentTable[Storage Location],
COUNTIFS(ITSecondTable[Tag], ITSecondTable[[#This Row],[Tag]], _xlpm.loc, "In Use") + COUNTIFS(ITSecondTable[Tag], ITSecondTable[[#This Row],[Tag]], _xlpm.loc, "Assigned to Employee")
)</f>
        <v>20</v>
      </c>
      <c r="F343" s="168">
        <f>_xlfn.LET(_xlpm.loc, ITEquipmentTable[Storage Location],
COUNTIFS(ITSecondTable[Tag], ITSecondTable[[#This Row],[Tag]], _xlpm.loc, "")
)</f>
        <v>5</v>
      </c>
      <c r="G343" s="168">
        <f>MAX(ITSecondTable[[#This Row],[SQty]] - ITSecondTable[[#This Row],[IQty]], 0)</f>
        <v>2</v>
      </c>
      <c r="H343" s="168">
        <f>MAX(ITSecondTable[[#This Row],[IQty]]-ITSecondTable[[#This Row],[SQty]], 0)</f>
        <v>0</v>
      </c>
      <c r="I343" s="151" t="str">
        <f>IFERROR(_xlfn.TEXTJOIN("~", TRUE, ITEquipmentTable[[#This Row],[Type]],ITEquipmentTable[[#This Row],[Brand]],ITEquipmentTable[[#This Row],[Model]]), "")</f>
        <v>Desktop~HP</v>
      </c>
      <c r="J343" s="151" t="b">
        <f xml:space="preserve"> _xlfn.IFNA(MATCH( ITSecondTable[[#This Row],[Tag]], StorageTable[Tag], 0)  &gt; -1, FALSE)</f>
        <v>0</v>
      </c>
      <c r="K343" s="168" t="b">
        <f>COUNTIFS(ITEquipmentTable[Serial], ITEquipmentTable[[#This Row],[Serial]], ITEquipmentTable[Serial], "&lt;&gt;N/A") &gt; 1</f>
        <v>0</v>
      </c>
      <c r="L343" s="168" t="b">
        <f>COUNTIFS(ITEquipmentTable[Name], ITEquipmentTable[[#This Row],[Name]], ITEquipmentTable[Name], "&lt;&gt;&lt;Unassigned&gt;",  ITEquipmentTable[Name], "&lt;&gt;N/A") &gt; 1</f>
        <v>0</v>
      </c>
      <c r="M343" s="168" t="b">
        <f>AND(COUNTIFS(ITEquipmentTable[IPv4 Address], ITEquipmentTable[[#This Row],[IPv4 Address]]) &gt; 1, ITEquipmentTable[[#This Row],[IPv4 Address]] &lt;&gt; "DHCP",  ITEquipmentTable[[#This Row],[IPv4 Address]] &lt;&gt; "N/A")</f>
        <v>0</v>
      </c>
    </row>
    <row r="344" spans="1:13" x14ac:dyDescent="0.2">
      <c r="A344" s="168">
        <f>IF(LEN(ITSecondTable[[#This Row],[Tag]]) &gt; 0, _xlfn.XLOOKUP(ITSecondTable[[#This Row],[Tag]],StorageTable[Tag], StorageTable[In Storage - Count Total], "Err", 0, 1), 0)</f>
        <v>0</v>
      </c>
      <c r="B344" s="1">
        <f>_xlfn.LET(_xlpm.loc, ITEquipmentTable[Storage Location],
COUNTIFS(ITSecondTable[Tag], ITSecondTable[[#This Row],[Tag]], _xlpm.loc, "&lt;&gt;In Use", _xlpm.loc, "&lt;&gt;",  _xlpm.loc, "&lt;&gt;E-Waste", _xlpm.loc, "&lt;&gt;Virtual",  _xlpm.loc, "&lt;&gt;Assigned to Employee", _xlpm.loc, "&lt;&gt;Decommisioned", _xlpm.loc, "&lt;&gt;Missing")
)</f>
        <v>2</v>
      </c>
      <c r="C344" s="1">
        <f>_xlfn.LET(_xlpm.loc, ITEquipmentTable[Storage Location],
COUNTIFS(ITSecondTable[Tag], ITSecondTable[[#This Row],[Tag]], _xlpm.loc, "&lt;&gt;E-Waste", _xlpm.loc, "&lt;&gt;Virtual", _xlpm.loc, "&lt;&gt;Decommisioned")
)</f>
        <v>27</v>
      </c>
      <c r="D344" s="168">
        <f>_xlfn.LET(_xlpm.loc, ITEquipmentTable[Storage Location],
COUNTIFS(ITSecondTable[Tag], ITSecondTable[[#This Row],[Tag]], _xlpm.loc, "Missing")
)</f>
        <v>0</v>
      </c>
      <c r="E344" s="168">
        <f>_xlfn.LET(_xlpm.loc, ITEquipmentTable[Storage Location],
COUNTIFS(ITSecondTable[Tag], ITSecondTable[[#This Row],[Tag]], _xlpm.loc, "In Use") + COUNTIFS(ITSecondTable[Tag], ITSecondTable[[#This Row],[Tag]], _xlpm.loc, "Assigned to Employee")
)</f>
        <v>20</v>
      </c>
      <c r="F344" s="168">
        <f>_xlfn.LET(_xlpm.loc, ITEquipmentTable[Storage Location],
COUNTIFS(ITSecondTable[Tag], ITSecondTable[[#This Row],[Tag]], _xlpm.loc, "")
)</f>
        <v>5</v>
      </c>
      <c r="G344" s="168">
        <f>MAX(ITSecondTable[[#This Row],[SQty]] - ITSecondTable[[#This Row],[IQty]], 0)</f>
        <v>2</v>
      </c>
      <c r="H344" s="168">
        <f>MAX(ITSecondTable[[#This Row],[IQty]]-ITSecondTable[[#This Row],[SQty]], 0)</f>
        <v>0</v>
      </c>
      <c r="I344" s="151" t="str">
        <f>IFERROR(_xlfn.TEXTJOIN("~", TRUE, ITEquipmentTable[[#This Row],[Type]],ITEquipmentTable[[#This Row],[Brand]],ITEquipmentTable[[#This Row],[Model]]), "")</f>
        <v>Desktop~HP</v>
      </c>
      <c r="J344" s="151" t="b">
        <f xml:space="preserve"> _xlfn.IFNA(MATCH( ITSecondTable[[#This Row],[Tag]], StorageTable[Tag], 0)  &gt; -1, FALSE)</f>
        <v>0</v>
      </c>
      <c r="K344" s="168" t="b">
        <f>COUNTIFS(ITEquipmentTable[Serial], ITEquipmentTable[[#This Row],[Serial]], ITEquipmentTable[Serial], "&lt;&gt;N/A") &gt; 1</f>
        <v>0</v>
      </c>
      <c r="L344" s="168" t="b">
        <f>COUNTIFS(ITEquipmentTable[Name], ITEquipmentTable[[#This Row],[Name]], ITEquipmentTable[Name], "&lt;&gt;&lt;Unassigned&gt;",  ITEquipmentTable[Name], "&lt;&gt;N/A") &gt; 1</f>
        <v>0</v>
      </c>
      <c r="M344" s="168" t="b">
        <f>AND(COUNTIFS(ITEquipmentTable[IPv4 Address], ITEquipmentTable[[#This Row],[IPv4 Address]]) &gt; 1, ITEquipmentTable[[#This Row],[IPv4 Address]] &lt;&gt; "DHCP",  ITEquipmentTable[[#This Row],[IPv4 Address]] &lt;&gt; "N/A")</f>
        <v>0</v>
      </c>
    </row>
    <row r="345" spans="1:13" x14ac:dyDescent="0.2">
      <c r="A345" s="168">
        <f>IF(LEN(ITSecondTable[[#This Row],[Tag]]) &gt; 0, _xlfn.XLOOKUP(ITSecondTable[[#This Row],[Tag]],StorageTable[Tag], StorageTable[In Storage - Count Total], "Err", 0, 1), 0)</f>
        <v>0</v>
      </c>
      <c r="B345" s="1">
        <f>_xlfn.LET(_xlpm.loc, ITEquipmentTable[Storage Location],
COUNTIFS(ITSecondTable[Tag], ITSecondTable[[#This Row],[Tag]], _xlpm.loc, "&lt;&gt;In Use", _xlpm.loc, "&lt;&gt;",  _xlpm.loc, "&lt;&gt;E-Waste", _xlpm.loc, "&lt;&gt;Virtual",  _xlpm.loc, "&lt;&gt;Assigned to Employee", _xlpm.loc, "&lt;&gt;Decommisioned", _xlpm.loc, "&lt;&gt;Missing")
)</f>
        <v>2</v>
      </c>
      <c r="C345" s="1">
        <f>_xlfn.LET(_xlpm.loc, ITEquipmentTable[Storage Location],
COUNTIFS(ITSecondTable[Tag], ITSecondTable[[#This Row],[Tag]], _xlpm.loc, "&lt;&gt;E-Waste", _xlpm.loc, "&lt;&gt;Virtual", _xlpm.loc, "&lt;&gt;Decommisioned")
)</f>
        <v>27</v>
      </c>
      <c r="D345" s="168">
        <f>_xlfn.LET(_xlpm.loc, ITEquipmentTable[Storage Location],
COUNTIFS(ITSecondTable[Tag], ITSecondTable[[#This Row],[Tag]], _xlpm.loc, "Missing")
)</f>
        <v>0</v>
      </c>
      <c r="E345" s="168">
        <f>_xlfn.LET(_xlpm.loc, ITEquipmentTable[Storage Location],
COUNTIFS(ITSecondTable[Tag], ITSecondTable[[#This Row],[Tag]], _xlpm.loc, "In Use") + COUNTIFS(ITSecondTable[Tag], ITSecondTable[[#This Row],[Tag]], _xlpm.loc, "Assigned to Employee")
)</f>
        <v>20</v>
      </c>
      <c r="F345" s="168">
        <f>_xlfn.LET(_xlpm.loc, ITEquipmentTable[Storage Location],
COUNTIFS(ITSecondTable[Tag], ITSecondTable[[#This Row],[Tag]], _xlpm.loc, "")
)</f>
        <v>5</v>
      </c>
      <c r="G345" s="168">
        <f>MAX(ITSecondTable[[#This Row],[SQty]] - ITSecondTable[[#This Row],[IQty]], 0)</f>
        <v>2</v>
      </c>
      <c r="H345" s="168">
        <f>MAX(ITSecondTable[[#This Row],[IQty]]-ITSecondTable[[#This Row],[SQty]], 0)</f>
        <v>0</v>
      </c>
      <c r="I345" s="151" t="str">
        <f>IFERROR(_xlfn.TEXTJOIN("~", TRUE, ITEquipmentTable[[#This Row],[Type]],ITEquipmentTable[[#This Row],[Brand]],ITEquipmentTable[[#This Row],[Model]]), "")</f>
        <v>Desktop~HP</v>
      </c>
      <c r="J345" s="151" t="b">
        <f xml:space="preserve"> _xlfn.IFNA(MATCH( ITSecondTable[[#This Row],[Tag]], StorageTable[Tag], 0)  &gt; -1, FALSE)</f>
        <v>0</v>
      </c>
      <c r="K345" s="168" t="b">
        <f>COUNTIFS(ITEquipmentTable[Serial], ITEquipmentTable[[#This Row],[Serial]], ITEquipmentTable[Serial], "&lt;&gt;N/A") &gt; 1</f>
        <v>0</v>
      </c>
      <c r="L345" s="168" t="b">
        <f>COUNTIFS(ITEquipmentTable[Name], ITEquipmentTable[[#This Row],[Name]], ITEquipmentTable[Name], "&lt;&gt;&lt;Unassigned&gt;",  ITEquipmentTable[Name], "&lt;&gt;N/A") &gt; 1</f>
        <v>0</v>
      </c>
      <c r="M345" s="168" t="b">
        <f>AND(COUNTIFS(ITEquipmentTable[IPv4 Address], ITEquipmentTable[[#This Row],[IPv4 Address]]) &gt; 1, ITEquipmentTable[[#This Row],[IPv4 Address]] &lt;&gt; "DHCP",  ITEquipmentTable[[#This Row],[IPv4 Address]] &lt;&gt; "N/A")</f>
        <v>0</v>
      </c>
    </row>
    <row r="346" spans="1:13" x14ac:dyDescent="0.2">
      <c r="A346" s="168">
        <f>IF(LEN(ITSecondTable[[#This Row],[Tag]]) &gt; 0, _xlfn.XLOOKUP(ITSecondTable[[#This Row],[Tag]],StorageTable[Tag], StorageTable[In Storage - Count Total], "Err", 0, 1), 0)</f>
        <v>0</v>
      </c>
      <c r="B346" s="1">
        <f>_xlfn.LET(_xlpm.loc, ITEquipmentTable[Storage Location],
COUNTIFS(ITSecondTable[Tag], ITSecondTable[[#This Row],[Tag]], _xlpm.loc, "&lt;&gt;In Use", _xlpm.loc, "&lt;&gt;",  _xlpm.loc, "&lt;&gt;E-Waste", _xlpm.loc, "&lt;&gt;Virtual",  _xlpm.loc, "&lt;&gt;Assigned to Employee", _xlpm.loc, "&lt;&gt;Decommisioned", _xlpm.loc, "&lt;&gt;Missing")
)</f>
        <v>2</v>
      </c>
      <c r="C346" s="1">
        <f>_xlfn.LET(_xlpm.loc, ITEquipmentTable[Storage Location],
COUNTIFS(ITSecondTable[Tag], ITSecondTable[[#This Row],[Tag]], _xlpm.loc, "&lt;&gt;E-Waste", _xlpm.loc, "&lt;&gt;Virtual", _xlpm.loc, "&lt;&gt;Decommisioned")
)</f>
        <v>27</v>
      </c>
      <c r="D346" s="168">
        <f>_xlfn.LET(_xlpm.loc, ITEquipmentTable[Storage Location],
COUNTIFS(ITSecondTable[Tag], ITSecondTable[[#This Row],[Tag]], _xlpm.loc, "Missing")
)</f>
        <v>0</v>
      </c>
      <c r="E346" s="168">
        <f>_xlfn.LET(_xlpm.loc, ITEquipmentTable[Storage Location],
COUNTIFS(ITSecondTable[Tag], ITSecondTable[[#This Row],[Tag]], _xlpm.loc, "In Use") + COUNTIFS(ITSecondTable[Tag], ITSecondTable[[#This Row],[Tag]], _xlpm.loc, "Assigned to Employee")
)</f>
        <v>20</v>
      </c>
      <c r="F346" s="168">
        <f>_xlfn.LET(_xlpm.loc, ITEquipmentTable[Storage Location],
COUNTIFS(ITSecondTable[Tag], ITSecondTable[[#This Row],[Tag]], _xlpm.loc, "")
)</f>
        <v>5</v>
      </c>
      <c r="G346" s="168">
        <f>MAX(ITSecondTable[[#This Row],[SQty]] - ITSecondTable[[#This Row],[IQty]], 0)</f>
        <v>2</v>
      </c>
      <c r="H346" s="168">
        <f>MAX(ITSecondTable[[#This Row],[IQty]]-ITSecondTable[[#This Row],[SQty]], 0)</f>
        <v>0</v>
      </c>
      <c r="I346" s="151" t="str">
        <f>IFERROR(_xlfn.TEXTJOIN("~", TRUE, ITEquipmentTable[[#This Row],[Type]],ITEquipmentTable[[#This Row],[Brand]],ITEquipmentTable[[#This Row],[Model]]), "")</f>
        <v>Desktop~HP</v>
      </c>
      <c r="J346" s="151" t="b">
        <f xml:space="preserve"> _xlfn.IFNA(MATCH( ITSecondTable[[#This Row],[Tag]], StorageTable[Tag], 0)  &gt; -1, FALSE)</f>
        <v>0</v>
      </c>
      <c r="K346" s="168" t="b">
        <f>COUNTIFS(ITEquipmentTable[Serial], ITEquipmentTable[[#This Row],[Serial]], ITEquipmentTable[Serial], "&lt;&gt;N/A") &gt; 1</f>
        <v>0</v>
      </c>
      <c r="L346" s="168" t="b">
        <f>COUNTIFS(ITEquipmentTable[Name], ITEquipmentTable[[#This Row],[Name]], ITEquipmentTable[Name], "&lt;&gt;&lt;Unassigned&gt;",  ITEquipmentTable[Name], "&lt;&gt;N/A") &gt; 1</f>
        <v>0</v>
      </c>
      <c r="M346" s="168" t="b">
        <f>AND(COUNTIFS(ITEquipmentTable[IPv4 Address], ITEquipmentTable[[#This Row],[IPv4 Address]]) &gt; 1, ITEquipmentTable[[#This Row],[IPv4 Address]] &lt;&gt; "DHCP",  ITEquipmentTable[[#This Row],[IPv4 Address]] &lt;&gt; "N/A")</f>
        <v>0</v>
      </c>
    </row>
    <row r="347" spans="1:13" x14ac:dyDescent="0.2">
      <c r="A347" s="168">
        <f>IF(LEN(ITSecondTable[[#This Row],[Tag]]) &gt; 0, _xlfn.XLOOKUP(ITSecondTable[[#This Row],[Tag]],StorageTable[Tag], StorageTable[In Storage - Count Total], "Err", 0, 1), 0)</f>
        <v>10</v>
      </c>
      <c r="B347" s="1">
        <f>_xlfn.LET(_xlpm.loc, ITEquipmentTable[Storage Location],
COUNTIFS(ITSecondTable[Tag], ITSecondTable[[#This Row],[Tag]], _xlpm.loc, "&lt;&gt;In Use", _xlpm.loc, "&lt;&gt;",  _xlpm.loc, "&lt;&gt;E-Waste", _xlpm.loc, "&lt;&gt;Virtual",  _xlpm.loc, "&lt;&gt;Assigned to Employee", _xlpm.loc, "&lt;&gt;Decommisioned", _xlpm.loc, "&lt;&gt;Missing")
)</f>
        <v>16</v>
      </c>
      <c r="C347" s="1">
        <f>_xlfn.LET(_xlpm.loc, ITEquipmentTable[Storage Location],
COUNTIFS(ITSecondTable[Tag], ITSecondTable[[#This Row],[Tag]], _xlpm.loc, "&lt;&gt;E-Waste", _xlpm.loc, "&lt;&gt;Virtual", _xlpm.loc, "&lt;&gt;Decommisioned")
)</f>
        <v>48</v>
      </c>
      <c r="D347" s="168">
        <f>_xlfn.LET(_xlpm.loc, ITEquipmentTable[Storage Location],
COUNTIFS(ITSecondTable[Tag], ITSecondTable[[#This Row],[Tag]], _xlpm.loc, "Missing")
)</f>
        <v>0</v>
      </c>
      <c r="E347" s="168">
        <f>_xlfn.LET(_xlpm.loc, ITEquipmentTable[Storage Location],
COUNTIFS(ITSecondTable[Tag], ITSecondTable[[#This Row],[Tag]], _xlpm.loc, "In Use") + COUNTIFS(ITSecondTable[Tag], ITSecondTable[[#This Row],[Tag]], _xlpm.loc, "Assigned to Employee")
)</f>
        <v>29</v>
      </c>
      <c r="F347" s="168">
        <f>_xlfn.LET(_xlpm.loc, ITEquipmentTable[Storage Location],
COUNTIFS(ITSecondTable[Tag], ITSecondTable[[#This Row],[Tag]], _xlpm.loc, "")
)</f>
        <v>3</v>
      </c>
      <c r="G347" s="168">
        <f>MAX(ITSecondTable[[#This Row],[SQty]] - ITSecondTable[[#This Row],[IQty]], 0)</f>
        <v>6</v>
      </c>
      <c r="H347" s="168">
        <f>MAX(ITSecondTable[[#This Row],[IQty]]-ITSecondTable[[#This Row],[SQty]], 0)</f>
        <v>0</v>
      </c>
      <c r="I347" s="151" t="str">
        <f>IFERROR(_xlfn.TEXTJOIN("~", TRUE, ITEquipmentTable[[#This Row],[Type]],ITEquipmentTable[[#This Row],[Brand]],ITEquipmentTable[[#This Row],[Model]]), "")</f>
        <v>Desktop~HP~HP ProDesk 600 G5 DM</v>
      </c>
      <c r="J347" s="151" t="b">
        <f xml:space="preserve"> _xlfn.IFNA(MATCH( ITSecondTable[[#This Row],[Tag]], StorageTable[Tag], 0)  &gt; -1, FALSE)</f>
        <v>0</v>
      </c>
      <c r="K347" s="168" t="b">
        <f>COUNTIFS(ITEquipmentTable[Serial], ITEquipmentTable[[#This Row],[Serial]], ITEquipmentTable[Serial], "&lt;&gt;N/A") &gt; 1</f>
        <v>0</v>
      </c>
      <c r="L347" s="168" t="b">
        <f>COUNTIFS(ITEquipmentTable[Name], ITEquipmentTable[[#This Row],[Name]], ITEquipmentTable[Name], "&lt;&gt;&lt;Unassigned&gt;",  ITEquipmentTable[Name], "&lt;&gt;N/A") &gt; 1</f>
        <v>0</v>
      </c>
      <c r="M347" s="168" t="b">
        <f>AND(COUNTIFS(ITEquipmentTable[IPv4 Address], ITEquipmentTable[[#This Row],[IPv4 Address]]) &gt; 1, ITEquipmentTable[[#This Row],[IPv4 Address]] &lt;&gt; "DHCP",  ITEquipmentTable[[#This Row],[IPv4 Address]] &lt;&gt; "N/A")</f>
        <v>0</v>
      </c>
    </row>
    <row r="348" spans="1:13" x14ac:dyDescent="0.2">
      <c r="A348" s="168">
        <f>IF(LEN(ITSecondTable[[#This Row],[Tag]]) &gt; 0, _xlfn.XLOOKUP(ITSecondTable[[#This Row],[Tag]],StorageTable[Tag], StorageTable[In Storage - Count Total], "Err", 0, 1), 0)</f>
        <v>0</v>
      </c>
      <c r="B348" s="1">
        <f>_xlfn.LET(_xlpm.loc, ITEquipmentTable[Storage Location],
COUNTIFS(ITSecondTable[Tag], ITSecondTable[[#This Row],[Tag]], _xlpm.loc, "&lt;&gt;In Use", _xlpm.loc, "&lt;&gt;",  _xlpm.loc, "&lt;&gt;E-Waste", _xlpm.loc, "&lt;&gt;Virtual",  _xlpm.loc, "&lt;&gt;Assigned to Employee", _xlpm.loc, "&lt;&gt;Decommisioned", _xlpm.loc, "&lt;&gt;Missing")
)</f>
        <v>0</v>
      </c>
      <c r="C348" s="1">
        <f>_xlfn.LET(_xlpm.loc, ITEquipmentTable[Storage Location],
COUNTIFS(ITSecondTable[Tag], ITSecondTable[[#This Row],[Tag]], _xlpm.loc, "&lt;&gt;E-Waste", _xlpm.loc, "&lt;&gt;Virtual", _xlpm.loc, "&lt;&gt;Decommisioned")
)</f>
        <v>21</v>
      </c>
      <c r="D348" s="168">
        <f>_xlfn.LET(_xlpm.loc, ITEquipmentTable[Storage Location],
COUNTIFS(ITSecondTable[Tag], ITSecondTable[[#This Row],[Tag]], _xlpm.loc, "Missing")
)</f>
        <v>0</v>
      </c>
      <c r="E348" s="168">
        <f>_xlfn.LET(_xlpm.loc, ITEquipmentTable[Storage Location],
COUNTIFS(ITSecondTable[Tag], ITSecondTable[[#This Row],[Tag]], _xlpm.loc, "In Use") + COUNTIFS(ITSecondTable[Tag], ITSecondTable[[#This Row],[Tag]], _xlpm.loc, "Assigned to Employee")
)</f>
        <v>3</v>
      </c>
      <c r="F348" s="168">
        <f>_xlfn.LET(_xlpm.loc, ITEquipmentTable[Storage Location],
COUNTIFS(ITSecondTable[Tag], ITSecondTable[[#This Row],[Tag]], _xlpm.loc, "")
)</f>
        <v>18</v>
      </c>
      <c r="G348" s="168">
        <f>MAX(ITSecondTable[[#This Row],[SQty]] - ITSecondTable[[#This Row],[IQty]], 0)</f>
        <v>0</v>
      </c>
      <c r="H348" s="168">
        <f>MAX(ITSecondTable[[#This Row],[IQty]]-ITSecondTable[[#This Row],[SQty]], 0)</f>
        <v>0</v>
      </c>
      <c r="I348" s="151" t="str">
        <f>IFERROR(_xlfn.TEXTJOIN("~", TRUE, ITEquipmentTable[[#This Row],[Type]],ITEquipmentTable[[#This Row],[Brand]],ITEquipmentTable[[#This Row],[Model]]), "")</f>
        <v/>
      </c>
      <c r="J348" s="151" t="b">
        <f xml:space="preserve"> _xlfn.IFNA(MATCH( ITSecondTable[[#This Row],[Tag]], StorageTable[Tag], 0)  &gt; -1, FALSE)</f>
        <v>0</v>
      </c>
      <c r="K348" s="168" t="b">
        <f>COUNTIFS(ITEquipmentTable[Serial], ITEquipmentTable[[#This Row],[Serial]], ITEquipmentTable[Serial], "&lt;&gt;N/A") &gt; 1</f>
        <v>0</v>
      </c>
      <c r="L348" s="168" t="b">
        <f>COUNTIFS(ITEquipmentTable[Name], ITEquipmentTable[[#This Row],[Name]], ITEquipmentTable[Name], "&lt;&gt;&lt;Unassigned&gt;",  ITEquipmentTable[Name], "&lt;&gt;N/A") &gt; 1</f>
        <v>0</v>
      </c>
      <c r="M348" s="168" t="b">
        <f>AND(COUNTIFS(ITEquipmentTable[IPv4 Address], ITEquipmentTable[[#This Row],[IPv4 Address]]) &gt; 1, ITEquipmentTable[[#This Row],[IPv4 Address]] &lt;&gt; "DHCP",  ITEquipmentTable[[#This Row],[IPv4 Address]] &lt;&gt; "N/A")</f>
        <v>0</v>
      </c>
    </row>
    <row r="349" spans="1:13" x14ac:dyDescent="0.2">
      <c r="A349" s="168">
        <f>IF(LEN(ITSecondTable[[#This Row],[Tag]]) &gt; 0, _xlfn.XLOOKUP(ITSecondTable[[#This Row],[Tag]],StorageTable[Tag], StorageTable[In Storage - Count Total], "Err", 0, 1), 0)</f>
        <v>0</v>
      </c>
      <c r="B349" s="1">
        <f>_xlfn.LET(_xlpm.loc, ITEquipmentTable[Storage Location],
COUNTIFS(ITSecondTable[Tag], ITSecondTable[[#This Row],[Tag]], _xlpm.loc, "&lt;&gt;In Use", _xlpm.loc, "&lt;&gt;",  _xlpm.loc, "&lt;&gt;E-Waste", _xlpm.loc, "&lt;&gt;Virtual",  _xlpm.loc, "&lt;&gt;Assigned to Employee", _xlpm.loc, "&lt;&gt;Decommisioned", _xlpm.loc, "&lt;&gt;Missing")
)</f>
        <v>2</v>
      </c>
      <c r="C349" s="1">
        <f>_xlfn.LET(_xlpm.loc, ITEquipmentTable[Storage Location],
COUNTIFS(ITSecondTable[Tag], ITSecondTable[[#This Row],[Tag]], _xlpm.loc, "&lt;&gt;E-Waste", _xlpm.loc, "&lt;&gt;Virtual", _xlpm.loc, "&lt;&gt;Decommisioned")
)</f>
        <v>27</v>
      </c>
      <c r="D349" s="168">
        <f>_xlfn.LET(_xlpm.loc, ITEquipmentTable[Storage Location],
COUNTIFS(ITSecondTable[Tag], ITSecondTable[[#This Row],[Tag]], _xlpm.loc, "Missing")
)</f>
        <v>0</v>
      </c>
      <c r="E349" s="168">
        <f>_xlfn.LET(_xlpm.loc, ITEquipmentTable[Storage Location],
COUNTIFS(ITSecondTable[Tag], ITSecondTable[[#This Row],[Tag]], _xlpm.loc, "In Use") + COUNTIFS(ITSecondTable[Tag], ITSecondTable[[#This Row],[Tag]], _xlpm.loc, "Assigned to Employee")
)</f>
        <v>20</v>
      </c>
      <c r="F349" s="168">
        <f>_xlfn.LET(_xlpm.loc, ITEquipmentTable[Storage Location],
COUNTIFS(ITSecondTable[Tag], ITSecondTable[[#This Row],[Tag]], _xlpm.loc, "")
)</f>
        <v>5</v>
      </c>
      <c r="G349" s="168">
        <f>MAX(ITSecondTable[[#This Row],[SQty]] - ITSecondTable[[#This Row],[IQty]], 0)</f>
        <v>2</v>
      </c>
      <c r="H349" s="168">
        <f>MAX(ITSecondTable[[#This Row],[IQty]]-ITSecondTable[[#This Row],[SQty]], 0)</f>
        <v>0</v>
      </c>
      <c r="I349" s="151" t="str">
        <f>IFERROR(_xlfn.TEXTJOIN("~", TRUE, ITEquipmentTable[[#This Row],[Type]],ITEquipmentTable[[#This Row],[Brand]],ITEquipmentTable[[#This Row],[Model]]), "")</f>
        <v>Desktop~HP</v>
      </c>
      <c r="J349" s="151" t="b">
        <f xml:space="preserve"> _xlfn.IFNA(MATCH( ITSecondTable[[#This Row],[Tag]], StorageTable[Tag], 0)  &gt; -1, FALSE)</f>
        <v>0</v>
      </c>
      <c r="K349" s="168" t="b">
        <f>COUNTIFS(ITEquipmentTable[Serial], ITEquipmentTable[[#This Row],[Serial]], ITEquipmentTable[Serial], "&lt;&gt;N/A") &gt; 1</f>
        <v>0</v>
      </c>
      <c r="L349" s="168" t="b">
        <f>COUNTIFS(ITEquipmentTable[Name], ITEquipmentTable[[#This Row],[Name]], ITEquipmentTable[Name], "&lt;&gt;&lt;Unassigned&gt;",  ITEquipmentTable[Name], "&lt;&gt;N/A") &gt; 1</f>
        <v>0</v>
      </c>
      <c r="M349" s="168" t="b">
        <f>AND(COUNTIFS(ITEquipmentTable[IPv4 Address], ITEquipmentTable[[#This Row],[IPv4 Address]]) &gt; 1, ITEquipmentTable[[#This Row],[IPv4 Address]] &lt;&gt; "DHCP",  ITEquipmentTable[[#This Row],[IPv4 Address]] &lt;&gt; "N/A")</f>
        <v>0</v>
      </c>
    </row>
    <row r="350" spans="1:13" x14ac:dyDescent="0.2">
      <c r="A350" s="168">
        <f>IF(LEN(ITSecondTable[[#This Row],[Tag]]) &gt; 0, _xlfn.XLOOKUP(ITSecondTable[[#This Row],[Tag]],StorageTable[Tag], StorageTable[In Storage - Count Total], "Err", 0, 1), 0)</f>
        <v>0</v>
      </c>
      <c r="B350" s="1">
        <f>_xlfn.LET(_xlpm.loc, ITEquipmentTable[Storage Location],
COUNTIFS(ITSecondTable[Tag], ITSecondTable[[#This Row],[Tag]], _xlpm.loc, "&lt;&gt;In Use", _xlpm.loc, "&lt;&gt;",  _xlpm.loc, "&lt;&gt;E-Waste", _xlpm.loc, "&lt;&gt;Virtual",  _xlpm.loc, "&lt;&gt;Assigned to Employee", _xlpm.loc, "&lt;&gt;Decommisioned", _xlpm.loc, "&lt;&gt;Missing")
)</f>
        <v>2</v>
      </c>
      <c r="C350" s="1">
        <f>_xlfn.LET(_xlpm.loc, ITEquipmentTable[Storage Location],
COUNTIFS(ITSecondTable[Tag], ITSecondTable[[#This Row],[Tag]], _xlpm.loc, "&lt;&gt;E-Waste", _xlpm.loc, "&lt;&gt;Virtual", _xlpm.loc, "&lt;&gt;Decommisioned")
)</f>
        <v>27</v>
      </c>
      <c r="D350" s="168">
        <f>_xlfn.LET(_xlpm.loc, ITEquipmentTable[Storage Location],
COUNTIFS(ITSecondTable[Tag], ITSecondTable[[#This Row],[Tag]], _xlpm.loc, "Missing")
)</f>
        <v>0</v>
      </c>
      <c r="E350" s="168">
        <f>_xlfn.LET(_xlpm.loc, ITEquipmentTable[Storage Location],
COUNTIFS(ITSecondTable[Tag], ITSecondTable[[#This Row],[Tag]], _xlpm.loc, "In Use") + COUNTIFS(ITSecondTable[Tag], ITSecondTable[[#This Row],[Tag]], _xlpm.loc, "Assigned to Employee")
)</f>
        <v>20</v>
      </c>
      <c r="F350" s="168">
        <f>_xlfn.LET(_xlpm.loc, ITEquipmentTable[Storage Location],
COUNTIFS(ITSecondTable[Tag], ITSecondTable[[#This Row],[Tag]], _xlpm.loc, "")
)</f>
        <v>5</v>
      </c>
      <c r="G350" s="168">
        <f>MAX(ITSecondTable[[#This Row],[SQty]] - ITSecondTable[[#This Row],[IQty]], 0)</f>
        <v>2</v>
      </c>
      <c r="H350" s="168">
        <f>MAX(ITSecondTable[[#This Row],[IQty]]-ITSecondTable[[#This Row],[SQty]], 0)</f>
        <v>0</v>
      </c>
      <c r="I350" s="151" t="str">
        <f>IFERROR(_xlfn.TEXTJOIN("~", TRUE, ITEquipmentTable[[#This Row],[Type]],ITEquipmentTable[[#This Row],[Brand]],ITEquipmentTable[[#This Row],[Model]]), "")</f>
        <v>Desktop~HP</v>
      </c>
      <c r="J350" s="151" t="b">
        <f xml:space="preserve"> _xlfn.IFNA(MATCH( ITSecondTable[[#This Row],[Tag]], StorageTable[Tag], 0)  &gt; -1, FALSE)</f>
        <v>0</v>
      </c>
      <c r="K350" s="168" t="b">
        <f>COUNTIFS(ITEquipmentTable[Serial], ITEquipmentTable[[#This Row],[Serial]], ITEquipmentTable[Serial], "&lt;&gt;N/A") &gt; 1</f>
        <v>0</v>
      </c>
      <c r="L350" s="168" t="b">
        <f>COUNTIFS(ITEquipmentTable[Name], ITEquipmentTable[[#This Row],[Name]], ITEquipmentTable[Name], "&lt;&gt;&lt;Unassigned&gt;",  ITEquipmentTable[Name], "&lt;&gt;N/A") &gt; 1</f>
        <v>0</v>
      </c>
      <c r="M350" s="168" t="b">
        <f>AND(COUNTIFS(ITEquipmentTable[IPv4 Address], ITEquipmentTable[[#This Row],[IPv4 Address]]) &gt; 1, ITEquipmentTable[[#This Row],[IPv4 Address]] &lt;&gt; "DHCP",  ITEquipmentTable[[#This Row],[IPv4 Address]] &lt;&gt; "N/A")</f>
        <v>0</v>
      </c>
    </row>
    <row r="351" spans="1:13" x14ac:dyDescent="0.2">
      <c r="A351" s="168">
        <f>IF(LEN(ITSecondTable[[#This Row],[Tag]]) &gt; 0, _xlfn.XLOOKUP(ITSecondTable[[#This Row],[Tag]],StorageTable[Tag], StorageTable[In Storage - Count Total], "Err", 0, 1), 0)</f>
        <v>0</v>
      </c>
      <c r="B351" s="1">
        <f>_xlfn.LET(_xlpm.loc, ITEquipmentTable[Storage Location],
COUNTIFS(ITSecondTable[Tag], ITSecondTable[[#This Row],[Tag]], _xlpm.loc, "&lt;&gt;In Use", _xlpm.loc, "&lt;&gt;",  _xlpm.loc, "&lt;&gt;E-Waste", _xlpm.loc, "&lt;&gt;Virtual",  _xlpm.loc, "&lt;&gt;Assigned to Employee", _xlpm.loc, "&lt;&gt;Decommisioned", _xlpm.loc, "&lt;&gt;Missing")
)</f>
        <v>0</v>
      </c>
      <c r="C351" s="1">
        <f>_xlfn.LET(_xlpm.loc, ITEquipmentTable[Storage Location],
COUNTIFS(ITSecondTable[Tag], ITSecondTable[[#This Row],[Tag]], _xlpm.loc, "&lt;&gt;E-Waste", _xlpm.loc, "&lt;&gt;Virtual", _xlpm.loc, "&lt;&gt;Decommisioned")
)</f>
        <v>32</v>
      </c>
      <c r="D351" s="168">
        <f>_xlfn.LET(_xlpm.loc, ITEquipmentTable[Storage Location],
COUNTIFS(ITSecondTable[Tag], ITSecondTable[[#This Row],[Tag]], _xlpm.loc, "Missing")
)</f>
        <v>0</v>
      </c>
      <c r="E351" s="168">
        <f>_xlfn.LET(_xlpm.loc, ITEquipmentTable[Storage Location],
COUNTIFS(ITSecondTable[Tag], ITSecondTable[[#This Row],[Tag]], _xlpm.loc, "In Use") + COUNTIFS(ITSecondTable[Tag], ITSecondTable[[#This Row],[Tag]], _xlpm.loc, "Assigned to Employee")
)</f>
        <v>26</v>
      </c>
      <c r="F351" s="168">
        <f>_xlfn.LET(_xlpm.loc, ITEquipmentTable[Storage Location],
COUNTIFS(ITSecondTable[Tag], ITSecondTable[[#This Row],[Tag]], _xlpm.loc, "")
)</f>
        <v>6</v>
      </c>
      <c r="G351" s="168">
        <f>MAX(ITSecondTable[[#This Row],[SQty]] - ITSecondTable[[#This Row],[IQty]], 0)</f>
        <v>0</v>
      </c>
      <c r="H351" s="168">
        <f>MAX(ITSecondTable[[#This Row],[IQty]]-ITSecondTable[[#This Row],[SQty]], 0)</f>
        <v>0</v>
      </c>
      <c r="I351" s="151" t="str">
        <f>IFERROR(_xlfn.TEXTJOIN("~", TRUE, ITEquipmentTable[[#This Row],[Type]],ITEquipmentTable[[#This Row],[Brand]],ITEquipmentTable[[#This Row],[Model]]), "")</f>
        <v>Desktop</v>
      </c>
      <c r="J351" s="151" t="b">
        <f xml:space="preserve"> _xlfn.IFNA(MATCH( ITSecondTable[[#This Row],[Tag]], StorageTable[Tag], 0)  &gt; -1, FALSE)</f>
        <v>1</v>
      </c>
      <c r="K351" s="168" t="b">
        <f>COUNTIFS(ITEquipmentTable[Serial], ITEquipmentTable[[#This Row],[Serial]], ITEquipmentTable[Serial], "&lt;&gt;N/A") &gt; 1</f>
        <v>0</v>
      </c>
      <c r="L351" s="168" t="b">
        <f>COUNTIFS(ITEquipmentTable[Name], ITEquipmentTable[[#This Row],[Name]], ITEquipmentTable[Name], "&lt;&gt;&lt;Unassigned&gt;",  ITEquipmentTable[Name], "&lt;&gt;N/A") &gt; 1</f>
        <v>0</v>
      </c>
      <c r="M351" s="168" t="b">
        <f>AND(COUNTIFS(ITEquipmentTable[IPv4 Address], ITEquipmentTable[[#This Row],[IPv4 Address]]) &gt; 1, ITEquipmentTable[[#This Row],[IPv4 Address]] &lt;&gt; "DHCP",  ITEquipmentTable[[#This Row],[IPv4 Address]] &lt;&gt; "N/A")</f>
        <v>0</v>
      </c>
    </row>
    <row r="352" spans="1:13" x14ac:dyDescent="0.2">
      <c r="A352" s="168">
        <f>IF(LEN(ITSecondTable[[#This Row],[Tag]]) &gt; 0, _xlfn.XLOOKUP(ITSecondTable[[#This Row],[Tag]],StorageTable[Tag], StorageTable[In Storage - Count Total], "Err", 0, 1), 0)</f>
        <v>0</v>
      </c>
      <c r="B352" s="1">
        <f>_xlfn.LET(_xlpm.loc, ITEquipmentTable[Storage Location],
COUNTIFS(ITSecondTable[Tag], ITSecondTable[[#This Row],[Tag]], _xlpm.loc, "&lt;&gt;In Use", _xlpm.loc, "&lt;&gt;",  _xlpm.loc, "&lt;&gt;E-Waste", _xlpm.loc, "&lt;&gt;Virtual",  _xlpm.loc, "&lt;&gt;Assigned to Employee", _xlpm.loc, "&lt;&gt;Decommisioned", _xlpm.loc, "&lt;&gt;Missing")
)</f>
        <v>2</v>
      </c>
      <c r="C352" s="1">
        <f>_xlfn.LET(_xlpm.loc, ITEquipmentTable[Storage Location],
COUNTIFS(ITSecondTable[Tag], ITSecondTable[[#This Row],[Tag]], _xlpm.loc, "&lt;&gt;E-Waste", _xlpm.loc, "&lt;&gt;Virtual", _xlpm.loc, "&lt;&gt;Decommisioned")
)</f>
        <v>27</v>
      </c>
      <c r="D352" s="168">
        <f>_xlfn.LET(_xlpm.loc, ITEquipmentTable[Storage Location],
COUNTIFS(ITSecondTable[Tag], ITSecondTable[[#This Row],[Tag]], _xlpm.loc, "Missing")
)</f>
        <v>0</v>
      </c>
      <c r="E352" s="168">
        <f>_xlfn.LET(_xlpm.loc, ITEquipmentTable[Storage Location],
COUNTIFS(ITSecondTable[Tag], ITSecondTable[[#This Row],[Tag]], _xlpm.loc, "In Use") + COUNTIFS(ITSecondTable[Tag], ITSecondTable[[#This Row],[Tag]], _xlpm.loc, "Assigned to Employee")
)</f>
        <v>20</v>
      </c>
      <c r="F352" s="168">
        <f>_xlfn.LET(_xlpm.loc, ITEquipmentTable[Storage Location],
COUNTIFS(ITSecondTable[Tag], ITSecondTable[[#This Row],[Tag]], _xlpm.loc, "")
)</f>
        <v>5</v>
      </c>
      <c r="G352" s="168">
        <f>MAX(ITSecondTable[[#This Row],[SQty]] - ITSecondTable[[#This Row],[IQty]], 0)</f>
        <v>2</v>
      </c>
      <c r="H352" s="168">
        <f>MAX(ITSecondTable[[#This Row],[IQty]]-ITSecondTable[[#This Row],[SQty]], 0)</f>
        <v>0</v>
      </c>
      <c r="I352" s="151" t="str">
        <f>IFERROR(_xlfn.TEXTJOIN("~", TRUE, ITEquipmentTable[[#This Row],[Type]],ITEquipmentTable[[#This Row],[Brand]],ITEquipmentTable[[#This Row],[Model]]), "")</f>
        <v>Desktop~HP</v>
      </c>
      <c r="J352" s="151" t="b">
        <f xml:space="preserve"> _xlfn.IFNA(MATCH( ITSecondTable[[#This Row],[Tag]], StorageTable[Tag], 0)  &gt; -1, FALSE)</f>
        <v>0</v>
      </c>
      <c r="K352" s="168" t="b">
        <f>COUNTIFS(ITEquipmentTable[Serial], ITEquipmentTable[[#This Row],[Serial]], ITEquipmentTable[Serial], "&lt;&gt;N/A") &gt; 1</f>
        <v>0</v>
      </c>
      <c r="L352" s="168" t="b">
        <f>COUNTIFS(ITEquipmentTable[Name], ITEquipmentTable[[#This Row],[Name]], ITEquipmentTable[Name], "&lt;&gt;&lt;Unassigned&gt;",  ITEquipmentTable[Name], "&lt;&gt;N/A") &gt; 1</f>
        <v>0</v>
      </c>
      <c r="M352" s="168" t="b">
        <f>AND(COUNTIFS(ITEquipmentTable[IPv4 Address], ITEquipmentTable[[#This Row],[IPv4 Address]]) &gt; 1, ITEquipmentTable[[#This Row],[IPv4 Address]] &lt;&gt; "DHCP",  ITEquipmentTable[[#This Row],[IPv4 Address]] &lt;&gt; "N/A")</f>
        <v>0</v>
      </c>
    </row>
    <row r="353" spans="1:13" x14ac:dyDescent="0.2">
      <c r="A353" s="168">
        <f>IF(LEN(ITSecondTable[[#This Row],[Tag]]) &gt; 0, _xlfn.XLOOKUP(ITSecondTable[[#This Row],[Tag]],StorageTable[Tag], StorageTable[In Storage - Count Total], "Err", 0, 1), 0)</f>
        <v>6</v>
      </c>
      <c r="B353" s="1">
        <f>_xlfn.LET(_xlpm.loc, ITEquipmentTable[Storage Location],
COUNTIFS(ITSecondTable[Tag], ITSecondTable[[#This Row],[Tag]], _xlpm.loc, "&lt;&gt;In Use", _xlpm.loc, "&lt;&gt;",  _xlpm.loc, "&lt;&gt;E-Waste", _xlpm.loc, "&lt;&gt;Virtual",  _xlpm.loc, "&lt;&gt;Assigned to Employee", _xlpm.loc, "&lt;&gt;Decommisioned", _xlpm.loc, "&lt;&gt;Missing")
)</f>
        <v>17</v>
      </c>
      <c r="C353" s="1">
        <f>_xlfn.LET(_xlpm.loc, ITEquipmentTable[Storage Location],
COUNTIFS(ITSecondTable[Tag], ITSecondTable[[#This Row],[Tag]], _xlpm.loc, "&lt;&gt;E-Waste", _xlpm.loc, "&lt;&gt;Virtual", _xlpm.loc, "&lt;&gt;Decommisioned")
)</f>
        <v>64</v>
      </c>
      <c r="D353" s="168">
        <f>_xlfn.LET(_xlpm.loc, ITEquipmentTable[Storage Location],
COUNTIFS(ITSecondTable[Tag], ITSecondTable[[#This Row],[Tag]], _xlpm.loc, "Missing")
)</f>
        <v>0</v>
      </c>
      <c r="E353" s="168">
        <f>_xlfn.LET(_xlpm.loc, ITEquipmentTable[Storage Location],
COUNTIFS(ITSecondTable[Tag], ITSecondTable[[#This Row],[Tag]], _xlpm.loc, "In Use") + COUNTIFS(ITSecondTable[Tag], ITSecondTable[[#This Row],[Tag]], _xlpm.loc, "Assigned to Employee")
)</f>
        <v>30</v>
      </c>
      <c r="F353" s="168">
        <f>_xlfn.LET(_xlpm.loc, ITEquipmentTable[Storage Location],
COUNTIFS(ITSecondTable[Tag], ITSecondTable[[#This Row],[Tag]], _xlpm.loc, "")
)</f>
        <v>17</v>
      </c>
      <c r="G353" s="168">
        <f>MAX(ITSecondTable[[#This Row],[SQty]] - ITSecondTable[[#This Row],[IQty]], 0)</f>
        <v>11</v>
      </c>
      <c r="H353" s="168">
        <f>MAX(ITSecondTable[[#This Row],[IQty]]-ITSecondTable[[#This Row],[SQty]], 0)</f>
        <v>0</v>
      </c>
      <c r="I353" s="151" t="str">
        <f>IFERROR(_xlfn.TEXTJOIN("~", TRUE, ITEquipmentTable[[#This Row],[Type]],ITEquipmentTable[[#This Row],[Brand]],ITEquipmentTable[[#This Row],[Model]]), "")</f>
        <v>Desktop~Dell~OptiPlex 3040</v>
      </c>
      <c r="J353" s="151" t="b">
        <f xml:space="preserve"> _xlfn.IFNA(MATCH( ITSecondTable[[#This Row],[Tag]], StorageTable[Tag], 0)  &gt; -1, FALSE)</f>
        <v>0</v>
      </c>
      <c r="K353" s="168" t="b">
        <f>COUNTIFS(ITEquipmentTable[Serial], ITEquipmentTable[[#This Row],[Serial]], ITEquipmentTable[Serial], "&lt;&gt;N/A") &gt; 1</f>
        <v>0</v>
      </c>
      <c r="L353" s="168" t="b">
        <f>COUNTIFS(ITEquipmentTable[Name], ITEquipmentTable[[#This Row],[Name]], ITEquipmentTable[Name], "&lt;&gt;&lt;Unassigned&gt;",  ITEquipmentTable[Name], "&lt;&gt;N/A") &gt; 1</f>
        <v>0</v>
      </c>
      <c r="M353" s="168" t="b">
        <f>AND(COUNTIFS(ITEquipmentTable[IPv4 Address], ITEquipmentTable[[#This Row],[IPv4 Address]]) &gt; 1, ITEquipmentTable[[#This Row],[IPv4 Address]] &lt;&gt; "DHCP",  ITEquipmentTable[[#This Row],[IPv4 Address]] &lt;&gt; "N/A")</f>
        <v>0</v>
      </c>
    </row>
    <row r="354" spans="1:13" x14ac:dyDescent="0.2">
      <c r="A354" s="168">
        <f>IF(LEN(ITSecondTable[[#This Row],[Tag]]) &gt; 0, _xlfn.XLOOKUP(ITSecondTable[[#This Row],[Tag]],StorageTable[Tag], StorageTable[In Storage - Count Total], "Err", 0, 1), 0)</f>
        <v>6</v>
      </c>
      <c r="B354" s="1">
        <f>_xlfn.LET(_xlpm.loc, ITEquipmentTable[Storage Location],
COUNTIFS(ITSecondTable[Tag], ITSecondTable[[#This Row],[Tag]], _xlpm.loc, "&lt;&gt;In Use", _xlpm.loc, "&lt;&gt;",  _xlpm.loc, "&lt;&gt;E-Waste", _xlpm.loc, "&lt;&gt;Virtual",  _xlpm.loc, "&lt;&gt;Assigned to Employee", _xlpm.loc, "&lt;&gt;Decommisioned", _xlpm.loc, "&lt;&gt;Missing")
)</f>
        <v>17</v>
      </c>
      <c r="C354" s="1">
        <f>_xlfn.LET(_xlpm.loc, ITEquipmentTable[Storage Location],
COUNTIFS(ITSecondTable[Tag], ITSecondTable[[#This Row],[Tag]], _xlpm.loc, "&lt;&gt;E-Waste", _xlpm.loc, "&lt;&gt;Virtual", _xlpm.loc, "&lt;&gt;Decommisioned")
)</f>
        <v>64</v>
      </c>
      <c r="D354" s="168">
        <f>_xlfn.LET(_xlpm.loc, ITEquipmentTable[Storage Location],
COUNTIFS(ITSecondTable[Tag], ITSecondTable[[#This Row],[Tag]], _xlpm.loc, "Missing")
)</f>
        <v>0</v>
      </c>
      <c r="E354" s="168">
        <f>_xlfn.LET(_xlpm.loc, ITEquipmentTable[Storage Location],
COUNTIFS(ITSecondTable[Tag], ITSecondTable[[#This Row],[Tag]], _xlpm.loc, "In Use") + COUNTIFS(ITSecondTable[Tag], ITSecondTable[[#This Row],[Tag]], _xlpm.loc, "Assigned to Employee")
)</f>
        <v>30</v>
      </c>
      <c r="F354" s="168">
        <f>_xlfn.LET(_xlpm.loc, ITEquipmentTable[Storage Location],
COUNTIFS(ITSecondTable[Tag], ITSecondTable[[#This Row],[Tag]], _xlpm.loc, "")
)</f>
        <v>17</v>
      </c>
      <c r="G354" s="168">
        <f>MAX(ITSecondTable[[#This Row],[SQty]] - ITSecondTable[[#This Row],[IQty]], 0)</f>
        <v>11</v>
      </c>
      <c r="H354" s="168">
        <f>MAX(ITSecondTable[[#This Row],[IQty]]-ITSecondTable[[#This Row],[SQty]], 0)</f>
        <v>0</v>
      </c>
      <c r="I354" s="151" t="str">
        <f>IFERROR(_xlfn.TEXTJOIN("~", TRUE, ITEquipmentTable[[#This Row],[Type]],ITEquipmentTable[[#This Row],[Brand]],ITEquipmentTable[[#This Row],[Model]]), "")</f>
        <v>Desktop~Dell~OptiPlex 3040</v>
      </c>
      <c r="J354" s="151" t="b">
        <f xml:space="preserve"> _xlfn.IFNA(MATCH( ITSecondTable[[#This Row],[Tag]], StorageTable[Tag], 0)  &gt; -1, FALSE)</f>
        <v>0</v>
      </c>
      <c r="K354" s="168" t="b">
        <f>COUNTIFS(ITEquipmentTable[Serial], ITEquipmentTable[[#This Row],[Serial]], ITEquipmentTable[Serial], "&lt;&gt;N/A") &gt; 1</f>
        <v>0</v>
      </c>
      <c r="L354" s="168" t="b">
        <f>COUNTIFS(ITEquipmentTable[Name], ITEquipmentTable[[#This Row],[Name]], ITEquipmentTable[Name], "&lt;&gt;&lt;Unassigned&gt;",  ITEquipmentTable[Name], "&lt;&gt;N/A") &gt; 1</f>
        <v>0</v>
      </c>
      <c r="M354" s="168" t="b">
        <f>AND(COUNTIFS(ITEquipmentTable[IPv4 Address], ITEquipmentTable[[#This Row],[IPv4 Address]]) &gt; 1, ITEquipmentTable[[#This Row],[IPv4 Address]] &lt;&gt; "DHCP",  ITEquipmentTable[[#This Row],[IPv4 Address]] &lt;&gt; "N/A")</f>
        <v>0</v>
      </c>
    </row>
    <row r="355" spans="1:13" x14ac:dyDescent="0.2">
      <c r="A355" s="168">
        <f>IF(LEN(ITSecondTable[[#This Row],[Tag]]) &gt; 0, _xlfn.XLOOKUP(ITSecondTable[[#This Row],[Tag]],StorageTable[Tag], StorageTable[In Storage - Count Total], "Err", 0, 1), 0)</f>
        <v>6</v>
      </c>
      <c r="B355" s="1">
        <f>_xlfn.LET(_xlpm.loc, ITEquipmentTable[Storage Location],
COUNTIFS(ITSecondTable[Tag], ITSecondTable[[#This Row],[Tag]], _xlpm.loc, "&lt;&gt;In Use", _xlpm.loc, "&lt;&gt;",  _xlpm.loc, "&lt;&gt;E-Waste", _xlpm.loc, "&lt;&gt;Virtual",  _xlpm.loc, "&lt;&gt;Assigned to Employee", _xlpm.loc, "&lt;&gt;Decommisioned", _xlpm.loc, "&lt;&gt;Missing")
)</f>
        <v>17</v>
      </c>
      <c r="C355" s="1">
        <f>_xlfn.LET(_xlpm.loc, ITEquipmentTable[Storage Location],
COUNTIFS(ITSecondTable[Tag], ITSecondTable[[#This Row],[Tag]], _xlpm.loc, "&lt;&gt;E-Waste", _xlpm.loc, "&lt;&gt;Virtual", _xlpm.loc, "&lt;&gt;Decommisioned")
)</f>
        <v>64</v>
      </c>
      <c r="D355" s="168">
        <f>_xlfn.LET(_xlpm.loc, ITEquipmentTable[Storage Location],
COUNTIFS(ITSecondTable[Tag], ITSecondTable[[#This Row],[Tag]], _xlpm.loc, "Missing")
)</f>
        <v>0</v>
      </c>
      <c r="E355" s="168">
        <f>_xlfn.LET(_xlpm.loc, ITEquipmentTable[Storage Location],
COUNTIFS(ITSecondTable[Tag], ITSecondTable[[#This Row],[Tag]], _xlpm.loc, "In Use") + COUNTIFS(ITSecondTable[Tag], ITSecondTable[[#This Row],[Tag]], _xlpm.loc, "Assigned to Employee")
)</f>
        <v>30</v>
      </c>
      <c r="F355" s="168">
        <f>_xlfn.LET(_xlpm.loc, ITEquipmentTable[Storage Location],
COUNTIFS(ITSecondTable[Tag], ITSecondTable[[#This Row],[Tag]], _xlpm.loc, "")
)</f>
        <v>17</v>
      </c>
      <c r="G355" s="168">
        <f>MAX(ITSecondTable[[#This Row],[SQty]] - ITSecondTable[[#This Row],[IQty]], 0)</f>
        <v>11</v>
      </c>
      <c r="H355" s="168">
        <f>MAX(ITSecondTable[[#This Row],[IQty]]-ITSecondTable[[#This Row],[SQty]], 0)</f>
        <v>0</v>
      </c>
      <c r="I355" s="151" t="str">
        <f>IFERROR(_xlfn.TEXTJOIN("~", TRUE, ITEquipmentTable[[#This Row],[Type]],ITEquipmentTable[[#This Row],[Brand]],ITEquipmentTable[[#This Row],[Model]]), "")</f>
        <v>Desktop~Dell~OptiPlex 3040</v>
      </c>
      <c r="J355" s="151" t="b">
        <f xml:space="preserve"> _xlfn.IFNA(MATCH( ITSecondTable[[#This Row],[Tag]], StorageTable[Tag], 0)  &gt; -1, FALSE)</f>
        <v>0</v>
      </c>
      <c r="K355" s="168" t="b">
        <f>COUNTIFS(ITEquipmentTable[Serial], ITEquipmentTable[[#This Row],[Serial]], ITEquipmentTable[Serial], "&lt;&gt;N/A") &gt; 1</f>
        <v>0</v>
      </c>
      <c r="L355" s="168" t="b">
        <f>COUNTIFS(ITEquipmentTable[Name], ITEquipmentTable[[#This Row],[Name]], ITEquipmentTable[Name], "&lt;&gt;&lt;Unassigned&gt;",  ITEquipmentTable[Name], "&lt;&gt;N/A") &gt; 1</f>
        <v>0</v>
      </c>
      <c r="M355" s="168" t="b">
        <f>AND(COUNTIFS(ITEquipmentTable[IPv4 Address], ITEquipmentTable[[#This Row],[IPv4 Address]]) &gt; 1, ITEquipmentTable[[#This Row],[IPv4 Address]] &lt;&gt; "DHCP",  ITEquipmentTable[[#This Row],[IPv4 Address]] &lt;&gt; "N/A")</f>
        <v>0</v>
      </c>
    </row>
    <row r="356" spans="1:13" x14ac:dyDescent="0.2">
      <c r="A356" s="168">
        <f>IF(LEN(ITSecondTable[[#This Row],[Tag]]) &gt; 0, _xlfn.XLOOKUP(ITSecondTable[[#This Row],[Tag]],StorageTable[Tag], StorageTable[In Storage - Count Total], "Err", 0, 1), 0)</f>
        <v>6</v>
      </c>
      <c r="B356" s="1">
        <f>_xlfn.LET(_xlpm.loc, ITEquipmentTable[Storage Location],
COUNTIFS(ITSecondTable[Tag], ITSecondTable[[#This Row],[Tag]], _xlpm.loc, "&lt;&gt;In Use", _xlpm.loc, "&lt;&gt;",  _xlpm.loc, "&lt;&gt;E-Waste", _xlpm.loc, "&lt;&gt;Virtual",  _xlpm.loc, "&lt;&gt;Assigned to Employee", _xlpm.loc, "&lt;&gt;Decommisioned", _xlpm.loc, "&lt;&gt;Missing")
)</f>
        <v>17</v>
      </c>
      <c r="C356" s="1">
        <f>_xlfn.LET(_xlpm.loc, ITEquipmentTable[Storage Location],
COUNTIFS(ITSecondTable[Tag], ITSecondTable[[#This Row],[Tag]], _xlpm.loc, "&lt;&gt;E-Waste", _xlpm.loc, "&lt;&gt;Virtual", _xlpm.loc, "&lt;&gt;Decommisioned")
)</f>
        <v>64</v>
      </c>
      <c r="D356" s="168">
        <f>_xlfn.LET(_xlpm.loc, ITEquipmentTable[Storage Location],
COUNTIFS(ITSecondTable[Tag], ITSecondTable[[#This Row],[Tag]], _xlpm.loc, "Missing")
)</f>
        <v>0</v>
      </c>
      <c r="E356" s="168">
        <f>_xlfn.LET(_xlpm.loc, ITEquipmentTable[Storage Location],
COUNTIFS(ITSecondTable[Tag], ITSecondTable[[#This Row],[Tag]], _xlpm.loc, "In Use") + COUNTIFS(ITSecondTable[Tag], ITSecondTable[[#This Row],[Tag]], _xlpm.loc, "Assigned to Employee")
)</f>
        <v>30</v>
      </c>
      <c r="F356" s="168">
        <f>_xlfn.LET(_xlpm.loc, ITEquipmentTable[Storage Location],
COUNTIFS(ITSecondTable[Tag], ITSecondTable[[#This Row],[Tag]], _xlpm.loc, "")
)</f>
        <v>17</v>
      </c>
      <c r="G356" s="168">
        <f>MAX(ITSecondTable[[#This Row],[SQty]] - ITSecondTable[[#This Row],[IQty]], 0)</f>
        <v>11</v>
      </c>
      <c r="H356" s="168">
        <f>MAX(ITSecondTable[[#This Row],[IQty]]-ITSecondTable[[#This Row],[SQty]], 0)</f>
        <v>0</v>
      </c>
      <c r="I356" s="151" t="str">
        <f>IFERROR(_xlfn.TEXTJOIN("~", TRUE, ITEquipmentTable[[#This Row],[Type]],ITEquipmentTable[[#This Row],[Brand]],ITEquipmentTable[[#This Row],[Model]]), "")</f>
        <v>Desktop~Dell~OptiPlex 3040</v>
      </c>
      <c r="J356" s="151" t="b">
        <f xml:space="preserve"> _xlfn.IFNA(MATCH( ITSecondTable[[#This Row],[Tag]], StorageTable[Tag], 0)  &gt; -1, FALSE)</f>
        <v>0</v>
      </c>
      <c r="K356" s="168" t="b">
        <f>COUNTIFS(ITEquipmentTable[Serial], ITEquipmentTable[[#This Row],[Serial]], ITEquipmentTable[Serial], "&lt;&gt;N/A") &gt; 1</f>
        <v>0</v>
      </c>
      <c r="L356" s="168" t="b">
        <f>COUNTIFS(ITEquipmentTable[Name], ITEquipmentTable[[#This Row],[Name]], ITEquipmentTable[Name], "&lt;&gt;&lt;Unassigned&gt;",  ITEquipmentTable[Name], "&lt;&gt;N/A") &gt; 1</f>
        <v>0</v>
      </c>
      <c r="M356" s="168" t="b">
        <f>AND(COUNTIFS(ITEquipmentTable[IPv4 Address], ITEquipmentTable[[#This Row],[IPv4 Address]]) &gt; 1, ITEquipmentTable[[#This Row],[IPv4 Address]] &lt;&gt; "DHCP",  ITEquipmentTable[[#This Row],[IPv4 Address]] &lt;&gt; "N/A")</f>
        <v>0</v>
      </c>
    </row>
    <row r="357" spans="1:13" x14ac:dyDescent="0.2">
      <c r="A357" s="168">
        <f>IF(LEN(ITSecondTable[[#This Row],[Tag]]) &gt; 0, _xlfn.XLOOKUP(ITSecondTable[[#This Row],[Tag]],StorageTable[Tag], StorageTable[In Storage - Count Total], "Err", 0, 1), 0)</f>
        <v>1</v>
      </c>
      <c r="B357" s="1">
        <f>_xlfn.LET(_xlpm.loc, ITEquipmentTable[Storage Location],
COUNTIFS(ITSecondTable[Tag], ITSecondTable[[#This Row],[Tag]], _xlpm.loc, "&lt;&gt;In Use", _xlpm.loc, "&lt;&gt;",  _xlpm.loc, "&lt;&gt;E-Waste", _xlpm.loc, "&lt;&gt;Virtual",  _xlpm.loc, "&lt;&gt;Assigned to Employee", _xlpm.loc, "&lt;&gt;Decommisioned", _xlpm.loc, "&lt;&gt;Missing")
)</f>
        <v>3</v>
      </c>
      <c r="C357" s="1">
        <f>_xlfn.LET(_xlpm.loc, ITEquipmentTable[Storage Location],
COUNTIFS(ITSecondTable[Tag], ITSecondTable[[#This Row],[Tag]], _xlpm.loc, "&lt;&gt;E-Waste", _xlpm.loc, "&lt;&gt;Virtual", _xlpm.loc, "&lt;&gt;Decommisioned")
)</f>
        <v>10</v>
      </c>
      <c r="D357" s="168">
        <f>_xlfn.LET(_xlpm.loc, ITEquipmentTable[Storage Location],
COUNTIFS(ITSecondTable[Tag], ITSecondTable[[#This Row],[Tag]], _xlpm.loc, "Missing")
)</f>
        <v>0</v>
      </c>
      <c r="E357" s="168">
        <f>_xlfn.LET(_xlpm.loc, ITEquipmentTable[Storage Location],
COUNTIFS(ITSecondTable[Tag], ITSecondTable[[#This Row],[Tag]], _xlpm.loc, "In Use") + COUNTIFS(ITSecondTable[Tag], ITSecondTable[[#This Row],[Tag]], _xlpm.loc, "Assigned to Employee")
)</f>
        <v>6</v>
      </c>
      <c r="F357" s="168">
        <f>_xlfn.LET(_xlpm.loc, ITEquipmentTable[Storage Location],
COUNTIFS(ITSecondTable[Tag], ITSecondTable[[#This Row],[Tag]], _xlpm.loc, "")
)</f>
        <v>1</v>
      </c>
      <c r="G357" s="168">
        <f>MAX(ITSecondTable[[#This Row],[SQty]] - ITSecondTable[[#This Row],[IQty]], 0)</f>
        <v>2</v>
      </c>
      <c r="H357" s="168">
        <f>MAX(ITSecondTable[[#This Row],[IQty]]-ITSecondTable[[#This Row],[SQty]], 0)</f>
        <v>0</v>
      </c>
      <c r="I357" s="151" t="str">
        <f>IFERROR(_xlfn.TEXTJOIN("~", TRUE, ITEquipmentTable[[#This Row],[Type]],ITEquipmentTable[[#This Row],[Brand]],ITEquipmentTable[[#This Row],[Model]]), "")</f>
        <v>Desktop~Dell~OptiPlex 3060</v>
      </c>
      <c r="J357" s="151" t="b">
        <f xml:space="preserve"> _xlfn.IFNA(MATCH( ITSecondTable[[#This Row],[Tag]], StorageTable[Tag], 0)  &gt; -1, FALSE)</f>
        <v>0</v>
      </c>
      <c r="K357" s="168" t="b">
        <f>COUNTIFS(ITEquipmentTable[Serial], ITEquipmentTable[[#This Row],[Serial]], ITEquipmentTable[Serial], "&lt;&gt;N/A") &gt; 1</f>
        <v>0</v>
      </c>
      <c r="L357" s="168" t="b">
        <f>COUNTIFS(ITEquipmentTable[Name], ITEquipmentTable[[#This Row],[Name]], ITEquipmentTable[Name], "&lt;&gt;&lt;Unassigned&gt;",  ITEquipmentTable[Name], "&lt;&gt;N/A") &gt; 1</f>
        <v>0</v>
      </c>
      <c r="M357" s="168" t="b">
        <f>AND(COUNTIFS(ITEquipmentTable[IPv4 Address], ITEquipmentTable[[#This Row],[IPv4 Address]]) &gt; 1, ITEquipmentTable[[#This Row],[IPv4 Address]] &lt;&gt; "DHCP",  ITEquipmentTable[[#This Row],[IPv4 Address]] &lt;&gt; "N/A")</f>
        <v>0</v>
      </c>
    </row>
    <row r="358" spans="1:13" x14ac:dyDescent="0.2">
      <c r="A358" s="168">
        <f>IF(LEN(ITSecondTable[[#This Row],[Tag]]) &gt; 0, _xlfn.XLOOKUP(ITSecondTable[[#This Row],[Tag]],StorageTable[Tag], StorageTable[In Storage - Count Total], "Err", 0, 1), 0)</f>
        <v>6</v>
      </c>
      <c r="B358" s="1">
        <f>_xlfn.LET(_xlpm.loc, ITEquipmentTable[Storage Location],
COUNTIFS(ITSecondTable[Tag], ITSecondTable[[#This Row],[Tag]], _xlpm.loc, "&lt;&gt;In Use", _xlpm.loc, "&lt;&gt;",  _xlpm.loc, "&lt;&gt;E-Waste", _xlpm.loc, "&lt;&gt;Virtual",  _xlpm.loc, "&lt;&gt;Assigned to Employee", _xlpm.loc, "&lt;&gt;Decommisioned", _xlpm.loc, "&lt;&gt;Missing")
)</f>
        <v>17</v>
      </c>
      <c r="C358" s="1">
        <f>_xlfn.LET(_xlpm.loc, ITEquipmentTable[Storage Location],
COUNTIFS(ITSecondTable[Tag], ITSecondTable[[#This Row],[Tag]], _xlpm.loc, "&lt;&gt;E-Waste", _xlpm.loc, "&lt;&gt;Virtual", _xlpm.loc, "&lt;&gt;Decommisioned")
)</f>
        <v>64</v>
      </c>
      <c r="D358" s="168">
        <f>_xlfn.LET(_xlpm.loc, ITEquipmentTable[Storage Location],
COUNTIFS(ITSecondTable[Tag], ITSecondTable[[#This Row],[Tag]], _xlpm.loc, "Missing")
)</f>
        <v>0</v>
      </c>
      <c r="E358" s="168">
        <f>_xlfn.LET(_xlpm.loc, ITEquipmentTable[Storage Location],
COUNTIFS(ITSecondTable[Tag], ITSecondTable[[#This Row],[Tag]], _xlpm.loc, "In Use") + COUNTIFS(ITSecondTable[Tag], ITSecondTable[[#This Row],[Tag]], _xlpm.loc, "Assigned to Employee")
)</f>
        <v>30</v>
      </c>
      <c r="F358" s="168">
        <f>_xlfn.LET(_xlpm.loc, ITEquipmentTable[Storage Location],
COUNTIFS(ITSecondTable[Tag], ITSecondTable[[#This Row],[Tag]], _xlpm.loc, "")
)</f>
        <v>17</v>
      </c>
      <c r="G358" s="168">
        <f>MAX(ITSecondTable[[#This Row],[SQty]] - ITSecondTable[[#This Row],[IQty]], 0)</f>
        <v>11</v>
      </c>
      <c r="H358" s="168">
        <f>MAX(ITSecondTable[[#This Row],[IQty]]-ITSecondTable[[#This Row],[SQty]], 0)</f>
        <v>0</v>
      </c>
      <c r="I358" s="151" t="str">
        <f>IFERROR(_xlfn.TEXTJOIN("~", TRUE, ITEquipmentTable[[#This Row],[Type]],ITEquipmentTable[[#This Row],[Brand]],ITEquipmentTable[[#This Row],[Model]]), "")</f>
        <v>Desktop~Dell~OptiPlex 3040</v>
      </c>
      <c r="J358" s="151" t="b">
        <f xml:space="preserve"> _xlfn.IFNA(MATCH( ITSecondTable[[#This Row],[Tag]], StorageTable[Tag], 0)  &gt; -1, FALSE)</f>
        <v>0</v>
      </c>
      <c r="K358" s="168" t="b">
        <f>COUNTIFS(ITEquipmentTable[Serial], ITEquipmentTable[[#This Row],[Serial]], ITEquipmentTable[Serial], "&lt;&gt;N/A") &gt; 1</f>
        <v>0</v>
      </c>
      <c r="L358" s="168" t="b">
        <f>COUNTIFS(ITEquipmentTable[Name], ITEquipmentTable[[#This Row],[Name]], ITEquipmentTable[Name], "&lt;&gt;&lt;Unassigned&gt;",  ITEquipmentTable[Name], "&lt;&gt;N/A") &gt; 1</f>
        <v>0</v>
      </c>
      <c r="M358" s="168" t="b">
        <f>AND(COUNTIFS(ITEquipmentTable[IPv4 Address], ITEquipmentTable[[#This Row],[IPv4 Address]]) &gt; 1, ITEquipmentTable[[#This Row],[IPv4 Address]] &lt;&gt; "DHCP",  ITEquipmentTable[[#This Row],[IPv4 Address]] &lt;&gt; "N/A")</f>
        <v>0</v>
      </c>
    </row>
    <row r="359" spans="1:13" x14ac:dyDescent="0.2">
      <c r="A359" s="168">
        <f>IF(LEN(ITSecondTable[[#This Row],[Tag]]) &gt; 0, _xlfn.XLOOKUP(ITSecondTable[[#This Row],[Tag]],StorageTable[Tag], StorageTable[In Storage - Count Total], "Err", 0, 1), 0)</f>
        <v>0</v>
      </c>
      <c r="B359" s="1">
        <f>_xlfn.LET(_xlpm.loc, ITEquipmentTable[Storage Location],
COUNTIFS(ITSecondTable[Tag], ITSecondTable[[#This Row],[Tag]], _xlpm.loc, "&lt;&gt;In Use", _xlpm.loc, "&lt;&gt;",  _xlpm.loc, "&lt;&gt;E-Waste", _xlpm.loc, "&lt;&gt;Virtual",  _xlpm.loc, "&lt;&gt;Assigned to Employee", _xlpm.loc, "&lt;&gt;Decommisioned", _xlpm.loc, "&lt;&gt;Missing")
)</f>
        <v>8</v>
      </c>
      <c r="C359" s="1">
        <f>_xlfn.LET(_xlpm.loc, ITEquipmentTable[Storage Location],
COUNTIFS(ITSecondTable[Tag], ITSecondTable[[#This Row],[Tag]], _xlpm.loc, "&lt;&gt;E-Waste", _xlpm.loc, "&lt;&gt;Virtual", _xlpm.loc, "&lt;&gt;Decommisioned")
)</f>
        <v>27</v>
      </c>
      <c r="D359" s="168">
        <f>_xlfn.LET(_xlpm.loc, ITEquipmentTable[Storage Location],
COUNTIFS(ITSecondTable[Tag], ITSecondTable[[#This Row],[Tag]], _xlpm.loc, "Missing")
)</f>
        <v>0</v>
      </c>
      <c r="E359" s="168">
        <f>_xlfn.LET(_xlpm.loc, ITEquipmentTable[Storage Location],
COUNTIFS(ITSecondTable[Tag], ITSecondTable[[#This Row],[Tag]], _xlpm.loc, "In Use") + COUNTIFS(ITSecondTable[Tag], ITSecondTable[[#This Row],[Tag]], _xlpm.loc, "Assigned to Employee")
)</f>
        <v>12</v>
      </c>
      <c r="F359" s="168">
        <f>_xlfn.LET(_xlpm.loc, ITEquipmentTable[Storage Location],
COUNTIFS(ITSecondTable[Tag], ITSecondTable[[#This Row],[Tag]], _xlpm.loc, "")
)</f>
        <v>7</v>
      </c>
      <c r="G359" s="168">
        <f>MAX(ITSecondTable[[#This Row],[SQty]] - ITSecondTable[[#This Row],[IQty]], 0)</f>
        <v>8</v>
      </c>
      <c r="H359" s="168">
        <f>MAX(ITSecondTable[[#This Row],[IQty]]-ITSecondTable[[#This Row],[SQty]], 0)</f>
        <v>0</v>
      </c>
      <c r="I359" s="151" t="str">
        <f>IFERROR(_xlfn.TEXTJOIN("~", TRUE, ITEquipmentTable[[#This Row],[Type]],ITEquipmentTable[[#This Row],[Brand]],ITEquipmentTable[[#This Row],[Model]]), "")</f>
        <v>Desktop~Dell~OptiPlex 3050</v>
      </c>
      <c r="J359" s="151" t="b">
        <f xml:space="preserve"> _xlfn.IFNA(MATCH( ITSecondTable[[#This Row],[Tag]], StorageTable[Tag], 0)  &gt; -1, FALSE)</f>
        <v>0</v>
      </c>
      <c r="K359" s="168" t="b">
        <f>COUNTIFS(ITEquipmentTable[Serial], ITEquipmentTable[[#This Row],[Serial]], ITEquipmentTable[Serial], "&lt;&gt;N/A") &gt; 1</f>
        <v>0</v>
      </c>
      <c r="L359" s="168" t="b">
        <f>COUNTIFS(ITEquipmentTable[Name], ITEquipmentTable[[#This Row],[Name]], ITEquipmentTable[Name], "&lt;&gt;&lt;Unassigned&gt;",  ITEquipmentTable[Name], "&lt;&gt;N/A") &gt; 1</f>
        <v>0</v>
      </c>
      <c r="M359" s="168" t="b">
        <f>AND(COUNTIFS(ITEquipmentTable[IPv4 Address], ITEquipmentTable[[#This Row],[IPv4 Address]]) &gt; 1, ITEquipmentTable[[#This Row],[IPv4 Address]] &lt;&gt; "DHCP",  ITEquipmentTable[[#This Row],[IPv4 Address]] &lt;&gt; "N/A")</f>
        <v>0</v>
      </c>
    </row>
    <row r="360" spans="1:13" x14ac:dyDescent="0.2">
      <c r="A360" s="168">
        <f>IF(LEN(ITSecondTable[[#This Row],[Tag]]) &gt; 0, _xlfn.XLOOKUP(ITSecondTable[[#This Row],[Tag]],StorageTable[Tag], StorageTable[In Storage - Count Total], "Err", 0, 1), 0)</f>
        <v>0</v>
      </c>
      <c r="B360" s="1">
        <f>_xlfn.LET(_xlpm.loc, ITEquipmentTable[Storage Location],
COUNTIFS(ITSecondTable[Tag], ITSecondTable[[#This Row],[Tag]], _xlpm.loc, "&lt;&gt;In Use", _xlpm.loc, "&lt;&gt;",  _xlpm.loc, "&lt;&gt;E-Waste", _xlpm.loc, "&lt;&gt;Virtual",  _xlpm.loc, "&lt;&gt;Assigned to Employee", _xlpm.loc, "&lt;&gt;Decommisioned", _xlpm.loc, "&lt;&gt;Missing")
)</f>
        <v>8</v>
      </c>
      <c r="C360" s="1">
        <f>_xlfn.LET(_xlpm.loc, ITEquipmentTable[Storage Location],
COUNTIFS(ITSecondTable[Tag], ITSecondTable[[#This Row],[Tag]], _xlpm.loc, "&lt;&gt;E-Waste", _xlpm.loc, "&lt;&gt;Virtual", _xlpm.loc, "&lt;&gt;Decommisioned")
)</f>
        <v>27</v>
      </c>
      <c r="D360" s="168">
        <f>_xlfn.LET(_xlpm.loc, ITEquipmentTable[Storage Location],
COUNTIFS(ITSecondTable[Tag], ITSecondTable[[#This Row],[Tag]], _xlpm.loc, "Missing")
)</f>
        <v>0</v>
      </c>
      <c r="E360" s="168">
        <f>_xlfn.LET(_xlpm.loc, ITEquipmentTable[Storage Location],
COUNTIFS(ITSecondTable[Tag], ITSecondTable[[#This Row],[Tag]], _xlpm.loc, "In Use") + COUNTIFS(ITSecondTable[Tag], ITSecondTable[[#This Row],[Tag]], _xlpm.loc, "Assigned to Employee")
)</f>
        <v>12</v>
      </c>
      <c r="F360" s="168">
        <f>_xlfn.LET(_xlpm.loc, ITEquipmentTable[Storage Location],
COUNTIFS(ITSecondTable[Tag], ITSecondTable[[#This Row],[Tag]], _xlpm.loc, "")
)</f>
        <v>7</v>
      </c>
      <c r="G360" s="168">
        <f>MAX(ITSecondTable[[#This Row],[SQty]] - ITSecondTable[[#This Row],[IQty]], 0)</f>
        <v>8</v>
      </c>
      <c r="H360" s="168">
        <f>MAX(ITSecondTable[[#This Row],[IQty]]-ITSecondTable[[#This Row],[SQty]], 0)</f>
        <v>0</v>
      </c>
      <c r="I360" s="151" t="str">
        <f>IFERROR(_xlfn.TEXTJOIN("~", TRUE, ITEquipmentTable[[#This Row],[Type]],ITEquipmentTable[[#This Row],[Brand]],ITEquipmentTable[[#This Row],[Model]]), "")</f>
        <v>Desktop~Dell~OptiPlex 3050</v>
      </c>
      <c r="J360" s="151" t="b">
        <f xml:space="preserve"> _xlfn.IFNA(MATCH( ITSecondTable[[#This Row],[Tag]], StorageTable[Tag], 0)  &gt; -1, FALSE)</f>
        <v>0</v>
      </c>
      <c r="K360" s="168" t="b">
        <f>COUNTIFS(ITEquipmentTable[Serial], ITEquipmentTable[[#This Row],[Serial]], ITEquipmentTable[Serial], "&lt;&gt;N/A") &gt; 1</f>
        <v>0</v>
      </c>
      <c r="L360" s="168" t="b">
        <f>COUNTIFS(ITEquipmentTable[Name], ITEquipmentTable[[#This Row],[Name]], ITEquipmentTable[Name], "&lt;&gt;&lt;Unassigned&gt;",  ITEquipmentTable[Name], "&lt;&gt;N/A") &gt; 1</f>
        <v>0</v>
      </c>
      <c r="M360" s="168" t="b">
        <f>AND(COUNTIFS(ITEquipmentTable[IPv4 Address], ITEquipmentTable[[#This Row],[IPv4 Address]]) &gt; 1, ITEquipmentTable[[#This Row],[IPv4 Address]] &lt;&gt; "DHCP",  ITEquipmentTable[[#This Row],[IPv4 Address]] &lt;&gt; "N/A")</f>
        <v>0</v>
      </c>
    </row>
    <row r="361" spans="1:13" x14ac:dyDescent="0.2">
      <c r="A361" s="168">
        <f>IF(LEN(ITSecondTable[[#This Row],[Tag]]) &gt; 0, _xlfn.XLOOKUP(ITSecondTable[[#This Row],[Tag]],StorageTable[Tag], StorageTable[In Storage - Count Total], "Err", 0, 1), 0)</f>
        <v>0</v>
      </c>
      <c r="B361" s="1">
        <f>_xlfn.LET(_xlpm.loc, ITEquipmentTable[Storage Location],
COUNTIFS(ITSecondTable[Tag], ITSecondTable[[#This Row],[Tag]], _xlpm.loc, "&lt;&gt;In Use", _xlpm.loc, "&lt;&gt;",  _xlpm.loc, "&lt;&gt;E-Waste", _xlpm.loc, "&lt;&gt;Virtual",  _xlpm.loc, "&lt;&gt;Assigned to Employee", _xlpm.loc, "&lt;&gt;Decommisioned", _xlpm.loc, "&lt;&gt;Missing")
)</f>
        <v>1</v>
      </c>
      <c r="C361" s="1">
        <f>_xlfn.LET(_xlpm.loc, ITEquipmentTable[Storage Location],
COUNTIFS(ITSecondTable[Tag], ITSecondTable[[#This Row],[Tag]], _xlpm.loc, "&lt;&gt;E-Waste", _xlpm.loc, "&lt;&gt;Virtual", _xlpm.loc, "&lt;&gt;Decommisioned")
)</f>
        <v>1</v>
      </c>
      <c r="D361" s="168">
        <f>_xlfn.LET(_xlpm.loc, ITEquipmentTable[Storage Location],
COUNTIFS(ITSecondTable[Tag], ITSecondTable[[#This Row],[Tag]], _xlpm.loc, "Missing")
)</f>
        <v>0</v>
      </c>
      <c r="E361" s="168">
        <f>_xlfn.LET(_xlpm.loc, ITEquipmentTable[Storage Location],
COUNTIFS(ITSecondTable[Tag], ITSecondTable[[#This Row],[Tag]], _xlpm.loc, "In Use") + COUNTIFS(ITSecondTable[Tag], ITSecondTable[[#This Row],[Tag]], _xlpm.loc, "Assigned to Employee")
)</f>
        <v>0</v>
      </c>
      <c r="F361" s="168">
        <f>_xlfn.LET(_xlpm.loc, ITEquipmentTable[Storage Location],
COUNTIFS(ITSecondTable[Tag], ITSecondTable[[#This Row],[Tag]], _xlpm.loc, "")
)</f>
        <v>0</v>
      </c>
      <c r="G361" s="168">
        <f>MAX(ITSecondTable[[#This Row],[SQty]] - ITSecondTable[[#This Row],[IQty]], 0)</f>
        <v>1</v>
      </c>
      <c r="H361" s="168">
        <f>MAX(ITSecondTable[[#This Row],[IQty]]-ITSecondTable[[#This Row],[SQty]], 0)</f>
        <v>0</v>
      </c>
      <c r="I361" s="151" t="str">
        <f>IFERROR(_xlfn.TEXTJOIN("~", TRUE, ITEquipmentTable[[#This Row],[Type]],ITEquipmentTable[[#This Row],[Brand]],ITEquipmentTable[[#This Row],[Model]]), "")</f>
        <v>Monitor~Dell~E2417H</v>
      </c>
      <c r="J361" s="151" t="b">
        <f xml:space="preserve"> _xlfn.IFNA(MATCH( ITSecondTable[[#This Row],[Tag]], StorageTable[Tag], 0)  &gt; -1, FALSE)</f>
        <v>0</v>
      </c>
      <c r="K361" s="168" t="b">
        <f>COUNTIFS(ITEquipmentTable[Serial], ITEquipmentTable[[#This Row],[Serial]], ITEquipmentTable[Serial], "&lt;&gt;N/A") &gt; 1</f>
        <v>0</v>
      </c>
      <c r="L361" s="168" t="b">
        <f>COUNTIFS(ITEquipmentTable[Name], ITEquipmentTable[[#This Row],[Name]], ITEquipmentTable[Name], "&lt;&gt;&lt;Unassigned&gt;",  ITEquipmentTable[Name], "&lt;&gt;N/A") &gt; 1</f>
        <v>0</v>
      </c>
      <c r="M361" s="168" t="b">
        <f>AND(COUNTIFS(ITEquipmentTable[IPv4 Address], ITEquipmentTable[[#This Row],[IPv4 Address]]) &gt; 1, ITEquipmentTable[[#This Row],[IPv4 Address]] &lt;&gt; "DHCP",  ITEquipmentTable[[#This Row],[IPv4 Address]] &lt;&gt; "N/A")</f>
        <v>0</v>
      </c>
    </row>
    <row r="362" spans="1:13" x14ac:dyDescent="0.2">
      <c r="A362" s="168">
        <f>IF(LEN(ITSecondTable[[#This Row],[Tag]]) &gt; 0, _xlfn.XLOOKUP(ITSecondTable[[#This Row],[Tag]],StorageTable[Tag], StorageTable[In Storage - Count Total], "Err", 0, 1), 0)</f>
        <v>6</v>
      </c>
      <c r="B362" s="1">
        <f>_xlfn.LET(_xlpm.loc, ITEquipmentTable[Storage Location],
COUNTIFS(ITSecondTable[Tag], ITSecondTable[[#This Row],[Tag]], _xlpm.loc, "&lt;&gt;In Use", _xlpm.loc, "&lt;&gt;",  _xlpm.loc, "&lt;&gt;E-Waste", _xlpm.loc, "&lt;&gt;Virtual",  _xlpm.loc, "&lt;&gt;Assigned to Employee", _xlpm.loc, "&lt;&gt;Decommisioned", _xlpm.loc, "&lt;&gt;Missing")
)</f>
        <v>17</v>
      </c>
      <c r="C362" s="1">
        <f>_xlfn.LET(_xlpm.loc, ITEquipmentTable[Storage Location],
COUNTIFS(ITSecondTable[Tag], ITSecondTable[[#This Row],[Tag]], _xlpm.loc, "&lt;&gt;E-Waste", _xlpm.loc, "&lt;&gt;Virtual", _xlpm.loc, "&lt;&gt;Decommisioned")
)</f>
        <v>64</v>
      </c>
      <c r="D362" s="168">
        <f>_xlfn.LET(_xlpm.loc, ITEquipmentTable[Storage Location],
COUNTIFS(ITSecondTable[Tag], ITSecondTable[[#This Row],[Tag]], _xlpm.loc, "Missing")
)</f>
        <v>0</v>
      </c>
      <c r="E362" s="168">
        <f>_xlfn.LET(_xlpm.loc, ITEquipmentTable[Storage Location],
COUNTIFS(ITSecondTable[Tag], ITSecondTable[[#This Row],[Tag]], _xlpm.loc, "In Use") + COUNTIFS(ITSecondTable[Tag], ITSecondTable[[#This Row],[Tag]], _xlpm.loc, "Assigned to Employee")
)</f>
        <v>30</v>
      </c>
      <c r="F362" s="168">
        <f>_xlfn.LET(_xlpm.loc, ITEquipmentTable[Storage Location],
COUNTIFS(ITSecondTable[Tag], ITSecondTable[[#This Row],[Tag]], _xlpm.loc, "")
)</f>
        <v>17</v>
      </c>
      <c r="G362" s="168">
        <f>MAX(ITSecondTable[[#This Row],[SQty]] - ITSecondTable[[#This Row],[IQty]], 0)</f>
        <v>11</v>
      </c>
      <c r="H362" s="168">
        <f>MAX(ITSecondTable[[#This Row],[IQty]]-ITSecondTable[[#This Row],[SQty]], 0)</f>
        <v>0</v>
      </c>
      <c r="I362" s="151" t="str">
        <f>IFERROR(_xlfn.TEXTJOIN("~", TRUE, ITEquipmentTable[[#This Row],[Type]],ITEquipmentTable[[#This Row],[Brand]],ITEquipmentTable[[#This Row],[Model]]), "")</f>
        <v>Desktop~Dell~OptiPlex 3040</v>
      </c>
      <c r="J362" s="151" t="b">
        <f xml:space="preserve"> _xlfn.IFNA(MATCH( ITSecondTable[[#This Row],[Tag]], StorageTable[Tag], 0)  &gt; -1, FALSE)</f>
        <v>0</v>
      </c>
      <c r="K362" s="168" t="b">
        <f>COUNTIFS(ITEquipmentTable[Serial], ITEquipmentTable[[#This Row],[Serial]], ITEquipmentTable[Serial], "&lt;&gt;N/A") &gt; 1</f>
        <v>0</v>
      </c>
      <c r="L362" s="168" t="b">
        <f>COUNTIFS(ITEquipmentTable[Name], ITEquipmentTable[[#This Row],[Name]], ITEquipmentTable[Name], "&lt;&gt;&lt;Unassigned&gt;",  ITEquipmentTable[Name], "&lt;&gt;N/A") &gt; 1</f>
        <v>0</v>
      </c>
      <c r="M362" s="168" t="b">
        <f>AND(COUNTIFS(ITEquipmentTable[IPv4 Address], ITEquipmentTable[[#This Row],[IPv4 Address]]) &gt; 1, ITEquipmentTable[[#This Row],[IPv4 Address]] &lt;&gt; "DHCP",  ITEquipmentTable[[#This Row],[IPv4 Address]] &lt;&gt; "N/A")</f>
        <v>0</v>
      </c>
    </row>
    <row r="363" spans="1:13" x14ac:dyDescent="0.2">
      <c r="A363" s="168">
        <f>IF(LEN(ITSecondTable[[#This Row],[Tag]]) &gt; 0, _xlfn.XLOOKUP(ITSecondTable[[#This Row],[Tag]],StorageTable[Tag], StorageTable[In Storage - Count Total], "Err", 0, 1), 0)</f>
        <v>0</v>
      </c>
      <c r="B363" s="1">
        <f>_xlfn.LET(_xlpm.loc, ITEquipmentTable[Storage Location],
COUNTIFS(ITSecondTable[Tag], ITSecondTable[[#This Row],[Tag]], _xlpm.loc, "&lt;&gt;In Use", _xlpm.loc, "&lt;&gt;",  _xlpm.loc, "&lt;&gt;E-Waste", _xlpm.loc, "&lt;&gt;Virtual",  _xlpm.loc, "&lt;&gt;Assigned to Employee", _xlpm.loc, "&lt;&gt;Decommisioned", _xlpm.loc, "&lt;&gt;Missing")
)</f>
        <v>0</v>
      </c>
      <c r="C363" s="1">
        <f>_xlfn.LET(_xlpm.loc, ITEquipmentTable[Storage Location],
COUNTIFS(ITSecondTable[Tag], ITSecondTable[[#This Row],[Tag]], _xlpm.loc, "&lt;&gt;E-Waste", _xlpm.loc, "&lt;&gt;Virtual", _xlpm.loc, "&lt;&gt;Decommisioned")
)</f>
        <v>32</v>
      </c>
      <c r="D363" s="168">
        <f>_xlfn.LET(_xlpm.loc, ITEquipmentTable[Storage Location],
COUNTIFS(ITSecondTable[Tag], ITSecondTable[[#This Row],[Tag]], _xlpm.loc, "Missing")
)</f>
        <v>0</v>
      </c>
      <c r="E363" s="168">
        <f>_xlfn.LET(_xlpm.loc, ITEquipmentTable[Storage Location],
COUNTIFS(ITSecondTable[Tag], ITSecondTable[[#This Row],[Tag]], _xlpm.loc, "In Use") + COUNTIFS(ITSecondTable[Tag], ITSecondTable[[#This Row],[Tag]], _xlpm.loc, "Assigned to Employee")
)</f>
        <v>26</v>
      </c>
      <c r="F363" s="168">
        <f>_xlfn.LET(_xlpm.loc, ITEquipmentTable[Storage Location],
COUNTIFS(ITSecondTable[Tag], ITSecondTable[[#This Row],[Tag]], _xlpm.loc, "")
)</f>
        <v>6</v>
      </c>
      <c r="G363" s="168">
        <f>MAX(ITSecondTable[[#This Row],[SQty]] - ITSecondTable[[#This Row],[IQty]], 0)</f>
        <v>0</v>
      </c>
      <c r="H363" s="168">
        <f>MAX(ITSecondTable[[#This Row],[IQty]]-ITSecondTable[[#This Row],[SQty]], 0)</f>
        <v>0</v>
      </c>
      <c r="I363" s="151" t="str">
        <f>IFERROR(_xlfn.TEXTJOIN("~", TRUE, ITEquipmentTable[[#This Row],[Type]],ITEquipmentTable[[#This Row],[Brand]],ITEquipmentTable[[#This Row],[Model]]), "")</f>
        <v>Desktop</v>
      </c>
      <c r="J363" s="151" t="b">
        <f xml:space="preserve"> _xlfn.IFNA(MATCH( ITSecondTable[[#This Row],[Tag]], StorageTable[Tag], 0)  &gt; -1, FALSE)</f>
        <v>1</v>
      </c>
      <c r="K363" s="168" t="b">
        <f>COUNTIFS(ITEquipmentTable[Serial], ITEquipmentTable[[#This Row],[Serial]], ITEquipmentTable[Serial], "&lt;&gt;N/A") &gt; 1</f>
        <v>0</v>
      </c>
      <c r="L363" s="168" t="b">
        <f>COUNTIFS(ITEquipmentTable[Name], ITEquipmentTable[[#This Row],[Name]], ITEquipmentTable[Name], "&lt;&gt;&lt;Unassigned&gt;",  ITEquipmentTable[Name], "&lt;&gt;N/A") &gt; 1</f>
        <v>0</v>
      </c>
      <c r="M363" s="168" t="b">
        <f>AND(COUNTIFS(ITEquipmentTable[IPv4 Address], ITEquipmentTable[[#This Row],[IPv4 Address]]) &gt; 1, ITEquipmentTable[[#This Row],[IPv4 Address]] &lt;&gt; "DHCP",  ITEquipmentTable[[#This Row],[IPv4 Address]] &lt;&gt; "N/A")</f>
        <v>0</v>
      </c>
    </row>
    <row r="364" spans="1:13" x14ac:dyDescent="0.2">
      <c r="A364" s="168">
        <f>IF(LEN(ITSecondTable[[#This Row],[Tag]]) &gt; 0, _xlfn.XLOOKUP(ITSecondTable[[#This Row],[Tag]],StorageTable[Tag], StorageTable[In Storage - Count Total], "Err", 0, 1), 0)</f>
        <v>0</v>
      </c>
      <c r="B364" s="1">
        <f>_xlfn.LET(_xlpm.loc, ITEquipmentTable[Storage Location],
COUNTIFS(ITSecondTable[Tag], ITSecondTable[[#This Row],[Tag]], _xlpm.loc, "&lt;&gt;In Use", _xlpm.loc, "&lt;&gt;",  _xlpm.loc, "&lt;&gt;E-Waste", _xlpm.loc, "&lt;&gt;Virtual",  _xlpm.loc, "&lt;&gt;Assigned to Employee", _xlpm.loc, "&lt;&gt;Decommisioned", _xlpm.loc, "&lt;&gt;Missing")
)</f>
        <v>0</v>
      </c>
      <c r="C364" s="1">
        <f>_xlfn.LET(_xlpm.loc, ITEquipmentTable[Storage Location],
COUNTIFS(ITSecondTable[Tag], ITSecondTable[[#This Row],[Tag]], _xlpm.loc, "&lt;&gt;E-Waste", _xlpm.loc, "&lt;&gt;Virtual", _xlpm.loc, "&lt;&gt;Decommisioned")
)</f>
        <v>32</v>
      </c>
      <c r="D364" s="168">
        <f>_xlfn.LET(_xlpm.loc, ITEquipmentTable[Storage Location],
COUNTIFS(ITSecondTable[Tag], ITSecondTable[[#This Row],[Tag]], _xlpm.loc, "Missing")
)</f>
        <v>0</v>
      </c>
      <c r="E364" s="168">
        <f>_xlfn.LET(_xlpm.loc, ITEquipmentTable[Storage Location],
COUNTIFS(ITSecondTable[Tag], ITSecondTable[[#This Row],[Tag]], _xlpm.loc, "In Use") + COUNTIFS(ITSecondTable[Tag], ITSecondTable[[#This Row],[Tag]], _xlpm.loc, "Assigned to Employee")
)</f>
        <v>26</v>
      </c>
      <c r="F364" s="168">
        <f>_xlfn.LET(_xlpm.loc, ITEquipmentTable[Storage Location],
COUNTIFS(ITSecondTable[Tag], ITSecondTable[[#This Row],[Tag]], _xlpm.loc, "")
)</f>
        <v>6</v>
      </c>
      <c r="G364" s="168">
        <f>MAX(ITSecondTable[[#This Row],[SQty]] - ITSecondTable[[#This Row],[IQty]], 0)</f>
        <v>0</v>
      </c>
      <c r="H364" s="168">
        <f>MAX(ITSecondTable[[#This Row],[IQty]]-ITSecondTable[[#This Row],[SQty]], 0)</f>
        <v>0</v>
      </c>
      <c r="I364" s="151" t="str">
        <f>IFERROR(_xlfn.TEXTJOIN("~", TRUE, ITEquipmentTable[[#This Row],[Type]],ITEquipmentTable[[#This Row],[Brand]],ITEquipmentTable[[#This Row],[Model]]), "")</f>
        <v>Desktop</v>
      </c>
      <c r="J364" s="151" t="b">
        <f xml:space="preserve"> _xlfn.IFNA(MATCH( ITSecondTable[[#This Row],[Tag]], StorageTable[Tag], 0)  &gt; -1, FALSE)</f>
        <v>1</v>
      </c>
      <c r="K364" s="168" t="b">
        <f>COUNTIFS(ITEquipmentTable[Serial], ITEquipmentTable[[#This Row],[Serial]], ITEquipmentTable[Serial], "&lt;&gt;N/A") &gt; 1</f>
        <v>0</v>
      </c>
      <c r="L364" s="168" t="b">
        <f>COUNTIFS(ITEquipmentTable[Name], ITEquipmentTable[[#This Row],[Name]], ITEquipmentTable[Name], "&lt;&gt;&lt;Unassigned&gt;",  ITEquipmentTable[Name], "&lt;&gt;N/A") &gt; 1</f>
        <v>0</v>
      </c>
      <c r="M364" s="168" t="b">
        <f>AND(COUNTIFS(ITEquipmentTable[IPv4 Address], ITEquipmentTable[[#This Row],[IPv4 Address]]) &gt; 1, ITEquipmentTable[[#This Row],[IPv4 Address]] &lt;&gt; "DHCP",  ITEquipmentTable[[#This Row],[IPv4 Address]] &lt;&gt; "N/A")</f>
        <v>0</v>
      </c>
    </row>
    <row r="365" spans="1:13" x14ac:dyDescent="0.2">
      <c r="A365" s="168">
        <f>IF(LEN(ITSecondTable[[#This Row],[Tag]]) &gt; 0, _xlfn.XLOOKUP(ITSecondTable[[#This Row],[Tag]],StorageTable[Tag], StorageTable[In Storage - Count Total], "Err", 0, 1), 0)</f>
        <v>6</v>
      </c>
      <c r="B365" s="1">
        <f>_xlfn.LET(_xlpm.loc, ITEquipmentTable[Storage Location],
COUNTIFS(ITSecondTable[Tag], ITSecondTable[[#This Row],[Tag]], _xlpm.loc, "&lt;&gt;In Use", _xlpm.loc, "&lt;&gt;",  _xlpm.loc, "&lt;&gt;E-Waste", _xlpm.loc, "&lt;&gt;Virtual",  _xlpm.loc, "&lt;&gt;Assigned to Employee", _xlpm.loc, "&lt;&gt;Decommisioned", _xlpm.loc, "&lt;&gt;Missing")
)</f>
        <v>17</v>
      </c>
      <c r="C365" s="1">
        <f>_xlfn.LET(_xlpm.loc, ITEquipmentTable[Storage Location],
COUNTIFS(ITSecondTable[Tag], ITSecondTable[[#This Row],[Tag]], _xlpm.loc, "&lt;&gt;E-Waste", _xlpm.loc, "&lt;&gt;Virtual", _xlpm.loc, "&lt;&gt;Decommisioned")
)</f>
        <v>64</v>
      </c>
      <c r="D365" s="168">
        <f>_xlfn.LET(_xlpm.loc, ITEquipmentTable[Storage Location],
COUNTIFS(ITSecondTable[Tag], ITSecondTable[[#This Row],[Tag]], _xlpm.loc, "Missing")
)</f>
        <v>0</v>
      </c>
      <c r="E365" s="168">
        <f>_xlfn.LET(_xlpm.loc, ITEquipmentTable[Storage Location],
COUNTIFS(ITSecondTable[Tag], ITSecondTable[[#This Row],[Tag]], _xlpm.loc, "In Use") + COUNTIFS(ITSecondTable[Tag], ITSecondTable[[#This Row],[Tag]], _xlpm.loc, "Assigned to Employee")
)</f>
        <v>30</v>
      </c>
      <c r="F365" s="168">
        <f>_xlfn.LET(_xlpm.loc, ITEquipmentTable[Storage Location],
COUNTIFS(ITSecondTable[Tag], ITSecondTable[[#This Row],[Tag]], _xlpm.loc, "")
)</f>
        <v>17</v>
      </c>
      <c r="G365" s="168">
        <f>MAX(ITSecondTable[[#This Row],[SQty]] - ITSecondTable[[#This Row],[IQty]], 0)</f>
        <v>11</v>
      </c>
      <c r="H365" s="168">
        <f>MAX(ITSecondTable[[#This Row],[IQty]]-ITSecondTable[[#This Row],[SQty]], 0)</f>
        <v>0</v>
      </c>
      <c r="I365" s="151" t="str">
        <f>IFERROR(_xlfn.TEXTJOIN("~", TRUE, ITEquipmentTable[[#This Row],[Type]],ITEquipmentTable[[#This Row],[Brand]],ITEquipmentTable[[#This Row],[Model]]), "")</f>
        <v>Desktop~Dell~OptiPlex 3040</v>
      </c>
      <c r="J365" s="151" t="b">
        <f xml:space="preserve"> _xlfn.IFNA(MATCH( ITSecondTable[[#This Row],[Tag]], StorageTable[Tag], 0)  &gt; -1, FALSE)</f>
        <v>0</v>
      </c>
      <c r="K365" s="168" t="b">
        <f>COUNTIFS(ITEquipmentTable[Serial], ITEquipmentTable[[#This Row],[Serial]], ITEquipmentTable[Serial], "&lt;&gt;N/A") &gt; 1</f>
        <v>0</v>
      </c>
      <c r="L365" s="168" t="b">
        <f>COUNTIFS(ITEquipmentTable[Name], ITEquipmentTable[[#This Row],[Name]], ITEquipmentTable[Name], "&lt;&gt;&lt;Unassigned&gt;",  ITEquipmentTable[Name], "&lt;&gt;N/A") &gt; 1</f>
        <v>0</v>
      </c>
      <c r="M365" s="168" t="b">
        <f>AND(COUNTIFS(ITEquipmentTable[IPv4 Address], ITEquipmentTable[[#This Row],[IPv4 Address]]) &gt; 1, ITEquipmentTable[[#This Row],[IPv4 Address]] &lt;&gt; "DHCP",  ITEquipmentTable[[#This Row],[IPv4 Address]] &lt;&gt; "N/A")</f>
        <v>0</v>
      </c>
    </row>
    <row r="366" spans="1:13" x14ac:dyDescent="0.2">
      <c r="A366" s="168">
        <f>IF(LEN(ITSecondTable[[#This Row],[Tag]]) &gt; 0, _xlfn.XLOOKUP(ITSecondTable[[#This Row],[Tag]],StorageTable[Tag], StorageTable[In Storage - Count Total], "Err", 0, 1), 0)</f>
        <v>6</v>
      </c>
      <c r="B366" s="1">
        <f>_xlfn.LET(_xlpm.loc, ITEquipmentTable[Storage Location],
COUNTIFS(ITSecondTable[Tag], ITSecondTable[[#This Row],[Tag]], _xlpm.loc, "&lt;&gt;In Use", _xlpm.loc, "&lt;&gt;",  _xlpm.loc, "&lt;&gt;E-Waste", _xlpm.loc, "&lt;&gt;Virtual",  _xlpm.loc, "&lt;&gt;Assigned to Employee", _xlpm.loc, "&lt;&gt;Decommisioned", _xlpm.loc, "&lt;&gt;Missing")
)</f>
        <v>17</v>
      </c>
      <c r="C366" s="1">
        <f>_xlfn.LET(_xlpm.loc, ITEquipmentTable[Storage Location],
COUNTIFS(ITSecondTable[Tag], ITSecondTable[[#This Row],[Tag]], _xlpm.loc, "&lt;&gt;E-Waste", _xlpm.loc, "&lt;&gt;Virtual", _xlpm.loc, "&lt;&gt;Decommisioned")
)</f>
        <v>64</v>
      </c>
      <c r="D366" s="168">
        <f>_xlfn.LET(_xlpm.loc, ITEquipmentTable[Storage Location],
COUNTIFS(ITSecondTable[Tag], ITSecondTable[[#This Row],[Tag]], _xlpm.loc, "Missing")
)</f>
        <v>0</v>
      </c>
      <c r="E366" s="168">
        <f>_xlfn.LET(_xlpm.loc, ITEquipmentTable[Storage Location],
COUNTIFS(ITSecondTable[Tag], ITSecondTable[[#This Row],[Tag]], _xlpm.loc, "In Use") + COUNTIFS(ITSecondTable[Tag], ITSecondTable[[#This Row],[Tag]], _xlpm.loc, "Assigned to Employee")
)</f>
        <v>30</v>
      </c>
      <c r="F366" s="168">
        <f>_xlfn.LET(_xlpm.loc, ITEquipmentTable[Storage Location],
COUNTIFS(ITSecondTable[Tag], ITSecondTable[[#This Row],[Tag]], _xlpm.loc, "")
)</f>
        <v>17</v>
      </c>
      <c r="G366" s="168">
        <f>MAX(ITSecondTable[[#This Row],[SQty]] - ITSecondTable[[#This Row],[IQty]], 0)</f>
        <v>11</v>
      </c>
      <c r="H366" s="168">
        <f>MAX(ITSecondTable[[#This Row],[IQty]]-ITSecondTable[[#This Row],[SQty]], 0)</f>
        <v>0</v>
      </c>
      <c r="I366" s="151" t="str">
        <f>IFERROR(_xlfn.TEXTJOIN("~", TRUE, ITEquipmentTable[[#This Row],[Type]],ITEquipmentTable[[#This Row],[Brand]],ITEquipmentTable[[#This Row],[Model]]), "")</f>
        <v>Desktop~Dell~OptiPlex 3040</v>
      </c>
      <c r="J366" s="151" t="b">
        <f xml:space="preserve"> _xlfn.IFNA(MATCH( ITSecondTable[[#This Row],[Tag]], StorageTable[Tag], 0)  &gt; -1, FALSE)</f>
        <v>0</v>
      </c>
      <c r="K366" s="168" t="b">
        <f>COUNTIFS(ITEquipmentTable[Serial], ITEquipmentTable[[#This Row],[Serial]], ITEquipmentTable[Serial], "&lt;&gt;N/A") &gt; 1</f>
        <v>0</v>
      </c>
      <c r="L366" s="168" t="b">
        <f>COUNTIFS(ITEquipmentTable[Name], ITEquipmentTable[[#This Row],[Name]], ITEquipmentTable[Name], "&lt;&gt;&lt;Unassigned&gt;",  ITEquipmentTable[Name], "&lt;&gt;N/A") &gt; 1</f>
        <v>0</v>
      </c>
      <c r="M366" s="168" t="b">
        <f>AND(COUNTIFS(ITEquipmentTable[IPv4 Address], ITEquipmentTable[[#This Row],[IPv4 Address]]) &gt; 1, ITEquipmentTable[[#This Row],[IPv4 Address]] &lt;&gt; "DHCP",  ITEquipmentTable[[#This Row],[IPv4 Address]] &lt;&gt; "N/A")</f>
        <v>0</v>
      </c>
    </row>
    <row r="367" spans="1:13" x14ac:dyDescent="0.2">
      <c r="A367" s="168">
        <f>IF(LEN(ITSecondTable[[#This Row],[Tag]]) &gt; 0, _xlfn.XLOOKUP(ITSecondTable[[#This Row],[Tag]],StorageTable[Tag], StorageTable[In Storage - Count Total], "Err", 0, 1), 0)</f>
        <v>6</v>
      </c>
      <c r="B367" s="1">
        <f>_xlfn.LET(_xlpm.loc, ITEquipmentTable[Storage Location],
COUNTIFS(ITSecondTable[Tag], ITSecondTable[[#This Row],[Tag]], _xlpm.loc, "&lt;&gt;In Use", _xlpm.loc, "&lt;&gt;",  _xlpm.loc, "&lt;&gt;E-Waste", _xlpm.loc, "&lt;&gt;Virtual",  _xlpm.loc, "&lt;&gt;Assigned to Employee", _xlpm.loc, "&lt;&gt;Decommisioned", _xlpm.loc, "&lt;&gt;Missing")
)</f>
        <v>17</v>
      </c>
      <c r="C367" s="1">
        <f>_xlfn.LET(_xlpm.loc, ITEquipmentTable[Storage Location],
COUNTIFS(ITSecondTable[Tag], ITSecondTable[[#This Row],[Tag]], _xlpm.loc, "&lt;&gt;E-Waste", _xlpm.loc, "&lt;&gt;Virtual", _xlpm.loc, "&lt;&gt;Decommisioned")
)</f>
        <v>64</v>
      </c>
      <c r="D367" s="168">
        <f>_xlfn.LET(_xlpm.loc, ITEquipmentTable[Storage Location],
COUNTIFS(ITSecondTable[Tag], ITSecondTable[[#This Row],[Tag]], _xlpm.loc, "Missing")
)</f>
        <v>0</v>
      </c>
      <c r="E367" s="168">
        <f>_xlfn.LET(_xlpm.loc, ITEquipmentTable[Storage Location],
COUNTIFS(ITSecondTable[Tag], ITSecondTable[[#This Row],[Tag]], _xlpm.loc, "In Use") + COUNTIFS(ITSecondTable[Tag], ITSecondTable[[#This Row],[Tag]], _xlpm.loc, "Assigned to Employee")
)</f>
        <v>30</v>
      </c>
      <c r="F367" s="168">
        <f>_xlfn.LET(_xlpm.loc, ITEquipmentTable[Storage Location],
COUNTIFS(ITSecondTable[Tag], ITSecondTable[[#This Row],[Tag]], _xlpm.loc, "")
)</f>
        <v>17</v>
      </c>
      <c r="G367" s="168">
        <f>MAX(ITSecondTable[[#This Row],[SQty]] - ITSecondTable[[#This Row],[IQty]], 0)</f>
        <v>11</v>
      </c>
      <c r="H367" s="168">
        <f>MAX(ITSecondTable[[#This Row],[IQty]]-ITSecondTable[[#This Row],[SQty]], 0)</f>
        <v>0</v>
      </c>
      <c r="I367" s="151" t="str">
        <f>IFERROR(_xlfn.TEXTJOIN("~", TRUE, ITEquipmentTable[[#This Row],[Type]],ITEquipmentTable[[#This Row],[Brand]],ITEquipmentTable[[#This Row],[Model]]), "")</f>
        <v>Desktop~Dell~OptiPlex 3040</v>
      </c>
      <c r="J367" s="151" t="b">
        <f xml:space="preserve"> _xlfn.IFNA(MATCH( ITSecondTable[[#This Row],[Tag]], StorageTable[Tag], 0)  &gt; -1, FALSE)</f>
        <v>0</v>
      </c>
      <c r="K367" s="168" t="b">
        <f>COUNTIFS(ITEquipmentTable[Serial], ITEquipmentTable[[#This Row],[Serial]], ITEquipmentTable[Serial], "&lt;&gt;N/A") &gt; 1</f>
        <v>0</v>
      </c>
      <c r="L367" s="168" t="b">
        <f>COUNTIFS(ITEquipmentTable[Name], ITEquipmentTable[[#This Row],[Name]], ITEquipmentTable[Name], "&lt;&gt;&lt;Unassigned&gt;",  ITEquipmentTable[Name], "&lt;&gt;N/A") &gt; 1</f>
        <v>0</v>
      </c>
      <c r="M367" s="168" t="b">
        <f>AND(COUNTIFS(ITEquipmentTable[IPv4 Address], ITEquipmentTable[[#This Row],[IPv4 Address]]) &gt; 1, ITEquipmentTable[[#This Row],[IPv4 Address]] &lt;&gt; "DHCP",  ITEquipmentTable[[#This Row],[IPv4 Address]] &lt;&gt; "N/A")</f>
        <v>0</v>
      </c>
    </row>
    <row r="368" spans="1:13" x14ac:dyDescent="0.2">
      <c r="A368" s="168">
        <f>IF(LEN(ITSecondTable[[#This Row],[Tag]]) &gt; 0, _xlfn.XLOOKUP(ITSecondTable[[#This Row],[Tag]],StorageTable[Tag], StorageTable[In Storage - Count Total], "Err", 0, 1), 0)</f>
        <v>6</v>
      </c>
      <c r="B368" s="1">
        <f>_xlfn.LET(_xlpm.loc, ITEquipmentTable[Storage Location],
COUNTIFS(ITSecondTable[Tag], ITSecondTable[[#This Row],[Tag]], _xlpm.loc, "&lt;&gt;In Use", _xlpm.loc, "&lt;&gt;",  _xlpm.loc, "&lt;&gt;E-Waste", _xlpm.loc, "&lt;&gt;Virtual",  _xlpm.loc, "&lt;&gt;Assigned to Employee", _xlpm.loc, "&lt;&gt;Decommisioned", _xlpm.loc, "&lt;&gt;Missing")
)</f>
        <v>17</v>
      </c>
      <c r="C368" s="1">
        <f>_xlfn.LET(_xlpm.loc, ITEquipmentTable[Storage Location],
COUNTIFS(ITSecondTable[Tag], ITSecondTable[[#This Row],[Tag]], _xlpm.loc, "&lt;&gt;E-Waste", _xlpm.loc, "&lt;&gt;Virtual", _xlpm.loc, "&lt;&gt;Decommisioned")
)</f>
        <v>64</v>
      </c>
      <c r="D368" s="168">
        <f>_xlfn.LET(_xlpm.loc, ITEquipmentTable[Storage Location],
COUNTIFS(ITSecondTable[Tag], ITSecondTable[[#This Row],[Tag]], _xlpm.loc, "Missing")
)</f>
        <v>0</v>
      </c>
      <c r="E368" s="168">
        <f>_xlfn.LET(_xlpm.loc, ITEquipmentTable[Storage Location],
COUNTIFS(ITSecondTable[Tag], ITSecondTable[[#This Row],[Tag]], _xlpm.loc, "In Use") + COUNTIFS(ITSecondTable[Tag], ITSecondTable[[#This Row],[Tag]], _xlpm.loc, "Assigned to Employee")
)</f>
        <v>30</v>
      </c>
      <c r="F368" s="168">
        <f>_xlfn.LET(_xlpm.loc, ITEquipmentTable[Storage Location],
COUNTIFS(ITSecondTable[Tag], ITSecondTable[[#This Row],[Tag]], _xlpm.loc, "")
)</f>
        <v>17</v>
      </c>
      <c r="G368" s="168">
        <f>MAX(ITSecondTable[[#This Row],[SQty]] - ITSecondTable[[#This Row],[IQty]], 0)</f>
        <v>11</v>
      </c>
      <c r="H368" s="168">
        <f>MAX(ITSecondTable[[#This Row],[IQty]]-ITSecondTable[[#This Row],[SQty]], 0)</f>
        <v>0</v>
      </c>
      <c r="I368" s="151" t="str">
        <f>IFERROR(_xlfn.TEXTJOIN("~", TRUE, ITEquipmentTable[[#This Row],[Type]],ITEquipmentTable[[#This Row],[Brand]],ITEquipmentTable[[#This Row],[Model]]), "")</f>
        <v>Desktop~Dell~OptiPlex 3040</v>
      </c>
      <c r="J368" s="151" t="b">
        <f xml:space="preserve"> _xlfn.IFNA(MATCH( ITSecondTable[[#This Row],[Tag]], StorageTable[Tag], 0)  &gt; -1, FALSE)</f>
        <v>0</v>
      </c>
      <c r="K368" s="168" t="b">
        <f>COUNTIFS(ITEquipmentTable[Serial], ITEquipmentTable[[#This Row],[Serial]], ITEquipmentTable[Serial], "&lt;&gt;N/A") &gt; 1</f>
        <v>0</v>
      </c>
      <c r="L368" s="168" t="b">
        <f>COUNTIFS(ITEquipmentTable[Name], ITEquipmentTable[[#This Row],[Name]], ITEquipmentTable[Name], "&lt;&gt;&lt;Unassigned&gt;",  ITEquipmentTable[Name], "&lt;&gt;N/A") &gt; 1</f>
        <v>0</v>
      </c>
      <c r="M368" s="168" t="b">
        <f>AND(COUNTIFS(ITEquipmentTable[IPv4 Address], ITEquipmentTable[[#This Row],[IPv4 Address]]) &gt; 1, ITEquipmentTable[[#This Row],[IPv4 Address]] &lt;&gt; "DHCP",  ITEquipmentTable[[#This Row],[IPv4 Address]] &lt;&gt; "N/A")</f>
        <v>0</v>
      </c>
    </row>
    <row r="369" spans="1:13" x14ac:dyDescent="0.2">
      <c r="A369" s="168">
        <f>IF(LEN(ITSecondTable[[#This Row],[Tag]]) &gt; 0, _xlfn.XLOOKUP(ITSecondTable[[#This Row],[Tag]],StorageTable[Tag], StorageTable[In Storage - Count Total], "Err", 0, 1), 0)</f>
        <v>0</v>
      </c>
      <c r="B369" s="1">
        <f>_xlfn.LET(_xlpm.loc, ITEquipmentTable[Storage Location],
COUNTIFS(ITSecondTable[Tag], ITSecondTable[[#This Row],[Tag]], _xlpm.loc, "&lt;&gt;In Use", _xlpm.loc, "&lt;&gt;",  _xlpm.loc, "&lt;&gt;E-Waste", _xlpm.loc, "&lt;&gt;Virtual",  _xlpm.loc, "&lt;&gt;Assigned to Employee", _xlpm.loc, "&lt;&gt;Decommisioned", _xlpm.loc, "&lt;&gt;Missing")
)</f>
        <v>1</v>
      </c>
      <c r="C369" s="1">
        <f>_xlfn.LET(_xlpm.loc, ITEquipmentTable[Storage Location],
COUNTIFS(ITSecondTable[Tag], ITSecondTable[[#This Row],[Tag]], _xlpm.loc, "&lt;&gt;E-Waste", _xlpm.loc, "&lt;&gt;Virtual", _xlpm.loc, "&lt;&gt;Decommisioned")
)</f>
        <v>2</v>
      </c>
      <c r="D369" s="168">
        <f>_xlfn.LET(_xlpm.loc, ITEquipmentTable[Storage Location],
COUNTIFS(ITSecondTable[Tag], ITSecondTable[[#This Row],[Tag]], _xlpm.loc, "Missing")
)</f>
        <v>0</v>
      </c>
      <c r="E369" s="168">
        <f>_xlfn.LET(_xlpm.loc, ITEquipmentTable[Storage Location],
COUNTIFS(ITSecondTable[Tag], ITSecondTable[[#This Row],[Tag]], _xlpm.loc, "In Use") + COUNTIFS(ITSecondTable[Tag], ITSecondTable[[#This Row],[Tag]], _xlpm.loc, "Assigned to Employee")
)</f>
        <v>1</v>
      </c>
      <c r="F369" s="168">
        <f>_xlfn.LET(_xlpm.loc, ITEquipmentTable[Storage Location],
COUNTIFS(ITSecondTable[Tag], ITSecondTable[[#This Row],[Tag]], _xlpm.loc, "")
)</f>
        <v>0</v>
      </c>
      <c r="G369" s="168">
        <f>MAX(ITSecondTable[[#This Row],[SQty]] - ITSecondTable[[#This Row],[IQty]], 0)</f>
        <v>1</v>
      </c>
      <c r="H369" s="168">
        <f>MAX(ITSecondTable[[#This Row],[IQty]]-ITSecondTable[[#This Row],[SQty]], 0)</f>
        <v>0</v>
      </c>
      <c r="I369" s="151" t="str">
        <f>IFERROR(_xlfn.TEXTJOIN("~", TRUE, ITEquipmentTable[[#This Row],[Type]],ITEquipmentTable[[#This Row],[Brand]],ITEquipmentTable[[#This Row],[Model]]), "")</f>
        <v>Desktop~Dell~OptiPlex 3070</v>
      </c>
      <c r="J369" s="151" t="b">
        <f xml:space="preserve"> _xlfn.IFNA(MATCH( ITSecondTable[[#This Row],[Tag]], StorageTable[Tag], 0)  &gt; -1, FALSE)</f>
        <v>0</v>
      </c>
      <c r="K369" s="168" t="b">
        <f>COUNTIFS(ITEquipmentTable[Serial], ITEquipmentTable[[#This Row],[Serial]], ITEquipmentTable[Serial], "&lt;&gt;N/A") &gt; 1</f>
        <v>0</v>
      </c>
      <c r="L369" s="168" t="b">
        <f>COUNTIFS(ITEquipmentTable[Name], ITEquipmentTable[[#This Row],[Name]], ITEquipmentTable[Name], "&lt;&gt;&lt;Unassigned&gt;",  ITEquipmentTable[Name], "&lt;&gt;N/A") &gt; 1</f>
        <v>0</v>
      </c>
      <c r="M369" s="168" t="b">
        <f>AND(COUNTIFS(ITEquipmentTable[IPv4 Address], ITEquipmentTable[[#This Row],[IPv4 Address]]) &gt; 1, ITEquipmentTable[[#This Row],[IPv4 Address]] &lt;&gt; "DHCP",  ITEquipmentTable[[#This Row],[IPv4 Address]] &lt;&gt; "N/A")</f>
        <v>0</v>
      </c>
    </row>
    <row r="370" spans="1:13" x14ac:dyDescent="0.2">
      <c r="A370" s="168">
        <f>IF(LEN(ITSecondTable[[#This Row],[Tag]]) &gt; 0, _xlfn.XLOOKUP(ITSecondTable[[#This Row],[Tag]],StorageTable[Tag], StorageTable[In Storage - Count Total], "Err", 0, 1), 0)</f>
        <v>1</v>
      </c>
      <c r="B370" s="1">
        <f>_xlfn.LET(_xlpm.loc, ITEquipmentTable[Storage Location],
COUNTIFS(ITSecondTable[Tag], ITSecondTable[[#This Row],[Tag]], _xlpm.loc, "&lt;&gt;In Use", _xlpm.loc, "&lt;&gt;",  _xlpm.loc, "&lt;&gt;E-Waste", _xlpm.loc, "&lt;&gt;Virtual",  _xlpm.loc, "&lt;&gt;Assigned to Employee", _xlpm.loc, "&lt;&gt;Decommisioned", _xlpm.loc, "&lt;&gt;Missing")
)</f>
        <v>2</v>
      </c>
      <c r="C370" s="1">
        <f>_xlfn.LET(_xlpm.loc, ITEquipmentTable[Storage Location],
COUNTIFS(ITSecondTable[Tag], ITSecondTable[[#This Row],[Tag]], _xlpm.loc, "&lt;&gt;E-Waste", _xlpm.loc, "&lt;&gt;Virtual", _xlpm.loc, "&lt;&gt;Decommisioned")
)</f>
        <v>7</v>
      </c>
      <c r="D370" s="168">
        <f>_xlfn.LET(_xlpm.loc, ITEquipmentTable[Storage Location],
COUNTIFS(ITSecondTable[Tag], ITSecondTable[[#This Row],[Tag]], _xlpm.loc, "Missing")
)</f>
        <v>0</v>
      </c>
      <c r="E370" s="168">
        <f>_xlfn.LET(_xlpm.loc, ITEquipmentTable[Storage Location],
COUNTIFS(ITSecondTable[Tag], ITSecondTable[[#This Row],[Tag]], _xlpm.loc, "In Use") + COUNTIFS(ITSecondTable[Tag], ITSecondTable[[#This Row],[Tag]], _xlpm.loc, "Assigned to Employee")
)</f>
        <v>0</v>
      </c>
      <c r="F370" s="168">
        <f>_xlfn.LET(_xlpm.loc, ITEquipmentTable[Storage Location],
COUNTIFS(ITSecondTable[Tag], ITSecondTable[[#This Row],[Tag]], _xlpm.loc, "")
)</f>
        <v>5</v>
      </c>
      <c r="G370" s="168">
        <f>MAX(ITSecondTable[[#This Row],[SQty]] - ITSecondTable[[#This Row],[IQty]], 0)</f>
        <v>1</v>
      </c>
      <c r="H370" s="168">
        <f>MAX(ITSecondTable[[#This Row],[IQty]]-ITSecondTable[[#This Row],[SQty]], 0)</f>
        <v>0</v>
      </c>
      <c r="I370" s="151" t="str">
        <f>IFERROR(_xlfn.TEXTJOIN("~", TRUE, ITEquipmentTable[[#This Row],[Type]],ITEquipmentTable[[#This Row],[Brand]],ITEquipmentTable[[#This Row],[Model]]), "")</f>
        <v>Laptop~HP~HP ProBook 640 G2</v>
      </c>
      <c r="J370" s="151" t="b">
        <f xml:space="preserve"> _xlfn.IFNA(MATCH( ITSecondTable[[#This Row],[Tag]], StorageTable[Tag], 0)  &gt; -1, FALSE)</f>
        <v>0</v>
      </c>
      <c r="K370" s="168" t="b">
        <f>COUNTIFS(ITEquipmentTable[Serial], ITEquipmentTable[[#This Row],[Serial]], ITEquipmentTable[Serial], "&lt;&gt;N/A") &gt; 1</f>
        <v>0</v>
      </c>
      <c r="L370" s="168" t="b">
        <f>COUNTIFS(ITEquipmentTable[Name], ITEquipmentTable[[#This Row],[Name]], ITEquipmentTable[Name], "&lt;&gt;&lt;Unassigned&gt;",  ITEquipmentTable[Name], "&lt;&gt;N/A") &gt; 1</f>
        <v>0</v>
      </c>
      <c r="M370" s="168" t="b">
        <f>AND(COUNTIFS(ITEquipmentTable[IPv4 Address], ITEquipmentTable[[#This Row],[IPv4 Address]]) &gt; 1, ITEquipmentTable[[#This Row],[IPv4 Address]] &lt;&gt; "DHCP",  ITEquipmentTable[[#This Row],[IPv4 Address]] &lt;&gt; "N/A")</f>
        <v>0</v>
      </c>
    </row>
    <row r="371" spans="1:13" x14ac:dyDescent="0.2">
      <c r="A371" s="168">
        <f>IF(LEN(ITSecondTable[[#This Row],[Tag]]) &gt; 0, _xlfn.XLOOKUP(ITSecondTable[[#This Row],[Tag]],StorageTable[Tag], StorageTable[In Storage - Count Total], "Err", 0, 1), 0)</f>
        <v>0</v>
      </c>
      <c r="B371" s="1">
        <f>_xlfn.LET(_xlpm.loc, ITEquipmentTable[Storage Location],
COUNTIFS(ITSecondTable[Tag], ITSecondTable[[#This Row],[Tag]], _xlpm.loc, "&lt;&gt;In Use", _xlpm.loc, "&lt;&gt;",  _xlpm.loc, "&lt;&gt;E-Waste", _xlpm.loc, "&lt;&gt;Virtual",  _xlpm.loc, "&lt;&gt;Assigned to Employee", _xlpm.loc, "&lt;&gt;Decommisioned", _xlpm.loc, "&lt;&gt;Missing")
)</f>
        <v>0</v>
      </c>
      <c r="C371" s="1">
        <f>_xlfn.LET(_xlpm.loc, ITEquipmentTable[Storage Location],
COUNTIFS(ITSecondTable[Tag], ITSecondTable[[#This Row],[Tag]], _xlpm.loc, "&lt;&gt;E-Waste", _xlpm.loc, "&lt;&gt;Virtual", _xlpm.loc, "&lt;&gt;Decommisioned")
)</f>
        <v>32</v>
      </c>
      <c r="D371" s="168">
        <f>_xlfn.LET(_xlpm.loc, ITEquipmentTable[Storage Location],
COUNTIFS(ITSecondTable[Tag], ITSecondTable[[#This Row],[Tag]], _xlpm.loc, "Missing")
)</f>
        <v>0</v>
      </c>
      <c r="E371" s="168">
        <f>_xlfn.LET(_xlpm.loc, ITEquipmentTable[Storage Location],
COUNTIFS(ITSecondTable[Tag], ITSecondTable[[#This Row],[Tag]], _xlpm.loc, "In Use") + COUNTIFS(ITSecondTable[Tag], ITSecondTable[[#This Row],[Tag]], _xlpm.loc, "Assigned to Employee")
)</f>
        <v>26</v>
      </c>
      <c r="F371" s="168">
        <f>_xlfn.LET(_xlpm.loc, ITEquipmentTable[Storage Location],
COUNTIFS(ITSecondTable[Tag], ITSecondTable[[#This Row],[Tag]], _xlpm.loc, "")
)</f>
        <v>6</v>
      </c>
      <c r="G371" s="168">
        <f>MAX(ITSecondTable[[#This Row],[SQty]] - ITSecondTable[[#This Row],[IQty]], 0)</f>
        <v>0</v>
      </c>
      <c r="H371" s="168">
        <f>MAX(ITSecondTable[[#This Row],[IQty]]-ITSecondTable[[#This Row],[SQty]], 0)</f>
        <v>0</v>
      </c>
      <c r="I371" s="151" t="str">
        <f>IFERROR(_xlfn.TEXTJOIN("~", TRUE, ITEquipmentTable[[#This Row],[Type]],ITEquipmentTable[[#This Row],[Brand]],ITEquipmentTable[[#This Row],[Model]]), "")</f>
        <v>Desktop</v>
      </c>
      <c r="J371" s="151" t="b">
        <f xml:space="preserve"> _xlfn.IFNA(MATCH( ITSecondTable[[#This Row],[Tag]], StorageTable[Tag], 0)  &gt; -1, FALSE)</f>
        <v>1</v>
      </c>
      <c r="K371" s="168" t="b">
        <f>COUNTIFS(ITEquipmentTable[Serial], ITEquipmentTable[[#This Row],[Serial]], ITEquipmentTable[Serial], "&lt;&gt;N/A") &gt; 1</f>
        <v>0</v>
      </c>
      <c r="L371" s="168" t="b">
        <f>COUNTIFS(ITEquipmentTable[Name], ITEquipmentTable[[#This Row],[Name]], ITEquipmentTable[Name], "&lt;&gt;&lt;Unassigned&gt;",  ITEquipmentTable[Name], "&lt;&gt;N/A") &gt; 1</f>
        <v>0</v>
      </c>
      <c r="M371" s="168" t="b">
        <f>AND(COUNTIFS(ITEquipmentTable[IPv4 Address], ITEquipmentTable[[#This Row],[IPv4 Address]]) &gt; 1, ITEquipmentTable[[#This Row],[IPv4 Address]] &lt;&gt; "DHCP",  ITEquipmentTable[[#This Row],[IPv4 Address]] &lt;&gt; "N/A")</f>
        <v>0</v>
      </c>
    </row>
    <row r="372" spans="1:13" x14ac:dyDescent="0.2">
      <c r="A372" s="168">
        <f>IF(LEN(ITSecondTable[[#This Row],[Tag]]) &gt; 0, _xlfn.XLOOKUP(ITSecondTable[[#This Row],[Tag]],StorageTable[Tag], StorageTable[In Storage - Count Total], "Err", 0, 1), 0)</f>
        <v>0</v>
      </c>
      <c r="B372" s="1">
        <f>_xlfn.LET(_xlpm.loc, ITEquipmentTable[Storage Location],
COUNTIFS(ITSecondTable[Tag], ITSecondTable[[#This Row],[Tag]], _xlpm.loc, "&lt;&gt;In Use", _xlpm.loc, "&lt;&gt;",  _xlpm.loc, "&lt;&gt;E-Waste", _xlpm.loc, "&lt;&gt;Virtual",  _xlpm.loc, "&lt;&gt;Assigned to Employee", _xlpm.loc, "&lt;&gt;Decommisioned", _xlpm.loc, "&lt;&gt;Missing")
)</f>
        <v>0</v>
      </c>
      <c r="C372" s="1">
        <f>_xlfn.LET(_xlpm.loc, ITEquipmentTable[Storage Location],
COUNTIFS(ITSecondTable[Tag], ITSecondTable[[#This Row],[Tag]], _xlpm.loc, "&lt;&gt;E-Waste", _xlpm.loc, "&lt;&gt;Virtual", _xlpm.loc, "&lt;&gt;Decommisioned")
)</f>
        <v>32</v>
      </c>
      <c r="D372" s="168">
        <f>_xlfn.LET(_xlpm.loc, ITEquipmentTable[Storage Location],
COUNTIFS(ITSecondTable[Tag], ITSecondTable[[#This Row],[Tag]], _xlpm.loc, "Missing")
)</f>
        <v>0</v>
      </c>
      <c r="E372" s="168">
        <f>_xlfn.LET(_xlpm.loc, ITEquipmentTable[Storage Location],
COUNTIFS(ITSecondTable[Tag], ITSecondTable[[#This Row],[Tag]], _xlpm.loc, "In Use") + COUNTIFS(ITSecondTable[Tag], ITSecondTable[[#This Row],[Tag]], _xlpm.loc, "Assigned to Employee")
)</f>
        <v>26</v>
      </c>
      <c r="F372" s="168">
        <f>_xlfn.LET(_xlpm.loc, ITEquipmentTable[Storage Location],
COUNTIFS(ITSecondTable[Tag], ITSecondTable[[#This Row],[Tag]], _xlpm.loc, "")
)</f>
        <v>6</v>
      </c>
      <c r="G372" s="168">
        <f>MAX(ITSecondTable[[#This Row],[SQty]] - ITSecondTable[[#This Row],[IQty]], 0)</f>
        <v>0</v>
      </c>
      <c r="H372" s="168">
        <f>MAX(ITSecondTable[[#This Row],[IQty]]-ITSecondTable[[#This Row],[SQty]], 0)</f>
        <v>0</v>
      </c>
      <c r="I372" s="151" t="str">
        <f>IFERROR(_xlfn.TEXTJOIN("~", TRUE, ITEquipmentTable[[#This Row],[Type]],ITEquipmentTable[[#This Row],[Brand]],ITEquipmentTable[[#This Row],[Model]]), "")</f>
        <v>Desktop</v>
      </c>
      <c r="J372" s="151" t="b">
        <f xml:space="preserve"> _xlfn.IFNA(MATCH( ITSecondTable[[#This Row],[Tag]], StorageTable[Tag], 0)  &gt; -1, FALSE)</f>
        <v>1</v>
      </c>
      <c r="K372" s="168" t="b">
        <f>COUNTIFS(ITEquipmentTable[Serial], ITEquipmentTable[[#This Row],[Serial]], ITEquipmentTable[Serial], "&lt;&gt;N/A") &gt; 1</f>
        <v>0</v>
      </c>
      <c r="L372" s="168" t="b">
        <f>COUNTIFS(ITEquipmentTable[Name], ITEquipmentTable[[#This Row],[Name]], ITEquipmentTable[Name], "&lt;&gt;&lt;Unassigned&gt;",  ITEquipmentTable[Name], "&lt;&gt;N/A") &gt; 1</f>
        <v>0</v>
      </c>
      <c r="M372" s="168" t="b">
        <f>AND(COUNTIFS(ITEquipmentTable[IPv4 Address], ITEquipmentTable[[#This Row],[IPv4 Address]]) &gt; 1, ITEquipmentTable[[#This Row],[IPv4 Address]] &lt;&gt; "DHCP",  ITEquipmentTable[[#This Row],[IPv4 Address]] &lt;&gt; "N/A")</f>
        <v>0</v>
      </c>
    </row>
    <row r="373" spans="1:13" x14ac:dyDescent="0.2">
      <c r="A373" s="168">
        <f>IF(LEN(ITSecondTable[[#This Row],[Tag]]) &gt; 0, _xlfn.XLOOKUP(ITSecondTable[[#This Row],[Tag]],StorageTable[Tag], StorageTable[In Storage - Count Total], "Err", 0, 1), 0)</f>
        <v>0</v>
      </c>
      <c r="B373" s="1">
        <f>_xlfn.LET(_xlpm.loc, ITEquipmentTable[Storage Location],
COUNTIFS(ITSecondTable[Tag], ITSecondTable[[#This Row],[Tag]], _xlpm.loc, "&lt;&gt;In Use", _xlpm.loc, "&lt;&gt;",  _xlpm.loc, "&lt;&gt;E-Waste", _xlpm.loc, "&lt;&gt;Virtual",  _xlpm.loc, "&lt;&gt;Assigned to Employee", _xlpm.loc, "&lt;&gt;Decommisioned", _xlpm.loc, "&lt;&gt;Missing")
)</f>
        <v>8</v>
      </c>
      <c r="C373" s="1">
        <f>_xlfn.LET(_xlpm.loc, ITEquipmentTable[Storage Location],
COUNTIFS(ITSecondTable[Tag], ITSecondTable[[#This Row],[Tag]], _xlpm.loc, "&lt;&gt;E-Waste", _xlpm.loc, "&lt;&gt;Virtual", _xlpm.loc, "&lt;&gt;Decommisioned")
)</f>
        <v>27</v>
      </c>
      <c r="D373" s="168">
        <f>_xlfn.LET(_xlpm.loc, ITEquipmentTable[Storage Location],
COUNTIFS(ITSecondTable[Tag], ITSecondTable[[#This Row],[Tag]], _xlpm.loc, "Missing")
)</f>
        <v>0</v>
      </c>
      <c r="E373" s="168">
        <f>_xlfn.LET(_xlpm.loc, ITEquipmentTable[Storage Location],
COUNTIFS(ITSecondTable[Tag], ITSecondTable[[#This Row],[Tag]], _xlpm.loc, "In Use") + COUNTIFS(ITSecondTable[Tag], ITSecondTable[[#This Row],[Tag]], _xlpm.loc, "Assigned to Employee")
)</f>
        <v>12</v>
      </c>
      <c r="F373" s="168">
        <f>_xlfn.LET(_xlpm.loc, ITEquipmentTable[Storage Location],
COUNTIFS(ITSecondTable[Tag], ITSecondTable[[#This Row],[Tag]], _xlpm.loc, "")
)</f>
        <v>7</v>
      </c>
      <c r="G373" s="168">
        <f>MAX(ITSecondTable[[#This Row],[SQty]] - ITSecondTable[[#This Row],[IQty]], 0)</f>
        <v>8</v>
      </c>
      <c r="H373" s="168">
        <f>MAX(ITSecondTable[[#This Row],[IQty]]-ITSecondTable[[#This Row],[SQty]], 0)</f>
        <v>0</v>
      </c>
      <c r="I373" s="151" t="str">
        <f>IFERROR(_xlfn.TEXTJOIN("~", TRUE, ITEquipmentTable[[#This Row],[Type]],ITEquipmentTable[[#This Row],[Brand]],ITEquipmentTable[[#This Row],[Model]]), "")</f>
        <v>Desktop~Dell~OptiPlex 3050</v>
      </c>
      <c r="J373" s="151" t="b">
        <f xml:space="preserve"> _xlfn.IFNA(MATCH( ITSecondTable[[#This Row],[Tag]], StorageTable[Tag], 0)  &gt; -1, FALSE)</f>
        <v>0</v>
      </c>
      <c r="K373" s="168" t="b">
        <f>COUNTIFS(ITEquipmentTable[Serial], ITEquipmentTable[[#This Row],[Serial]], ITEquipmentTable[Serial], "&lt;&gt;N/A") &gt; 1</f>
        <v>0</v>
      </c>
      <c r="L373" s="168" t="b">
        <f>COUNTIFS(ITEquipmentTable[Name], ITEquipmentTable[[#This Row],[Name]], ITEquipmentTable[Name], "&lt;&gt;&lt;Unassigned&gt;",  ITEquipmentTable[Name], "&lt;&gt;N/A") &gt; 1</f>
        <v>0</v>
      </c>
      <c r="M373" s="168" t="b">
        <f>AND(COUNTIFS(ITEquipmentTable[IPv4 Address], ITEquipmentTable[[#This Row],[IPv4 Address]]) &gt; 1, ITEquipmentTable[[#This Row],[IPv4 Address]] &lt;&gt; "DHCP",  ITEquipmentTable[[#This Row],[IPv4 Address]] &lt;&gt; "N/A")</f>
        <v>0</v>
      </c>
    </row>
    <row r="374" spans="1:13" x14ac:dyDescent="0.2">
      <c r="A374" s="168">
        <f>IF(LEN(ITSecondTable[[#This Row],[Tag]]) &gt; 0, _xlfn.XLOOKUP(ITSecondTable[[#This Row],[Tag]],StorageTable[Tag], StorageTable[In Storage - Count Total], "Err", 0, 1), 0)</f>
        <v>0</v>
      </c>
      <c r="B374" s="1">
        <f>_xlfn.LET(_xlpm.loc, ITEquipmentTable[Storage Location],
COUNTIFS(ITSecondTable[Tag], ITSecondTable[[#This Row],[Tag]], _xlpm.loc, "&lt;&gt;In Use", _xlpm.loc, "&lt;&gt;",  _xlpm.loc, "&lt;&gt;E-Waste", _xlpm.loc, "&lt;&gt;Virtual",  _xlpm.loc, "&lt;&gt;Assigned to Employee", _xlpm.loc, "&lt;&gt;Decommisioned", _xlpm.loc, "&lt;&gt;Missing")
)</f>
        <v>0</v>
      </c>
      <c r="C374" s="1">
        <f>_xlfn.LET(_xlpm.loc, ITEquipmentTable[Storage Location],
COUNTIFS(ITSecondTable[Tag], ITSecondTable[[#This Row],[Tag]], _xlpm.loc, "&lt;&gt;E-Waste", _xlpm.loc, "&lt;&gt;Virtual", _xlpm.loc, "&lt;&gt;Decommisioned")
)</f>
        <v>29</v>
      </c>
      <c r="D374" s="168">
        <f>_xlfn.LET(_xlpm.loc, ITEquipmentTable[Storage Location],
COUNTIFS(ITSecondTable[Tag], ITSecondTable[[#This Row],[Tag]], _xlpm.loc, "Missing")
)</f>
        <v>0</v>
      </c>
      <c r="E374" s="168">
        <f>_xlfn.LET(_xlpm.loc, ITEquipmentTable[Storage Location],
COUNTIFS(ITSecondTable[Tag], ITSecondTable[[#This Row],[Tag]], _xlpm.loc, "In Use") + COUNTIFS(ITSecondTable[Tag], ITSecondTable[[#This Row],[Tag]], _xlpm.loc, "Assigned to Employee")
)</f>
        <v>3</v>
      </c>
      <c r="F374" s="168">
        <f>_xlfn.LET(_xlpm.loc, ITEquipmentTable[Storage Location],
COUNTIFS(ITSecondTable[Tag], ITSecondTable[[#This Row],[Tag]], _xlpm.loc, "")
)</f>
        <v>26</v>
      </c>
      <c r="G374" s="168">
        <f>MAX(ITSecondTable[[#This Row],[SQty]] - ITSecondTable[[#This Row],[IQty]], 0)</f>
        <v>0</v>
      </c>
      <c r="H374" s="168">
        <f>MAX(ITSecondTable[[#This Row],[IQty]]-ITSecondTable[[#This Row],[SQty]], 0)</f>
        <v>0</v>
      </c>
      <c r="I374" s="151" t="str">
        <f>IFERROR(_xlfn.TEXTJOIN("~", TRUE, ITEquipmentTable[[#This Row],[Type]],ITEquipmentTable[[#This Row],[Brand]],ITEquipmentTable[[#This Row],[Model]]), "")</f>
        <v>Laptop~HP~HP ProBook 650 G2</v>
      </c>
      <c r="J374" s="151" t="b">
        <f xml:space="preserve"> _xlfn.IFNA(MATCH( ITSecondTable[[#This Row],[Tag]], StorageTable[Tag], 0)  &gt; -1, FALSE)</f>
        <v>0</v>
      </c>
      <c r="K374" s="168" t="b">
        <f>COUNTIFS(ITEquipmentTable[Serial], ITEquipmentTable[[#This Row],[Serial]], ITEquipmentTable[Serial], "&lt;&gt;N/A") &gt; 1</f>
        <v>0</v>
      </c>
      <c r="L374" s="168" t="b">
        <f>COUNTIFS(ITEquipmentTable[Name], ITEquipmentTable[[#This Row],[Name]], ITEquipmentTable[Name], "&lt;&gt;&lt;Unassigned&gt;",  ITEquipmentTable[Name], "&lt;&gt;N/A") &gt; 1</f>
        <v>0</v>
      </c>
      <c r="M374" s="168" t="b">
        <f>AND(COUNTIFS(ITEquipmentTable[IPv4 Address], ITEquipmentTable[[#This Row],[IPv4 Address]]) &gt; 1, ITEquipmentTable[[#This Row],[IPv4 Address]] &lt;&gt; "DHCP",  ITEquipmentTable[[#This Row],[IPv4 Address]] &lt;&gt; "N/A")</f>
        <v>0</v>
      </c>
    </row>
    <row r="375" spans="1:13" x14ac:dyDescent="0.2">
      <c r="A375" s="168">
        <f>IF(LEN(ITSecondTable[[#This Row],[Tag]]) &gt; 0, _xlfn.XLOOKUP(ITSecondTable[[#This Row],[Tag]],StorageTable[Tag], StorageTable[In Storage - Count Total], "Err", 0, 1), 0)</f>
        <v>0</v>
      </c>
      <c r="B375" s="1">
        <f>_xlfn.LET(_xlpm.loc, ITEquipmentTable[Storage Location],
COUNTIFS(ITSecondTable[Tag], ITSecondTable[[#This Row],[Tag]], _xlpm.loc, "&lt;&gt;In Use", _xlpm.loc, "&lt;&gt;",  _xlpm.loc, "&lt;&gt;E-Waste", _xlpm.loc, "&lt;&gt;Virtual",  _xlpm.loc, "&lt;&gt;Assigned to Employee", _xlpm.loc, "&lt;&gt;Decommisioned", _xlpm.loc, "&lt;&gt;Missing")
)</f>
        <v>0</v>
      </c>
      <c r="C375" s="1">
        <f>_xlfn.LET(_xlpm.loc, ITEquipmentTable[Storage Location],
COUNTIFS(ITSecondTable[Tag], ITSecondTable[[#This Row],[Tag]], _xlpm.loc, "&lt;&gt;E-Waste", _xlpm.loc, "&lt;&gt;Virtual", _xlpm.loc, "&lt;&gt;Decommisioned")
)</f>
        <v>29</v>
      </c>
      <c r="D375" s="168">
        <f>_xlfn.LET(_xlpm.loc, ITEquipmentTable[Storage Location],
COUNTIFS(ITSecondTable[Tag], ITSecondTable[[#This Row],[Tag]], _xlpm.loc, "Missing")
)</f>
        <v>0</v>
      </c>
      <c r="E375" s="168">
        <f>_xlfn.LET(_xlpm.loc, ITEquipmentTable[Storage Location],
COUNTIFS(ITSecondTable[Tag], ITSecondTable[[#This Row],[Tag]], _xlpm.loc, "In Use") + COUNTIFS(ITSecondTable[Tag], ITSecondTable[[#This Row],[Tag]], _xlpm.loc, "Assigned to Employee")
)</f>
        <v>3</v>
      </c>
      <c r="F375" s="168">
        <f>_xlfn.LET(_xlpm.loc, ITEquipmentTable[Storage Location],
COUNTIFS(ITSecondTable[Tag], ITSecondTable[[#This Row],[Tag]], _xlpm.loc, "")
)</f>
        <v>26</v>
      </c>
      <c r="G375" s="168">
        <f>MAX(ITSecondTable[[#This Row],[SQty]] - ITSecondTable[[#This Row],[IQty]], 0)</f>
        <v>0</v>
      </c>
      <c r="H375" s="168">
        <f>MAX(ITSecondTable[[#This Row],[IQty]]-ITSecondTable[[#This Row],[SQty]], 0)</f>
        <v>0</v>
      </c>
      <c r="I375" s="151" t="str">
        <f>IFERROR(_xlfn.TEXTJOIN("~", TRUE, ITEquipmentTable[[#This Row],[Type]],ITEquipmentTable[[#This Row],[Brand]],ITEquipmentTable[[#This Row],[Model]]), "")</f>
        <v>Laptop~HP~HP ProBook 650 G2</v>
      </c>
      <c r="J375" s="151" t="b">
        <f xml:space="preserve"> _xlfn.IFNA(MATCH( ITSecondTable[[#This Row],[Tag]], StorageTable[Tag], 0)  &gt; -1, FALSE)</f>
        <v>0</v>
      </c>
      <c r="K375" s="168" t="b">
        <f>COUNTIFS(ITEquipmentTable[Serial], ITEquipmentTable[[#This Row],[Serial]], ITEquipmentTable[Serial], "&lt;&gt;N/A") &gt; 1</f>
        <v>0</v>
      </c>
      <c r="L375" s="168" t="b">
        <f>COUNTIFS(ITEquipmentTable[Name], ITEquipmentTable[[#This Row],[Name]], ITEquipmentTable[Name], "&lt;&gt;&lt;Unassigned&gt;",  ITEquipmentTable[Name], "&lt;&gt;N/A") &gt; 1</f>
        <v>0</v>
      </c>
      <c r="M375" s="168" t="b">
        <f>AND(COUNTIFS(ITEquipmentTable[IPv4 Address], ITEquipmentTable[[#This Row],[IPv4 Address]]) &gt; 1, ITEquipmentTable[[#This Row],[IPv4 Address]] &lt;&gt; "DHCP",  ITEquipmentTable[[#This Row],[IPv4 Address]] &lt;&gt; "N/A")</f>
        <v>0</v>
      </c>
    </row>
    <row r="376" spans="1:13" x14ac:dyDescent="0.2">
      <c r="A376" s="168">
        <f>IF(LEN(ITSecondTable[[#This Row],[Tag]]) &gt; 0, _xlfn.XLOOKUP(ITSecondTable[[#This Row],[Tag]],StorageTable[Tag], StorageTable[In Storage - Count Total], "Err", 0, 1), 0)</f>
        <v>0</v>
      </c>
      <c r="B376" s="1">
        <f>_xlfn.LET(_xlpm.loc, ITEquipmentTable[Storage Location],
COUNTIFS(ITSecondTable[Tag], ITSecondTable[[#This Row],[Tag]], _xlpm.loc, "&lt;&gt;In Use", _xlpm.loc, "&lt;&gt;",  _xlpm.loc, "&lt;&gt;E-Waste", _xlpm.loc, "&lt;&gt;Virtual",  _xlpm.loc, "&lt;&gt;Assigned to Employee", _xlpm.loc, "&lt;&gt;Decommisioned", _xlpm.loc, "&lt;&gt;Missing")
)</f>
        <v>0</v>
      </c>
      <c r="C376" s="1">
        <f>_xlfn.LET(_xlpm.loc, ITEquipmentTable[Storage Location],
COUNTIFS(ITSecondTable[Tag], ITSecondTable[[#This Row],[Tag]], _xlpm.loc, "&lt;&gt;E-Waste", _xlpm.loc, "&lt;&gt;Virtual", _xlpm.loc, "&lt;&gt;Decommisioned")
)</f>
        <v>29</v>
      </c>
      <c r="D376" s="168">
        <f>_xlfn.LET(_xlpm.loc, ITEquipmentTable[Storage Location],
COUNTIFS(ITSecondTable[Tag], ITSecondTable[[#This Row],[Tag]], _xlpm.loc, "Missing")
)</f>
        <v>0</v>
      </c>
      <c r="E376" s="168">
        <f>_xlfn.LET(_xlpm.loc, ITEquipmentTable[Storage Location],
COUNTIFS(ITSecondTable[Tag], ITSecondTable[[#This Row],[Tag]], _xlpm.loc, "In Use") + COUNTIFS(ITSecondTable[Tag], ITSecondTable[[#This Row],[Tag]], _xlpm.loc, "Assigned to Employee")
)</f>
        <v>3</v>
      </c>
      <c r="F376" s="168">
        <f>_xlfn.LET(_xlpm.loc, ITEquipmentTable[Storage Location],
COUNTIFS(ITSecondTable[Tag], ITSecondTable[[#This Row],[Tag]], _xlpm.loc, "")
)</f>
        <v>26</v>
      </c>
      <c r="G376" s="168">
        <f>MAX(ITSecondTable[[#This Row],[SQty]] - ITSecondTable[[#This Row],[IQty]], 0)</f>
        <v>0</v>
      </c>
      <c r="H376" s="168">
        <f>MAX(ITSecondTable[[#This Row],[IQty]]-ITSecondTable[[#This Row],[SQty]], 0)</f>
        <v>0</v>
      </c>
      <c r="I376" s="151" t="str">
        <f>IFERROR(_xlfn.TEXTJOIN("~", TRUE, ITEquipmentTable[[#This Row],[Type]],ITEquipmentTable[[#This Row],[Brand]],ITEquipmentTable[[#This Row],[Model]]), "")</f>
        <v>Laptop~HP~HP ProBook 650 G2</v>
      </c>
      <c r="J376" s="151" t="b">
        <f xml:space="preserve"> _xlfn.IFNA(MATCH( ITSecondTable[[#This Row],[Tag]], StorageTable[Tag], 0)  &gt; -1, FALSE)</f>
        <v>0</v>
      </c>
      <c r="K376" s="168" t="b">
        <f>COUNTIFS(ITEquipmentTable[Serial], ITEquipmentTable[[#This Row],[Serial]], ITEquipmentTable[Serial], "&lt;&gt;N/A") &gt; 1</f>
        <v>0</v>
      </c>
      <c r="L376" s="168" t="b">
        <f>COUNTIFS(ITEquipmentTable[Name], ITEquipmentTable[[#This Row],[Name]], ITEquipmentTable[Name], "&lt;&gt;&lt;Unassigned&gt;",  ITEquipmentTable[Name], "&lt;&gt;N/A") &gt; 1</f>
        <v>0</v>
      </c>
      <c r="M376" s="168" t="b">
        <f>AND(COUNTIFS(ITEquipmentTable[IPv4 Address], ITEquipmentTable[[#This Row],[IPv4 Address]]) &gt; 1, ITEquipmentTable[[#This Row],[IPv4 Address]] &lt;&gt; "DHCP",  ITEquipmentTable[[#This Row],[IPv4 Address]] &lt;&gt; "N/A")</f>
        <v>0</v>
      </c>
    </row>
    <row r="377" spans="1:13" x14ac:dyDescent="0.2">
      <c r="A377" s="168">
        <f>IF(LEN(ITSecondTable[[#This Row],[Tag]]) &gt; 0, _xlfn.XLOOKUP(ITSecondTable[[#This Row],[Tag]],StorageTable[Tag], StorageTable[In Storage - Count Total], "Err", 0, 1), 0)</f>
        <v>0</v>
      </c>
      <c r="B377" s="1">
        <f>_xlfn.LET(_xlpm.loc, ITEquipmentTable[Storage Location],
COUNTIFS(ITSecondTable[Tag], ITSecondTable[[#This Row],[Tag]], _xlpm.loc, "&lt;&gt;In Use", _xlpm.loc, "&lt;&gt;",  _xlpm.loc, "&lt;&gt;E-Waste", _xlpm.loc, "&lt;&gt;Virtual",  _xlpm.loc, "&lt;&gt;Assigned to Employee", _xlpm.loc, "&lt;&gt;Decommisioned", _xlpm.loc, "&lt;&gt;Missing")
)</f>
        <v>2</v>
      </c>
      <c r="C377" s="1">
        <f>_xlfn.LET(_xlpm.loc, ITEquipmentTable[Storage Location],
COUNTIFS(ITSecondTable[Tag], ITSecondTable[[#This Row],[Tag]], _xlpm.loc, "&lt;&gt;E-Waste", _xlpm.loc, "&lt;&gt;Virtual", _xlpm.loc, "&lt;&gt;Decommisioned")
)</f>
        <v>13</v>
      </c>
      <c r="D377" s="168">
        <f>_xlfn.LET(_xlpm.loc, ITEquipmentTable[Storage Location],
COUNTIFS(ITSecondTable[Tag], ITSecondTable[[#This Row],[Tag]], _xlpm.loc, "Missing")
)</f>
        <v>0</v>
      </c>
      <c r="E377" s="168">
        <f>_xlfn.LET(_xlpm.loc, ITEquipmentTable[Storage Location],
COUNTIFS(ITSecondTable[Tag], ITSecondTable[[#This Row],[Tag]], _xlpm.loc, "In Use") + COUNTIFS(ITSecondTable[Tag], ITSecondTable[[#This Row],[Tag]], _xlpm.loc, "Assigned to Employee")
)</f>
        <v>1</v>
      </c>
      <c r="F377" s="168">
        <f>_xlfn.LET(_xlpm.loc, ITEquipmentTable[Storage Location],
COUNTIFS(ITSecondTable[Tag], ITSecondTable[[#This Row],[Tag]], _xlpm.loc, "")
)</f>
        <v>10</v>
      </c>
      <c r="G377" s="168">
        <f>MAX(ITSecondTable[[#This Row],[SQty]] - ITSecondTable[[#This Row],[IQty]], 0)</f>
        <v>2</v>
      </c>
      <c r="H377" s="168">
        <f>MAX(ITSecondTable[[#This Row],[IQty]]-ITSecondTable[[#This Row],[SQty]], 0)</f>
        <v>0</v>
      </c>
      <c r="I377" s="151" t="str">
        <f>IFERROR(_xlfn.TEXTJOIN("~", TRUE, ITEquipmentTable[[#This Row],[Type]],ITEquipmentTable[[#This Row],[Brand]],ITEquipmentTable[[#This Row],[Model]]), "")</f>
        <v>Laptop~HP~HP ProBook 650 G1</v>
      </c>
      <c r="J377" s="151" t="b">
        <f xml:space="preserve"> _xlfn.IFNA(MATCH( ITSecondTable[[#This Row],[Tag]], StorageTable[Tag], 0)  &gt; -1, FALSE)</f>
        <v>0</v>
      </c>
      <c r="K377" s="168" t="b">
        <f>COUNTIFS(ITEquipmentTable[Serial], ITEquipmentTable[[#This Row],[Serial]], ITEquipmentTable[Serial], "&lt;&gt;N/A") &gt; 1</f>
        <v>0</v>
      </c>
      <c r="L377" s="168" t="b">
        <f>COUNTIFS(ITEquipmentTable[Name], ITEquipmentTable[[#This Row],[Name]], ITEquipmentTable[Name], "&lt;&gt;&lt;Unassigned&gt;",  ITEquipmentTable[Name], "&lt;&gt;N/A") &gt; 1</f>
        <v>0</v>
      </c>
      <c r="M377" s="168" t="b">
        <f>AND(COUNTIFS(ITEquipmentTable[IPv4 Address], ITEquipmentTable[[#This Row],[IPv4 Address]]) &gt; 1, ITEquipmentTable[[#This Row],[IPv4 Address]] &lt;&gt; "DHCP",  ITEquipmentTable[[#This Row],[IPv4 Address]] &lt;&gt; "N/A")</f>
        <v>0</v>
      </c>
    </row>
    <row r="378" spans="1:13" x14ac:dyDescent="0.2">
      <c r="A378" s="168">
        <f>IF(LEN(ITSecondTable[[#This Row],[Tag]]) &gt; 0, _xlfn.XLOOKUP(ITSecondTable[[#This Row],[Tag]],StorageTable[Tag], StorageTable[In Storage - Count Total], "Err", 0, 1), 0)</f>
        <v>0</v>
      </c>
      <c r="B378" s="1">
        <f>_xlfn.LET(_xlpm.loc, ITEquipmentTable[Storage Location],
COUNTIFS(ITSecondTable[Tag], ITSecondTable[[#This Row],[Tag]], _xlpm.loc, "&lt;&gt;In Use", _xlpm.loc, "&lt;&gt;",  _xlpm.loc, "&lt;&gt;E-Waste", _xlpm.loc, "&lt;&gt;Virtual",  _xlpm.loc, "&lt;&gt;Assigned to Employee", _xlpm.loc, "&lt;&gt;Decommisioned", _xlpm.loc, "&lt;&gt;Missing")
)</f>
        <v>0</v>
      </c>
      <c r="C378" s="1">
        <f>_xlfn.LET(_xlpm.loc, ITEquipmentTable[Storage Location],
COUNTIFS(ITSecondTable[Tag], ITSecondTable[[#This Row],[Tag]], _xlpm.loc, "&lt;&gt;E-Waste", _xlpm.loc, "&lt;&gt;Virtual", _xlpm.loc, "&lt;&gt;Decommisioned")
)</f>
        <v>78</v>
      </c>
      <c r="D378" s="168">
        <f>_xlfn.LET(_xlpm.loc, ITEquipmentTable[Storage Location],
COUNTIFS(ITSecondTable[Tag], ITSecondTable[[#This Row],[Tag]], _xlpm.loc, "Missing")
)</f>
        <v>0</v>
      </c>
      <c r="E378" s="168">
        <f>_xlfn.LET(_xlpm.loc, ITEquipmentTable[Storage Location],
COUNTIFS(ITSecondTable[Tag], ITSecondTable[[#This Row],[Tag]], _xlpm.loc, "In Use") + COUNTIFS(ITSecondTable[Tag], ITSecondTable[[#This Row],[Tag]], _xlpm.loc, "Assigned to Employee")
)</f>
        <v>44</v>
      </c>
      <c r="F378" s="168">
        <f>_xlfn.LET(_xlpm.loc, ITEquipmentTable[Storage Location],
COUNTIFS(ITSecondTable[Tag], ITSecondTable[[#This Row],[Tag]], _xlpm.loc, "")
)</f>
        <v>34</v>
      </c>
      <c r="G378" s="168">
        <f>MAX(ITSecondTable[[#This Row],[SQty]] - ITSecondTable[[#This Row],[IQty]], 0)</f>
        <v>0</v>
      </c>
      <c r="H378" s="168">
        <f>MAX(ITSecondTable[[#This Row],[IQty]]-ITSecondTable[[#This Row],[SQty]], 0)</f>
        <v>0</v>
      </c>
      <c r="I378" s="151" t="str">
        <f>IFERROR(_xlfn.TEXTJOIN("~", TRUE, ITEquipmentTable[[#This Row],[Type]],ITEquipmentTable[[#This Row],[Brand]],ITEquipmentTable[[#This Row],[Model]]), "")</f>
        <v>Laptop~HP</v>
      </c>
      <c r="J378" s="151" t="b">
        <f xml:space="preserve"> _xlfn.IFNA(MATCH( ITSecondTable[[#This Row],[Tag]], StorageTable[Tag], 0)  &gt; -1, FALSE)</f>
        <v>0</v>
      </c>
      <c r="K378" s="168" t="b">
        <f>COUNTIFS(ITEquipmentTable[Serial], ITEquipmentTable[[#This Row],[Serial]], ITEquipmentTable[Serial], "&lt;&gt;N/A") &gt; 1</f>
        <v>0</v>
      </c>
      <c r="L378" s="168" t="b">
        <f>COUNTIFS(ITEquipmentTable[Name], ITEquipmentTable[[#This Row],[Name]], ITEquipmentTable[Name], "&lt;&gt;&lt;Unassigned&gt;",  ITEquipmentTable[Name], "&lt;&gt;N/A") &gt; 1</f>
        <v>0</v>
      </c>
      <c r="M378" s="168" t="b">
        <f>AND(COUNTIFS(ITEquipmentTable[IPv4 Address], ITEquipmentTable[[#This Row],[IPv4 Address]]) &gt; 1, ITEquipmentTable[[#This Row],[IPv4 Address]] &lt;&gt; "DHCP",  ITEquipmentTable[[#This Row],[IPv4 Address]] &lt;&gt; "N/A")</f>
        <v>0</v>
      </c>
    </row>
    <row r="379" spans="1:13" x14ac:dyDescent="0.2">
      <c r="A379" s="168">
        <f>IF(LEN(ITSecondTable[[#This Row],[Tag]]) &gt; 0, _xlfn.XLOOKUP(ITSecondTable[[#This Row],[Tag]],StorageTable[Tag], StorageTable[In Storage - Count Total], "Err", 0, 1), 0)</f>
        <v>1</v>
      </c>
      <c r="B379" s="1">
        <f>_xlfn.LET(_xlpm.loc, ITEquipmentTable[Storage Location],
COUNTIFS(ITSecondTable[Tag], ITSecondTable[[#This Row],[Tag]], _xlpm.loc, "&lt;&gt;In Use", _xlpm.loc, "&lt;&gt;",  _xlpm.loc, "&lt;&gt;E-Waste", _xlpm.loc, "&lt;&gt;Virtual",  _xlpm.loc, "&lt;&gt;Assigned to Employee", _xlpm.loc, "&lt;&gt;Decommisioned", _xlpm.loc, "&lt;&gt;Missing")
)</f>
        <v>1</v>
      </c>
      <c r="C379" s="1">
        <f>_xlfn.LET(_xlpm.loc, ITEquipmentTable[Storage Location],
COUNTIFS(ITSecondTable[Tag], ITSecondTable[[#This Row],[Tag]], _xlpm.loc, "&lt;&gt;E-Waste", _xlpm.loc, "&lt;&gt;Virtual", _xlpm.loc, "&lt;&gt;Decommisioned")
)</f>
        <v>5</v>
      </c>
      <c r="D379" s="168">
        <f>_xlfn.LET(_xlpm.loc, ITEquipmentTable[Storage Location],
COUNTIFS(ITSecondTable[Tag], ITSecondTable[[#This Row],[Tag]], _xlpm.loc, "Missing")
)</f>
        <v>0</v>
      </c>
      <c r="E379" s="168">
        <f>_xlfn.LET(_xlpm.loc, ITEquipmentTable[Storage Location],
COUNTIFS(ITSecondTable[Tag], ITSecondTable[[#This Row],[Tag]], _xlpm.loc, "In Use") + COUNTIFS(ITSecondTable[Tag], ITSecondTable[[#This Row],[Tag]], _xlpm.loc, "Assigned to Employee")
)</f>
        <v>2</v>
      </c>
      <c r="F379" s="168">
        <f>_xlfn.LET(_xlpm.loc, ITEquipmentTable[Storage Location],
COUNTIFS(ITSecondTable[Tag], ITSecondTable[[#This Row],[Tag]], _xlpm.loc, "")
)</f>
        <v>2</v>
      </c>
      <c r="G379" s="168">
        <f>MAX(ITSecondTable[[#This Row],[SQty]] - ITSecondTable[[#This Row],[IQty]], 0)</f>
        <v>0</v>
      </c>
      <c r="H379" s="168">
        <f>MAX(ITSecondTable[[#This Row],[IQty]]-ITSecondTable[[#This Row],[SQty]], 0)</f>
        <v>0</v>
      </c>
      <c r="I379" s="151" t="str">
        <f>IFERROR(_xlfn.TEXTJOIN("~", TRUE, ITEquipmentTable[[#This Row],[Type]],ITEquipmentTable[[#This Row],[Brand]],ITEquipmentTable[[#This Row],[Model]]), "")</f>
        <v>Desktop~HP~HP EliteDesk 800 G3 DM</v>
      </c>
      <c r="J379" s="151" t="b">
        <f xml:space="preserve"> _xlfn.IFNA(MATCH( ITSecondTable[[#This Row],[Tag]], StorageTable[Tag], 0)  &gt; -1, FALSE)</f>
        <v>0</v>
      </c>
      <c r="K379" s="168" t="b">
        <f>COUNTIFS(ITEquipmentTable[Serial], ITEquipmentTable[[#This Row],[Serial]], ITEquipmentTable[Serial], "&lt;&gt;N/A") &gt; 1</f>
        <v>0</v>
      </c>
      <c r="L379" s="168" t="b">
        <f>COUNTIFS(ITEquipmentTable[Name], ITEquipmentTable[[#This Row],[Name]], ITEquipmentTable[Name], "&lt;&gt;&lt;Unassigned&gt;",  ITEquipmentTable[Name], "&lt;&gt;N/A") &gt; 1</f>
        <v>0</v>
      </c>
      <c r="M379" s="168" t="b">
        <f>AND(COUNTIFS(ITEquipmentTable[IPv4 Address], ITEquipmentTable[[#This Row],[IPv4 Address]]) &gt; 1, ITEquipmentTable[[#This Row],[IPv4 Address]] &lt;&gt; "DHCP",  ITEquipmentTable[[#This Row],[IPv4 Address]] &lt;&gt; "N/A")</f>
        <v>0</v>
      </c>
    </row>
    <row r="380" spans="1:13" x14ac:dyDescent="0.2">
      <c r="A380" s="168">
        <f>IF(LEN(ITSecondTable[[#This Row],[Tag]]) &gt; 0, _xlfn.XLOOKUP(ITSecondTable[[#This Row],[Tag]],StorageTable[Tag], StorageTable[In Storage - Count Total], "Err", 0, 1), 0)</f>
        <v>1</v>
      </c>
      <c r="B380" s="1">
        <f>_xlfn.LET(_xlpm.loc, ITEquipmentTable[Storage Location],
COUNTIFS(ITSecondTable[Tag], ITSecondTable[[#This Row],[Tag]], _xlpm.loc, "&lt;&gt;In Use", _xlpm.loc, "&lt;&gt;",  _xlpm.loc, "&lt;&gt;E-Waste", _xlpm.loc, "&lt;&gt;Virtual",  _xlpm.loc, "&lt;&gt;Assigned to Employee", _xlpm.loc, "&lt;&gt;Decommisioned", _xlpm.loc, "&lt;&gt;Missing")
)</f>
        <v>1</v>
      </c>
      <c r="C380" s="1">
        <f>_xlfn.LET(_xlpm.loc, ITEquipmentTable[Storage Location],
COUNTIFS(ITSecondTable[Tag], ITSecondTable[[#This Row],[Tag]], _xlpm.loc, "&lt;&gt;E-Waste", _xlpm.loc, "&lt;&gt;Virtual", _xlpm.loc, "&lt;&gt;Decommisioned")
)</f>
        <v>5</v>
      </c>
      <c r="D380" s="168">
        <f>_xlfn.LET(_xlpm.loc, ITEquipmentTable[Storage Location],
COUNTIFS(ITSecondTable[Tag], ITSecondTable[[#This Row],[Tag]], _xlpm.loc, "Missing")
)</f>
        <v>0</v>
      </c>
      <c r="E380" s="168">
        <f>_xlfn.LET(_xlpm.loc, ITEquipmentTable[Storage Location],
COUNTIFS(ITSecondTable[Tag], ITSecondTable[[#This Row],[Tag]], _xlpm.loc, "In Use") + COUNTIFS(ITSecondTable[Tag], ITSecondTable[[#This Row],[Tag]], _xlpm.loc, "Assigned to Employee")
)</f>
        <v>2</v>
      </c>
      <c r="F380" s="168">
        <f>_xlfn.LET(_xlpm.loc, ITEquipmentTable[Storage Location],
COUNTIFS(ITSecondTable[Tag], ITSecondTable[[#This Row],[Tag]], _xlpm.loc, "")
)</f>
        <v>2</v>
      </c>
      <c r="G380" s="168">
        <f>MAX(ITSecondTable[[#This Row],[SQty]] - ITSecondTable[[#This Row],[IQty]], 0)</f>
        <v>0</v>
      </c>
      <c r="H380" s="168">
        <f>MAX(ITSecondTable[[#This Row],[IQty]]-ITSecondTable[[#This Row],[SQty]], 0)</f>
        <v>0</v>
      </c>
      <c r="I380" s="151" t="str">
        <f>IFERROR(_xlfn.TEXTJOIN("~", TRUE, ITEquipmentTable[[#This Row],[Type]],ITEquipmentTable[[#This Row],[Brand]],ITEquipmentTable[[#This Row],[Model]]), "")</f>
        <v>Desktop~HP~HP EliteDesk 800 G3 DM</v>
      </c>
      <c r="J380" s="151" t="b">
        <f xml:space="preserve"> _xlfn.IFNA(MATCH( ITSecondTable[[#This Row],[Tag]], StorageTable[Tag], 0)  &gt; -1, FALSE)</f>
        <v>0</v>
      </c>
      <c r="K380" s="168" t="b">
        <f>COUNTIFS(ITEquipmentTable[Serial], ITEquipmentTable[[#This Row],[Serial]], ITEquipmentTable[Serial], "&lt;&gt;N/A") &gt; 1</f>
        <v>0</v>
      </c>
      <c r="L380" s="168" t="b">
        <f>COUNTIFS(ITEquipmentTable[Name], ITEquipmentTable[[#This Row],[Name]], ITEquipmentTable[Name], "&lt;&gt;&lt;Unassigned&gt;",  ITEquipmentTable[Name], "&lt;&gt;N/A") &gt; 1</f>
        <v>0</v>
      </c>
      <c r="M380" s="168" t="b">
        <f>AND(COUNTIFS(ITEquipmentTable[IPv4 Address], ITEquipmentTable[[#This Row],[IPv4 Address]]) &gt; 1, ITEquipmentTable[[#This Row],[IPv4 Address]] &lt;&gt; "DHCP",  ITEquipmentTable[[#This Row],[IPv4 Address]] &lt;&gt; "N/A")</f>
        <v>0</v>
      </c>
    </row>
    <row r="381" spans="1:13" x14ac:dyDescent="0.2">
      <c r="A381" s="168">
        <f>IF(LEN(ITSecondTable[[#This Row],[Tag]]) &gt; 0, _xlfn.XLOOKUP(ITSecondTable[[#This Row],[Tag]],StorageTable[Tag], StorageTable[In Storage - Count Total], "Err", 0, 1), 0)</f>
        <v>1</v>
      </c>
      <c r="B381" s="1">
        <f>_xlfn.LET(_xlpm.loc, ITEquipmentTable[Storage Location],
COUNTIFS(ITSecondTable[Tag], ITSecondTable[[#This Row],[Tag]], _xlpm.loc, "&lt;&gt;In Use", _xlpm.loc, "&lt;&gt;",  _xlpm.loc, "&lt;&gt;E-Waste", _xlpm.loc, "&lt;&gt;Virtual",  _xlpm.loc, "&lt;&gt;Assigned to Employee", _xlpm.loc, "&lt;&gt;Decommisioned", _xlpm.loc, "&lt;&gt;Missing")
)</f>
        <v>1</v>
      </c>
      <c r="C381" s="1">
        <f>_xlfn.LET(_xlpm.loc, ITEquipmentTable[Storage Location],
COUNTIFS(ITSecondTable[Tag], ITSecondTable[[#This Row],[Tag]], _xlpm.loc, "&lt;&gt;E-Waste", _xlpm.loc, "&lt;&gt;Virtual", _xlpm.loc, "&lt;&gt;Decommisioned")
)</f>
        <v>5</v>
      </c>
      <c r="D381" s="168">
        <f>_xlfn.LET(_xlpm.loc, ITEquipmentTable[Storage Location],
COUNTIFS(ITSecondTable[Tag], ITSecondTable[[#This Row],[Tag]], _xlpm.loc, "Missing")
)</f>
        <v>0</v>
      </c>
      <c r="E381" s="168">
        <f>_xlfn.LET(_xlpm.loc, ITEquipmentTable[Storage Location],
COUNTIFS(ITSecondTable[Tag], ITSecondTable[[#This Row],[Tag]], _xlpm.loc, "In Use") + COUNTIFS(ITSecondTable[Tag], ITSecondTable[[#This Row],[Tag]], _xlpm.loc, "Assigned to Employee")
)</f>
        <v>2</v>
      </c>
      <c r="F381" s="168">
        <f>_xlfn.LET(_xlpm.loc, ITEquipmentTable[Storage Location],
COUNTIFS(ITSecondTable[Tag], ITSecondTable[[#This Row],[Tag]], _xlpm.loc, "")
)</f>
        <v>2</v>
      </c>
      <c r="G381" s="168">
        <f>MAX(ITSecondTable[[#This Row],[SQty]] - ITSecondTable[[#This Row],[IQty]], 0)</f>
        <v>0</v>
      </c>
      <c r="H381" s="168">
        <f>MAX(ITSecondTable[[#This Row],[IQty]]-ITSecondTable[[#This Row],[SQty]], 0)</f>
        <v>0</v>
      </c>
      <c r="I381" s="151" t="str">
        <f>IFERROR(_xlfn.TEXTJOIN("~", TRUE, ITEquipmentTable[[#This Row],[Type]],ITEquipmentTable[[#This Row],[Brand]],ITEquipmentTable[[#This Row],[Model]]), "")</f>
        <v>Desktop~HP~HP EliteDesk 800 G3 DM</v>
      </c>
      <c r="J381" s="151" t="b">
        <f xml:space="preserve"> _xlfn.IFNA(MATCH( ITSecondTable[[#This Row],[Tag]], StorageTable[Tag], 0)  &gt; -1, FALSE)</f>
        <v>0</v>
      </c>
      <c r="K381" s="168" t="b">
        <f>COUNTIFS(ITEquipmentTable[Serial], ITEquipmentTable[[#This Row],[Serial]], ITEquipmentTable[Serial], "&lt;&gt;N/A") &gt; 1</f>
        <v>0</v>
      </c>
      <c r="L381" s="168" t="b">
        <f>COUNTIFS(ITEquipmentTable[Name], ITEquipmentTable[[#This Row],[Name]], ITEquipmentTable[Name], "&lt;&gt;&lt;Unassigned&gt;",  ITEquipmentTable[Name], "&lt;&gt;N/A") &gt; 1</f>
        <v>0</v>
      </c>
      <c r="M381" s="168" t="b">
        <f>AND(COUNTIFS(ITEquipmentTable[IPv4 Address], ITEquipmentTable[[#This Row],[IPv4 Address]]) &gt; 1, ITEquipmentTable[[#This Row],[IPv4 Address]] &lt;&gt; "DHCP",  ITEquipmentTable[[#This Row],[IPv4 Address]] &lt;&gt; "N/A")</f>
        <v>0</v>
      </c>
    </row>
    <row r="382" spans="1:13" x14ac:dyDescent="0.2">
      <c r="A382" s="168">
        <f>IF(LEN(ITSecondTable[[#This Row],[Tag]]) &gt; 0, _xlfn.XLOOKUP(ITSecondTable[[#This Row],[Tag]],StorageTable[Tag], StorageTable[In Storage - Count Total], "Err", 0, 1), 0)</f>
        <v>0</v>
      </c>
      <c r="B382" s="1">
        <f>_xlfn.LET(_xlpm.loc, ITEquipmentTable[Storage Location],
COUNTIFS(ITSecondTable[Tag], ITSecondTable[[#This Row],[Tag]], _xlpm.loc, "&lt;&gt;In Use", _xlpm.loc, "&lt;&gt;",  _xlpm.loc, "&lt;&gt;E-Waste", _xlpm.loc, "&lt;&gt;Virtual",  _xlpm.loc, "&lt;&gt;Assigned to Employee", _xlpm.loc, "&lt;&gt;Decommisioned", _xlpm.loc, "&lt;&gt;Missing")
)</f>
        <v>0</v>
      </c>
      <c r="C382" s="1">
        <f>_xlfn.LET(_xlpm.loc, ITEquipmentTable[Storage Location],
COUNTIFS(ITSecondTable[Tag], ITSecondTable[[#This Row],[Tag]], _xlpm.loc, "&lt;&gt;E-Waste", _xlpm.loc, "&lt;&gt;Virtual", _xlpm.loc, "&lt;&gt;Decommisioned")
)</f>
        <v>3</v>
      </c>
      <c r="D382" s="168">
        <f>_xlfn.LET(_xlpm.loc, ITEquipmentTable[Storage Location],
COUNTIFS(ITSecondTable[Tag], ITSecondTable[[#This Row],[Tag]], _xlpm.loc, "Missing")
)</f>
        <v>0</v>
      </c>
      <c r="E382" s="168">
        <f>_xlfn.LET(_xlpm.loc, ITEquipmentTable[Storage Location],
COUNTIFS(ITSecondTable[Tag], ITSecondTable[[#This Row],[Tag]], _xlpm.loc, "In Use") + COUNTIFS(ITSecondTable[Tag], ITSecondTable[[#This Row],[Tag]], _xlpm.loc, "Assigned to Employee")
)</f>
        <v>1</v>
      </c>
      <c r="F382" s="168">
        <f>_xlfn.LET(_xlpm.loc, ITEquipmentTable[Storage Location],
COUNTIFS(ITSecondTable[Tag], ITSecondTable[[#This Row],[Tag]], _xlpm.loc, "")
)</f>
        <v>2</v>
      </c>
      <c r="G382" s="168">
        <f>MAX(ITSecondTable[[#This Row],[SQty]] - ITSecondTable[[#This Row],[IQty]], 0)</f>
        <v>0</v>
      </c>
      <c r="H382" s="168">
        <f>MAX(ITSecondTable[[#This Row],[IQty]]-ITSecondTable[[#This Row],[SQty]], 0)</f>
        <v>0</v>
      </c>
      <c r="I382" s="151" t="str">
        <f>IFERROR(_xlfn.TEXTJOIN("~", TRUE, ITEquipmentTable[[#This Row],[Type]],ITEquipmentTable[[#This Row],[Brand]],ITEquipmentTable[[#This Row],[Model]]), "")</f>
        <v>Desktop~HP~HP EliteDesk 705 G4 DM</v>
      </c>
      <c r="J382" s="151" t="b">
        <f xml:space="preserve"> _xlfn.IFNA(MATCH( ITSecondTable[[#This Row],[Tag]], StorageTable[Tag], 0)  &gt; -1, FALSE)</f>
        <v>0</v>
      </c>
      <c r="K382" s="168" t="b">
        <f>COUNTIFS(ITEquipmentTable[Serial], ITEquipmentTable[[#This Row],[Serial]], ITEquipmentTable[Serial], "&lt;&gt;N/A") &gt; 1</f>
        <v>0</v>
      </c>
      <c r="L382" s="168" t="b">
        <f>COUNTIFS(ITEquipmentTable[Name], ITEquipmentTable[[#This Row],[Name]], ITEquipmentTable[Name], "&lt;&gt;&lt;Unassigned&gt;",  ITEquipmentTable[Name], "&lt;&gt;N/A") &gt; 1</f>
        <v>0</v>
      </c>
      <c r="M382" s="168" t="b">
        <f>AND(COUNTIFS(ITEquipmentTable[IPv4 Address], ITEquipmentTable[[#This Row],[IPv4 Address]]) &gt; 1, ITEquipmentTable[[#This Row],[IPv4 Address]] &lt;&gt; "DHCP",  ITEquipmentTable[[#This Row],[IPv4 Address]] &lt;&gt; "N/A")</f>
        <v>0</v>
      </c>
    </row>
    <row r="383" spans="1:13" x14ac:dyDescent="0.2">
      <c r="A383" s="168">
        <f>IF(LEN(ITSecondTable[[#This Row],[Tag]]) &gt; 0, _xlfn.XLOOKUP(ITSecondTable[[#This Row],[Tag]],StorageTable[Tag], StorageTable[In Storage - Count Total], "Err", 0, 1), 0)</f>
        <v>0</v>
      </c>
      <c r="B383" s="1">
        <f>_xlfn.LET(_xlpm.loc, ITEquipmentTable[Storage Location],
COUNTIFS(ITSecondTable[Tag], ITSecondTable[[#This Row],[Tag]], _xlpm.loc, "&lt;&gt;In Use", _xlpm.loc, "&lt;&gt;",  _xlpm.loc, "&lt;&gt;E-Waste", _xlpm.loc, "&lt;&gt;Virtual",  _xlpm.loc, "&lt;&gt;Assigned to Employee", _xlpm.loc, "&lt;&gt;Decommisioned", _xlpm.loc, "&lt;&gt;Missing")
)</f>
        <v>0</v>
      </c>
      <c r="C383" s="1">
        <f>_xlfn.LET(_xlpm.loc, ITEquipmentTable[Storage Location],
COUNTIFS(ITSecondTable[Tag], ITSecondTable[[#This Row],[Tag]], _xlpm.loc, "&lt;&gt;E-Waste", _xlpm.loc, "&lt;&gt;Virtual", _xlpm.loc, "&lt;&gt;Decommisioned")
)</f>
        <v>32</v>
      </c>
      <c r="D383" s="168">
        <f>_xlfn.LET(_xlpm.loc, ITEquipmentTable[Storage Location],
COUNTIFS(ITSecondTable[Tag], ITSecondTable[[#This Row],[Tag]], _xlpm.loc, "Missing")
)</f>
        <v>0</v>
      </c>
      <c r="E383" s="168">
        <f>_xlfn.LET(_xlpm.loc, ITEquipmentTable[Storage Location],
COUNTIFS(ITSecondTable[Tag], ITSecondTable[[#This Row],[Tag]], _xlpm.loc, "In Use") + COUNTIFS(ITSecondTable[Tag], ITSecondTable[[#This Row],[Tag]], _xlpm.loc, "Assigned to Employee")
)</f>
        <v>26</v>
      </c>
      <c r="F383" s="168">
        <f>_xlfn.LET(_xlpm.loc, ITEquipmentTable[Storage Location],
COUNTIFS(ITSecondTable[Tag], ITSecondTable[[#This Row],[Tag]], _xlpm.loc, "")
)</f>
        <v>6</v>
      </c>
      <c r="G383" s="168">
        <f>MAX(ITSecondTable[[#This Row],[SQty]] - ITSecondTable[[#This Row],[IQty]], 0)</f>
        <v>0</v>
      </c>
      <c r="H383" s="168">
        <f>MAX(ITSecondTable[[#This Row],[IQty]]-ITSecondTable[[#This Row],[SQty]], 0)</f>
        <v>0</v>
      </c>
      <c r="I383" s="151" t="str">
        <f>IFERROR(_xlfn.TEXTJOIN("~", TRUE, ITEquipmentTable[[#This Row],[Type]],ITEquipmentTable[[#This Row],[Brand]],ITEquipmentTable[[#This Row],[Model]]), "")</f>
        <v>Desktop</v>
      </c>
      <c r="J383" s="151" t="b">
        <f xml:space="preserve"> _xlfn.IFNA(MATCH( ITSecondTable[[#This Row],[Tag]], StorageTable[Tag], 0)  &gt; -1, FALSE)</f>
        <v>1</v>
      </c>
      <c r="K383" s="168" t="b">
        <f>COUNTIFS(ITEquipmentTable[Serial], ITEquipmentTable[[#This Row],[Serial]], ITEquipmentTable[Serial], "&lt;&gt;N/A") &gt; 1</f>
        <v>0</v>
      </c>
      <c r="L383" s="168" t="b">
        <f>COUNTIFS(ITEquipmentTable[Name], ITEquipmentTable[[#This Row],[Name]], ITEquipmentTable[Name], "&lt;&gt;&lt;Unassigned&gt;",  ITEquipmentTable[Name], "&lt;&gt;N/A") &gt; 1</f>
        <v>0</v>
      </c>
      <c r="M383" s="168" t="b">
        <f>AND(COUNTIFS(ITEquipmentTable[IPv4 Address], ITEquipmentTable[[#This Row],[IPv4 Address]]) &gt; 1, ITEquipmentTable[[#This Row],[IPv4 Address]] &lt;&gt; "DHCP",  ITEquipmentTable[[#This Row],[IPv4 Address]] &lt;&gt; "N/A")</f>
        <v>1</v>
      </c>
    </row>
    <row r="384" spans="1:13" x14ac:dyDescent="0.2">
      <c r="A384" s="168">
        <f>IF(LEN(ITSecondTable[[#This Row],[Tag]]) &gt; 0, _xlfn.XLOOKUP(ITSecondTable[[#This Row],[Tag]],StorageTable[Tag], StorageTable[In Storage - Count Total], "Err", 0, 1), 0)</f>
        <v>0</v>
      </c>
      <c r="B384" s="1">
        <f>_xlfn.LET(_xlpm.loc, ITEquipmentTable[Storage Location],
COUNTIFS(ITSecondTable[Tag], ITSecondTable[[#This Row],[Tag]], _xlpm.loc, "&lt;&gt;In Use", _xlpm.loc, "&lt;&gt;",  _xlpm.loc, "&lt;&gt;E-Waste", _xlpm.loc, "&lt;&gt;Virtual",  _xlpm.loc, "&lt;&gt;Assigned to Employee", _xlpm.loc, "&lt;&gt;Decommisioned", _xlpm.loc, "&lt;&gt;Missing")
)</f>
        <v>2</v>
      </c>
      <c r="C384" s="1">
        <f>_xlfn.LET(_xlpm.loc, ITEquipmentTable[Storage Location],
COUNTIFS(ITSecondTable[Tag], ITSecondTable[[#This Row],[Tag]], _xlpm.loc, "&lt;&gt;E-Waste", _xlpm.loc, "&lt;&gt;Virtual", _xlpm.loc, "&lt;&gt;Decommisioned")
)</f>
        <v>27</v>
      </c>
      <c r="D384" s="168">
        <f>_xlfn.LET(_xlpm.loc, ITEquipmentTable[Storage Location],
COUNTIFS(ITSecondTable[Tag], ITSecondTable[[#This Row],[Tag]], _xlpm.loc, "Missing")
)</f>
        <v>0</v>
      </c>
      <c r="E384" s="168">
        <f>_xlfn.LET(_xlpm.loc, ITEquipmentTable[Storage Location],
COUNTIFS(ITSecondTable[Tag], ITSecondTable[[#This Row],[Tag]], _xlpm.loc, "In Use") + COUNTIFS(ITSecondTable[Tag], ITSecondTable[[#This Row],[Tag]], _xlpm.loc, "Assigned to Employee")
)</f>
        <v>20</v>
      </c>
      <c r="F384" s="168">
        <f>_xlfn.LET(_xlpm.loc, ITEquipmentTable[Storage Location],
COUNTIFS(ITSecondTable[Tag], ITSecondTable[[#This Row],[Tag]], _xlpm.loc, "")
)</f>
        <v>5</v>
      </c>
      <c r="G384" s="168">
        <f>MAX(ITSecondTable[[#This Row],[SQty]] - ITSecondTable[[#This Row],[IQty]], 0)</f>
        <v>2</v>
      </c>
      <c r="H384" s="168">
        <f>MAX(ITSecondTable[[#This Row],[IQty]]-ITSecondTable[[#This Row],[SQty]], 0)</f>
        <v>0</v>
      </c>
      <c r="I384" s="151" t="str">
        <f>IFERROR(_xlfn.TEXTJOIN("~", TRUE, ITEquipmentTable[[#This Row],[Type]],ITEquipmentTable[[#This Row],[Brand]],ITEquipmentTable[[#This Row],[Model]]), "")</f>
        <v>Desktop~HP</v>
      </c>
      <c r="J384" s="151" t="b">
        <f xml:space="preserve"> _xlfn.IFNA(MATCH( ITSecondTable[[#This Row],[Tag]], StorageTable[Tag], 0)  &gt; -1, FALSE)</f>
        <v>0</v>
      </c>
      <c r="K384" s="168" t="b">
        <f>COUNTIFS(ITEquipmentTable[Serial], ITEquipmentTable[[#This Row],[Serial]], ITEquipmentTable[Serial], "&lt;&gt;N/A") &gt; 1</f>
        <v>0</v>
      </c>
      <c r="L384" s="168" t="b">
        <f>COUNTIFS(ITEquipmentTable[Name], ITEquipmentTable[[#This Row],[Name]], ITEquipmentTable[Name], "&lt;&gt;&lt;Unassigned&gt;",  ITEquipmentTable[Name], "&lt;&gt;N/A") &gt; 1</f>
        <v>0</v>
      </c>
      <c r="M384" s="168" t="b">
        <f>AND(COUNTIFS(ITEquipmentTable[IPv4 Address], ITEquipmentTable[[#This Row],[IPv4 Address]]) &gt; 1, ITEquipmentTable[[#This Row],[IPv4 Address]] &lt;&gt; "DHCP",  ITEquipmentTable[[#This Row],[IPv4 Address]] &lt;&gt; "N/A")</f>
        <v>0</v>
      </c>
    </row>
    <row r="385" spans="1:13" x14ac:dyDescent="0.2">
      <c r="A385" s="168">
        <f>IF(LEN(ITSecondTable[[#This Row],[Tag]]) &gt; 0, _xlfn.XLOOKUP(ITSecondTable[[#This Row],[Tag]],StorageTable[Tag], StorageTable[In Storage - Count Total], "Err", 0, 1), 0)</f>
        <v>0</v>
      </c>
      <c r="B385" s="1">
        <f>_xlfn.LET(_xlpm.loc, ITEquipmentTable[Storage Location],
COUNTIFS(ITSecondTable[Tag], ITSecondTable[[#This Row],[Tag]], _xlpm.loc, "&lt;&gt;In Use", _xlpm.loc, "&lt;&gt;",  _xlpm.loc, "&lt;&gt;E-Waste", _xlpm.loc, "&lt;&gt;Virtual",  _xlpm.loc, "&lt;&gt;Assigned to Employee", _xlpm.loc, "&lt;&gt;Decommisioned", _xlpm.loc, "&lt;&gt;Missing")
)</f>
        <v>2</v>
      </c>
      <c r="C385" s="1">
        <f>_xlfn.LET(_xlpm.loc, ITEquipmentTable[Storage Location],
COUNTIFS(ITSecondTable[Tag], ITSecondTable[[#This Row],[Tag]], _xlpm.loc, "&lt;&gt;E-Waste", _xlpm.loc, "&lt;&gt;Virtual", _xlpm.loc, "&lt;&gt;Decommisioned")
)</f>
        <v>27</v>
      </c>
      <c r="D385" s="168">
        <f>_xlfn.LET(_xlpm.loc, ITEquipmentTable[Storage Location],
COUNTIFS(ITSecondTable[Tag], ITSecondTable[[#This Row],[Tag]], _xlpm.loc, "Missing")
)</f>
        <v>0</v>
      </c>
      <c r="E385" s="168">
        <f>_xlfn.LET(_xlpm.loc, ITEquipmentTable[Storage Location],
COUNTIFS(ITSecondTable[Tag], ITSecondTable[[#This Row],[Tag]], _xlpm.loc, "In Use") + COUNTIFS(ITSecondTable[Tag], ITSecondTable[[#This Row],[Tag]], _xlpm.loc, "Assigned to Employee")
)</f>
        <v>20</v>
      </c>
      <c r="F385" s="168">
        <f>_xlfn.LET(_xlpm.loc, ITEquipmentTable[Storage Location],
COUNTIFS(ITSecondTable[Tag], ITSecondTable[[#This Row],[Tag]], _xlpm.loc, "")
)</f>
        <v>5</v>
      </c>
      <c r="G385" s="168">
        <f>MAX(ITSecondTable[[#This Row],[SQty]] - ITSecondTable[[#This Row],[IQty]], 0)</f>
        <v>2</v>
      </c>
      <c r="H385" s="168">
        <f>MAX(ITSecondTable[[#This Row],[IQty]]-ITSecondTable[[#This Row],[SQty]], 0)</f>
        <v>0</v>
      </c>
      <c r="I385" s="151" t="str">
        <f>IFERROR(_xlfn.TEXTJOIN("~", TRUE, ITEquipmentTable[[#This Row],[Type]],ITEquipmentTable[[#This Row],[Brand]],ITEquipmentTable[[#This Row],[Model]]), "")</f>
        <v>Desktop~HP</v>
      </c>
      <c r="J385" s="151" t="b">
        <f xml:space="preserve"> _xlfn.IFNA(MATCH( ITSecondTable[[#This Row],[Tag]], StorageTable[Tag], 0)  &gt; -1, FALSE)</f>
        <v>0</v>
      </c>
      <c r="K385" s="168" t="b">
        <f>COUNTIFS(ITEquipmentTable[Serial], ITEquipmentTable[[#This Row],[Serial]], ITEquipmentTable[Serial], "&lt;&gt;N/A") &gt; 1</f>
        <v>0</v>
      </c>
      <c r="L385" s="168" t="b">
        <f>COUNTIFS(ITEquipmentTable[Name], ITEquipmentTable[[#This Row],[Name]], ITEquipmentTable[Name], "&lt;&gt;&lt;Unassigned&gt;",  ITEquipmentTable[Name], "&lt;&gt;N/A") &gt; 1</f>
        <v>0</v>
      </c>
      <c r="M385" s="168" t="b">
        <f>AND(COUNTIFS(ITEquipmentTable[IPv4 Address], ITEquipmentTable[[#This Row],[IPv4 Address]]) &gt; 1, ITEquipmentTable[[#This Row],[IPv4 Address]] &lt;&gt; "DHCP",  ITEquipmentTable[[#This Row],[IPv4 Address]] &lt;&gt; "N/A")</f>
        <v>0</v>
      </c>
    </row>
    <row r="386" spans="1:13" x14ac:dyDescent="0.2">
      <c r="A386" s="168">
        <f>IF(LEN(ITSecondTable[[#This Row],[Tag]]) &gt; 0, _xlfn.XLOOKUP(ITSecondTable[[#This Row],[Tag]],StorageTable[Tag], StorageTable[In Storage - Count Total], "Err", 0, 1), 0)</f>
        <v>0</v>
      </c>
      <c r="B386" s="1">
        <f>_xlfn.LET(_xlpm.loc, ITEquipmentTable[Storage Location],
COUNTIFS(ITSecondTable[Tag], ITSecondTable[[#This Row],[Tag]], _xlpm.loc, "&lt;&gt;In Use", _xlpm.loc, "&lt;&gt;",  _xlpm.loc, "&lt;&gt;E-Waste", _xlpm.loc, "&lt;&gt;Virtual",  _xlpm.loc, "&lt;&gt;Assigned to Employee", _xlpm.loc, "&lt;&gt;Decommisioned", _xlpm.loc, "&lt;&gt;Missing")
)</f>
        <v>2</v>
      </c>
      <c r="C386" s="1">
        <f>_xlfn.LET(_xlpm.loc, ITEquipmentTable[Storage Location],
COUNTIFS(ITSecondTable[Tag], ITSecondTable[[#This Row],[Tag]], _xlpm.loc, "&lt;&gt;E-Waste", _xlpm.loc, "&lt;&gt;Virtual", _xlpm.loc, "&lt;&gt;Decommisioned")
)</f>
        <v>27</v>
      </c>
      <c r="D386" s="168">
        <f>_xlfn.LET(_xlpm.loc, ITEquipmentTable[Storage Location],
COUNTIFS(ITSecondTable[Tag], ITSecondTable[[#This Row],[Tag]], _xlpm.loc, "Missing")
)</f>
        <v>0</v>
      </c>
      <c r="E386" s="168">
        <f>_xlfn.LET(_xlpm.loc, ITEquipmentTable[Storage Location],
COUNTIFS(ITSecondTable[Tag], ITSecondTable[[#This Row],[Tag]], _xlpm.loc, "In Use") + COUNTIFS(ITSecondTable[Tag], ITSecondTable[[#This Row],[Tag]], _xlpm.loc, "Assigned to Employee")
)</f>
        <v>20</v>
      </c>
      <c r="F386" s="168">
        <f>_xlfn.LET(_xlpm.loc, ITEquipmentTable[Storage Location],
COUNTIFS(ITSecondTable[Tag], ITSecondTable[[#This Row],[Tag]], _xlpm.loc, "")
)</f>
        <v>5</v>
      </c>
      <c r="G386" s="168">
        <f>MAX(ITSecondTable[[#This Row],[SQty]] - ITSecondTable[[#This Row],[IQty]], 0)</f>
        <v>2</v>
      </c>
      <c r="H386" s="168">
        <f>MAX(ITSecondTable[[#This Row],[IQty]]-ITSecondTable[[#This Row],[SQty]], 0)</f>
        <v>0</v>
      </c>
      <c r="I386" s="151" t="str">
        <f>IFERROR(_xlfn.TEXTJOIN("~", TRUE, ITEquipmentTable[[#This Row],[Type]],ITEquipmentTable[[#This Row],[Brand]],ITEquipmentTable[[#This Row],[Model]]), "")</f>
        <v>Desktop~HP</v>
      </c>
      <c r="J386" s="151" t="b">
        <f xml:space="preserve"> _xlfn.IFNA(MATCH( ITSecondTable[[#This Row],[Tag]], StorageTable[Tag], 0)  &gt; -1, FALSE)</f>
        <v>0</v>
      </c>
      <c r="K386" s="168" t="b">
        <f>COUNTIFS(ITEquipmentTable[Serial], ITEquipmentTable[[#This Row],[Serial]], ITEquipmentTable[Serial], "&lt;&gt;N/A") &gt; 1</f>
        <v>0</v>
      </c>
      <c r="L386" s="168" t="b">
        <f>COUNTIFS(ITEquipmentTable[Name], ITEquipmentTable[[#This Row],[Name]], ITEquipmentTable[Name], "&lt;&gt;&lt;Unassigned&gt;",  ITEquipmentTable[Name], "&lt;&gt;N/A") &gt; 1</f>
        <v>0</v>
      </c>
      <c r="M386" s="168" t="b">
        <f>AND(COUNTIFS(ITEquipmentTable[IPv4 Address], ITEquipmentTable[[#This Row],[IPv4 Address]]) &gt; 1, ITEquipmentTable[[#This Row],[IPv4 Address]] &lt;&gt; "DHCP",  ITEquipmentTable[[#This Row],[IPv4 Address]] &lt;&gt; "N/A")</f>
        <v>0</v>
      </c>
    </row>
    <row r="387" spans="1:13" x14ac:dyDescent="0.2">
      <c r="A387" s="168">
        <f>IF(LEN(ITSecondTable[[#This Row],[Tag]]) &gt; 0, _xlfn.XLOOKUP(ITSecondTable[[#This Row],[Tag]],StorageTable[Tag], StorageTable[In Storage - Count Total], "Err", 0, 1), 0)</f>
        <v>0</v>
      </c>
      <c r="B387" s="1">
        <f>_xlfn.LET(_xlpm.loc, ITEquipmentTable[Storage Location],
COUNTIFS(ITSecondTable[Tag], ITSecondTable[[#This Row],[Tag]], _xlpm.loc, "&lt;&gt;In Use", _xlpm.loc, "&lt;&gt;",  _xlpm.loc, "&lt;&gt;E-Waste", _xlpm.loc, "&lt;&gt;Virtual",  _xlpm.loc, "&lt;&gt;Assigned to Employee", _xlpm.loc, "&lt;&gt;Decommisioned", _xlpm.loc, "&lt;&gt;Missing")
)</f>
        <v>0</v>
      </c>
      <c r="C387" s="1">
        <f>_xlfn.LET(_xlpm.loc, ITEquipmentTable[Storage Location],
COUNTIFS(ITSecondTable[Tag], ITSecondTable[[#This Row],[Tag]], _xlpm.loc, "&lt;&gt;E-Waste", _xlpm.loc, "&lt;&gt;Virtual", _xlpm.loc, "&lt;&gt;Decommisioned")
)</f>
        <v>2</v>
      </c>
      <c r="D387" s="168">
        <f>_xlfn.LET(_xlpm.loc, ITEquipmentTable[Storage Location],
COUNTIFS(ITSecondTable[Tag], ITSecondTable[[#This Row],[Tag]], _xlpm.loc, "Missing")
)</f>
        <v>0</v>
      </c>
      <c r="E387" s="168">
        <f>_xlfn.LET(_xlpm.loc, ITEquipmentTable[Storage Location],
COUNTIFS(ITSecondTable[Tag], ITSecondTable[[#This Row],[Tag]], _xlpm.loc, "In Use") + COUNTIFS(ITSecondTable[Tag], ITSecondTable[[#This Row],[Tag]], _xlpm.loc, "Assigned to Employee")
)</f>
        <v>1</v>
      </c>
      <c r="F387" s="168">
        <f>_xlfn.LET(_xlpm.loc, ITEquipmentTable[Storage Location],
COUNTIFS(ITSecondTable[Tag], ITSecondTable[[#This Row],[Tag]], _xlpm.loc, "")
)</f>
        <v>1</v>
      </c>
      <c r="G387" s="168">
        <f>MAX(ITSecondTable[[#This Row],[SQty]] - ITSecondTable[[#This Row],[IQty]], 0)</f>
        <v>0</v>
      </c>
      <c r="H387" s="168">
        <f>MAX(ITSecondTable[[#This Row],[IQty]]-ITSecondTable[[#This Row],[SQty]], 0)</f>
        <v>0</v>
      </c>
      <c r="I387" s="151" t="str">
        <f>IFERROR(_xlfn.TEXTJOIN("~", TRUE, ITEquipmentTable[[#This Row],[Type]],ITEquipmentTable[[#This Row],[Brand]],ITEquipmentTable[[#This Row],[Model]]), "")</f>
        <v>Laptop~HP~HP ProBook 650 G4</v>
      </c>
      <c r="J387" s="151" t="b">
        <f xml:space="preserve"> _xlfn.IFNA(MATCH( ITSecondTable[[#This Row],[Tag]], StorageTable[Tag], 0)  &gt; -1, FALSE)</f>
        <v>0</v>
      </c>
      <c r="K387" s="168" t="b">
        <f>COUNTIFS(ITEquipmentTable[Serial], ITEquipmentTable[[#This Row],[Serial]], ITEquipmentTable[Serial], "&lt;&gt;N/A") &gt; 1</f>
        <v>0</v>
      </c>
      <c r="L387" s="168" t="b">
        <f>COUNTIFS(ITEquipmentTable[Name], ITEquipmentTable[[#This Row],[Name]], ITEquipmentTable[Name], "&lt;&gt;&lt;Unassigned&gt;",  ITEquipmentTable[Name], "&lt;&gt;N/A") &gt; 1</f>
        <v>0</v>
      </c>
      <c r="M387" s="168" t="b">
        <f>AND(COUNTIFS(ITEquipmentTable[IPv4 Address], ITEquipmentTable[[#This Row],[IPv4 Address]]) &gt; 1, ITEquipmentTable[[#This Row],[IPv4 Address]] &lt;&gt; "DHCP",  ITEquipmentTable[[#This Row],[IPv4 Address]] &lt;&gt; "N/A")</f>
        <v>0</v>
      </c>
    </row>
    <row r="388" spans="1:13" x14ac:dyDescent="0.2">
      <c r="A388" s="168">
        <f>IF(LEN(ITSecondTable[[#This Row],[Tag]]) &gt; 0, _xlfn.XLOOKUP(ITSecondTable[[#This Row],[Tag]],StorageTable[Tag], StorageTable[In Storage - Count Total], "Err", 0, 1), 0)</f>
        <v>0</v>
      </c>
      <c r="B388" s="1">
        <f>_xlfn.LET(_xlpm.loc, ITEquipmentTable[Storage Location],
COUNTIFS(ITSecondTable[Tag], ITSecondTable[[#This Row],[Tag]], _xlpm.loc, "&lt;&gt;In Use", _xlpm.loc, "&lt;&gt;",  _xlpm.loc, "&lt;&gt;E-Waste", _xlpm.loc, "&lt;&gt;Virtual",  _xlpm.loc, "&lt;&gt;Assigned to Employee", _xlpm.loc, "&lt;&gt;Decommisioned", _xlpm.loc, "&lt;&gt;Missing")
)</f>
        <v>0</v>
      </c>
      <c r="C388" s="1">
        <f>_xlfn.LET(_xlpm.loc, ITEquipmentTable[Storage Location],
COUNTIFS(ITSecondTable[Tag], ITSecondTable[[#This Row],[Tag]], _xlpm.loc, "&lt;&gt;E-Waste", _xlpm.loc, "&lt;&gt;Virtual", _xlpm.loc, "&lt;&gt;Decommisioned")
)</f>
        <v>78</v>
      </c>
      <c r="D388" s="168">
        <f>_xlfn.LET(_xlpm.loc, ITEquipmentTable[Storage Location],
COUNTIFS(ITSecondTable[Tag], ITSecondTable[[#This Row],[Tag]], _xlpm.loc, "Missing")
)</f>
        <v>0</v>
      </c>
      <c r="E388" s="168">
        <f>_xlfn.LET(_xlpm.loc, ITEquipmentTable[Storage Location],
COUNTIFS(ITSecondTable[Tag], ITSecondTable[[#This Row],[Tag]], _xlpm.loc, "In Use") + COUNTIFS(ITSecondTable[Tag], ITSecondTable[[#This Row],[Tag]], _xlpm.loc, "Assigned to Employee")
)</f>
        <v>44</v>
      </c>
      <c r="F388" s="168">
        <f>_xlfn.LET(_xlpm.loc, ITEquipmentTable[Storage Location],
COUNTIFS(ITSecondTable[Tag], ITSecondTable[[#This Row],[Tag]], _xlpm.loc, "")
)</f>
        <v>34</v>
      </c>
      <c r="G388" s="168">
        <f>MAX(ITSecondTable[[#This Row],[SQty]] - ITSecondTable[[#This Row],[IQty]], 0)</f>
        <v>0</v>
      </c>
      <c r="H388" s="168">
        <f>MAX(ITSecondTable[[#This Row],[IQty]]-ITSecondTable[[#This Row],[SQty]], 0)</f>
        <v>0</v>
      </c>
      <c r="I388" s="151" t="str">
        <f>IFERROR(_xlfn.TEXTJOIN("~", TRUE, ITEquipmentTable[[#This Row],[Type]],ITEquipmentTable[[#This Row],[Brand]],ITEquipmentTable[[#This Row],[Model]]), "")</f>
        <v>Laptop~HP</v>
      </c>
      <c r="J388" s="151" t="b">
        <f xml:space="preserve"> _xlfn.IFNA(MATCH( ITSecondTable[[#This Row],[Tag]], StorageTable[Tag], 0)  &gt; -1, FALSE)</f>
        <v>0</v>
      </c>
      <c r="K388" s="168" t="b">
        <f>COUNTIFS(ITEquipmentTable[Serial], ITEquipmentTable[[#This Row],[Serial]], ITEquipmentTable[Serial], "&lt;&gt;N/A") &gt; 1</f>
        <v>0</v>
      </c>
      <c r="L388" s="168" t="b">
        <f>COUNTIFS(ITEquipmentTable[Name], ITEquipmentTable[[#This Row],[Name]], ITEquipmentTable[Name], "&lt;&gt;&lt;Unassigned&gt;",  ITEquipmentTable[Name], "&lt;&gt;N/A") &gt; 1</f>
        <v>0</v>
      </c>
      <c r="M388" s="168" t="b">
        <f>AND(COUNTIFS(ITEquipmentTable[IPv4 Address], ITEquipmentTable[[#This Row],[IPv4 Address]]) &gt; 1, ITEquipmentTable[[#This Row],[IPv4 Address]] &lt;&gt; "DHCP",  ITEquipmentTable[[#This Row],[IPv4 Address]] &lt;&gt; "N/A")</f>
        <v>0</v>
      </c>
    </row>
    <row r="389" spans="1:13" x14ac:dyDescent="0.2">
      <c r="A389" s="168">
        <f>IF(LEN(ITSecondTable[[#This Row],[Tag]]) &gt; 0, _xlfn.XLOOKUP(ITSecondTable[[#This Row],[Tag]],StorageTable[Tag], StorageTable[In Storage - Count Total], "Err", 0, 1), 0)</f>
        <v>0</v>
      </c>
      <c r="B389" s="1">
        <f>_xlfn.LET(_xlpm.loc, ITEquipmentTable[Storage Location],
COUNTIFS(ITSecondTable[Tag], ITSecondTable[[#This Row],[Tag]], _xlpm.loc, "&lt;&gt;In Use", _xlpm.loc, "&lt;&gt;",  _xlpm.loc, "&lt;&gt;E-Waste", _xlpm.loc, "&lt;&gt;Virtual",  _xlpm.loc, "&lt;&gt;Assigned to Employee", _xlpm.loc, "&lt;&gt;Decommisioned", _xlpm.loc, "&lt;&gt;Missing")
)</f>
        <v>8</v>
      </c>
      <c r="C389" s="1">
        <f>_xlfn.LET(_xlpm.loc, ITEquipmentTable[Storage Location],
COUNTIFS(ITSecondTable[Tag], ITSecondTable[[#This Row],[Tag]], _xlpm.loc, "&lt;&gt;E-Waste", _xlpm.loc, "&lt;&gt;Virtual", _xlpm.loc, "&lt;&gt;Decommisioned")
)</f>
        <v>27</v>
      </c>
      <c r="D389" s="168">
        <f>_xlfn.LET(_xlpm.loc, ITEquipmentTable[Storage Location],
COUNTIFS(ITSecondTable[Tag], ITSecondTable[[#This Row],[Tag]], _xlpm.loc, "Missing")
)</f>
        <v>0</v>
      </c>
      <c r="E389" s="168">
        <f>_xlfn.LET(_xlpm.loc, ITEquipmentTable[Storage Location],
COUNTIFS(ITSecondTable[Tag], ITSecondTable[[#This Row],[Tag]], _xlpm.loc, "In Use") + COUNTIFS(ITSecondTable[Tag], ITSecondTable[[#This Row],[Tag]], _xlpm.loc, "Assigned to Employee")
)</f>
        <v>12</v>
      </c>
      <c r="F389" s="168">
        <f>_xlfn.LET(_xlpm.loc, ITEquipmentTable[Storage Location],
COUNTIFS(ITSecondTable[Tag], ITSecondTable[[#This Row],[Tag]], _xlpm.loc, "")
)</f>
        <v>7</v>
      </c>
      <c r="G389" s="168">
        <f>MAX(ITSecondTable[[#This Row],[SQty]] - ITSecondTable[[#This Row],[IQty]], 0)</f>
        <v>8</v>
      </c>
      <c r="H389" s="168">
        <f>MAX(ITSecondTable[[#This Row],[IQty]]-ITSecondTable[[#This Row],[SQty]], 0)</f>
        <v>0</v>
      </c>
      <c r="I389" s="151" t="str">
        <f>IFERROR(_xlfn.TEXTJOIN("~", TRUE, ITEquipmentTable[[#This Row],[Type]],ITEquipmentTable[[#This Row],[Brand]],ITEquipmentTable[[#This Row],[Model]]), "")</f>
        <v>Desktop~Dell~OptiPlex 3050</v>
      </c>
      <c r="J389" s="151" t="b">
        <f xml:space="preserve"> _xlfn.IFNA(MATCH( ITSecondTable[[#This Row],[Tag]], StorageTable[Tag], 0)  &gt; -1, FALSE)</f>
        <v>0</v>
      </c>
      <c r="K389" s="168" t="b">
        <f>COUNTIFS(ITEquipmentTable[Serial], ITEquipmentTable[[#This Row],[Serial]], ITEquipmentTable[Serial], "&lt;&gt;N/A") &gt; 1</f>
        <v>0</v>
      </c>
      <c r="L389" s="168" t="b">
        <f>COUNTIFS(ITEquipmentTable[Name], ITEquipmentTable[[#This Row],[Name]], ITEquipmentTable[Name], "&lt;&gt;&lt;Unassigned&gt;",  ITEquipmentTable[Name], "&lt;&gt;N/A") &gt; 1</f>
        <v>0</v>
      </c>
      <c r="M389" s="168" t="b">
        <f>AND(COUNTIFS(ITEquipmentTable[IPv4 Address], ITEquipmentTable[[#This Row],[IPv4 Address]]) &gt; 1, ITEquipmentTable[[#This Row],[IPv4 Address]] &lt;&gt; "DHCP",  ITEquipmentTable[[#This Row],[IPv4 Address]] &lt;&gt; "N/A")</f>
        <v>0</v>
      </c>
    </row>
    <row r="390" spans="1:13" x14ac:dyDescent="0.2">
      <c r="A390" s="168">
        <f>IF(LEN(ITSecondTable[[#This Row],[Tag]]) &gt; 0, _xlfn.XLOOKUP(ITSecondTable[[#This Row],[Tag]],StorageTable[Tag], StorageTable[In Storage - Count Total], "Err", 0, 1), 0)</f>
        <v>0</v>
      </c>
      <c r="B390" s="1">
        <f>_xlfn.LET(_xlpm.loc, ITEquipmentTable[Storage Location],
COUNTIFS(ITSecondTable[Tag], ITSecondTable[[#This Row],[Tag]], _xlpm.loc, "&lt;&gt;In Use", _xlpm.loc, "&lt;&gt;",  _xlpm.loc, "&lt;&gt;E-Waste", _xlpm.loc, "&lt;&gt;Virtual",  _xlpm.loc, "&lt;&gt;Assigned to Employee", _xlpm.loc, "&lt;&gt;Decommisioned", _xlpm.loc, "&lt;&gt;Missing")
)</f>
        <v>0</v>
      </c>
      <c r="C390" s="1">
        <f>_xlfn.LET(_xlpm.loc, ITEquipmentTable[Storage Location],
COUNTIFS(ITSecondTable[Tag], ITSecondTable[[#This Row],[Tag]], _xlpm.loc, "&lt;&gt;E-Waste", _xlpm.loc, "&lt;&gt;Virtual", _xlpm.loc, "&lt;&gt;Decommisioned")
)</f>
        <v>29</v>
      </c>
      <c r="D390" s="168">
        <f>_xlfn.LET(_xlpm.loc, ITEquipmentTable[Storage Location],
COUNTIFS(ITSecondTable[Tag], ITSecondTable[[#This Row],[Tag]], _xlpm.loc, "Missing")
)</f>
        <v>0</v>
      </c>
      <c r="E390" s="168">
        <f>_xlfn.LET(_xlpm.loc, ITEquipmentTable[Storage Location],
COUNTIFS(ITSecondTable[Tag], ITSecondTable[[#This Row],[Tag]], _xlpm.loc, "In Use") + COUNTIFS(ITSecondTable[Tag], ITSecondTable[[#This Row],[Tag]], _xlpm.loc, "Assigned to Employee")
)</f>
        <v>3</v>
      </c>
      <c r="F390" s="168">
        <f>_xlfn.LET(_xlpm.loc, ITEquipmentTable[Storage Location],
COUNTIFS(ITSecondTable[Tag], ITSecondTable[[#This Row],[Tag]], _xlpm.loc, "")
)</f>
        <v>26</v>
      </c>
      <c r="G390" s="168">
        <f>MAX(ITSecondTable[[#This Row],[SQty]] - ITSecondTable[[#This Row],[IQty]], 0)</f>
        <v>0</v>
      </c>
      <c r="H390" s="168">
        <f>MAX(ITSecondTable[[#This Row],[IQty]]-ITSecondTable[[#This Row],[SQty]], 0)</f>
        <v>0</v>
      </c>
      <c r="I390" s="151" t="str">
        <f>IFERROR(_xlfn.TEXTJOIN("~", TRUE, ITEquipmentTable[[#This Row],[Type]],ITEquipmentTable[[#This Row],[Brand]],ITEquipmentTable[[#This Row],[Model]]), "")</f>
        <v>Laptop~HP~HP ProBook 650 G2</v>
      </c>
      <c r="J390" s="151" t="b">
        <f xml:space="preserve"> _xlfn.IFNA(MATCH( ITSecondTable[[#This Row],[Tag]], StorageTable[Tag], 0)  &gt; -1, FALSE)</f>
        <v>0</v>
      </c>
      <c r="K390" s="168" t="b">
        <f>COUNTIFS(ITEquipmentTable[Serial], ITEquipmentTable[[#This Row],[Serial]], ITEquipmentTable[Serial], "&lt;&gt;N/A") &gt; 1</f>
        <v>0</v>
      </c>
      <c r="L390" s="168" t="b">
        <f>COUNTIFS(ITEquipmentTable[Name], ITEquipmentTable[[#This Row],[Name]], ITEquipmentTable[Name], "&lt;&gt;&lt;Unassigned&gt;",  ITEquipmentTable[Name], "&lt;&gt;N/A") &gt; 1</f>
        <v>0</v>
      </c>
      <c r="M390" s="168" t="b">
        <f>AND(COUNTIFS(ITEquipmentTable[IPv4 Address], ITEquipmentTable[[#This Row],[IPv4 Address]]) &gt; 1, ITEquipmentTable[[#This Row],[IPv4 Address]] &lt;&gt; "DHCP",  ITEquipmentTable[[#This Row],[IPv4 Address]] &lt;&gt; "N/A")</f>
        <v>0</v>
      </c>
    </row>
    <row r="391" spans="1:13" x14ac:dyDescent="0.2">
      <c r="A391" s="168">
        <f>IF(LEN(ITSecondTable[[#This Row],[Tag]]) &gt; 0, _xlfn.XLOOKUP(ITSecondTable[[#This Row],[Tag]],StorageTable[Tag], StorageTable[In Storage - Count Total], "Err", 0, 1), 0)</f>
        <v>0</v>
      </c>
      <c r="B391" s="1">
        <f>_xlfn.LET(_xlpm.loc, ITEquipmentTable[Storage Location],
COUNTIFS(ITSecondTable[Tag], ITSecondTable[[#This Row],[Tag]], _xlpm.loc, "&lt;&gt;In Use", _xlpm.loc, "&lt;&gt;",  _xlpm.loc, "&lt;&gt;E-Waste", _xlpm.loc, "&lt;&gt;Virtual",  _xlpm.loc, "&lt;&gt;Assigned to Employee", _xlpm.loc, "&lt;&gt;Decommisioned", _xlpm.loc, "&lt;&gt;Missing")
)</f>
        <v>0</v>
      </c>
      <c r="C391" s="1">
        <f>_xlfn.LET(_xlpm.loc, ITEquipmentTable[Storage Location],
COUNTIFS(ITSecondTable[Tag], ITSecondTable[[#This Row],[Tag]], _xlpm.loc, "&lt;&gt;E-Waste", _xlpm.loc, "&lt;&gt;Virtual", _xlpm.loc, "&lt;&gt;Decommisioned")
)</f>
        <v>29</v>
      </c>
      <c r="D391" s="168">
        <f>_xlfn.LET(_xlpm.loc, ITEquipmentTable[Storage Location],
COUNTIFS(ITSecondTable[Tag], ITSecondTable[[#This Row],[Tag]], _xlpm.loc, "Missing")
)</f>
        <v>0</v>
      </c>
      <c r="E391" s="168">
        <f>_xlfn.LET(_xlpm.loc, ITEquipmentTable[Storage Location],
COUNTIFS(ITSecondTable[Tag], ITSecondTable[[#This Row],[Tag]], _xlpm.loc, "In Use") + COUNTIFS(ITSecondTable[Tag], ITSecondTable[[#This Row],[Tag]], _xlpm.loc, "Assigned to Employee")
)</f>
        <v>3</v>
      </c>
      <c r="F391" s="168">
        <f>_xlfn.LET(_xlpm.loc, ITEquipmentTable[Storage Location],
COUNTIFS(ITSecondTable[Tag], ITSecondTable[[#This Row],[Tag]], _xlpm.loc, "")
)</f>
        <v>26</v>
      </c>
      <c r="G391" s="168">
        <f>MAX(ITSecondTable[[#This Row],[SQty]] - ITSecondTable[[#This Row],[IQty]], 0)</f>
        <v>0</v>
      </c>
      <c r="H391" s="168">
        <f>MAX(ITSecondTable[[#This Row],[IQty]]-ITSecondTable[[#This Row],[SQty]], 0)</f>
        <v>0</v>
      </c>
      <c r="I391" s="151" t="str">
        <f>IFERROR(_xlfn.TEXTJOIN("~", TRUE, ITEquipmentTable[[#This Row],[Type]],ITEquipmentTable[[#This Row],[Brand]],ITEquipmentTable[[#This Row],[Model]]), "")</f>
        <v>Laptop~HP~HP ProBook 650 G2</v>
      </c>
      <c r="J391" s="151" t="b">
        <f xml:space="preserve"> _xlfn.IFNA(MATCH( ITSecondTable[[#This Row],[Tag]], StorageTable[Tag], 0)  &gt; -1, FALSE)</f>
        <v>0</v>
      </c>
      <c r="K391" s="168" t="b">
        <f>COUNTIFS(ITEquipmentTable[Serial], ITEquipmentTable[[#This Row],[Serial]], ITEquipmentTable[Serial], "&lt;&gt;N/A") &gt; 1</f>
        <v>0</v>
      </c>
      <c r="L391" s="168" t="b">
        <f>COUNTIFS(ITEquipmentTable[Name], ITEquipmentTable[[#This Row],[Name]], ITEquipmentTable[Name], "&lt;&gt;&lt;Unassigned&gt;",  ITEquipmentTable[Name], "&lt;&gt;N/A") &gt; 1</f>
        <v>0</v>
      </c>
      <c r="M391" s="168" t="b">
        <f>AND(COUNTIFS(ITEquipmentTable[IPv4 Address], ITEquipmentTable[[#This Row],[IPv4 Address]]) &gt; 1, ITEquipmentTable[[#This Row],[IPv4 Address]] &lt;&gt; "DHCP",  ITEquipmentTable[[#This Row],[IPv4 Address]] &lt;&gt; "N/A")</f>
        <v>0</v>
      </c>
    </row>
    <row r="392" spans="1:13" x14ac:dyDescent="0.2">
      <c r="A392" s="168">
        <f>IF(LEN(ITSecondTable[[#This Row],[Tag]]) &gt; 0, _xlfn.XLOOKUP(ITSecondTable[[#This Row],[Tag]],StorageTable[Tag], StorageTable[In Storage - Count Total], "Err", 0, 1), 0)</f>
        <v>0</v>
      </c>
      <c r="B392" s="1">
        <f>_xlfn.LET(_xlpm.loc, ITEquipmentTable[Storage Location],
COUNTIFS(ITSecondTable[Tag], ITSecondTable[[#This Row],[Tag]], _xlpm.loc, "&lt;&gt;In Use", _xlpm.loc, "&lt;&gt;",  _xlpm.loc, "&lt;&gt;E-Waste", _xlpm.loc, "&lt;&gt;Virtual",  _xlpm.loc, "&lt;&gt;Assigned to Employee", _xlpm.loc, "&lt;&gt;Decommisioned", _xlpm.loc, "&lt;&gt;Missing")
)</f>
        <v>0</v>
      </c>
      <c r="C392" s="1">
        <f>_xlfn.LET(_xlpm.loc, ITEquipmentTable[Storage Location],
COUNTIFS(ITSecondTable[Tag], ITSecondTable[[#This Row],[Tag]], _xlpm.loc, "&lt;&gt;E-Waste", _xlpm.loc, "&lt;&gt;Virtual", _xlpm.loc, "&lt;&gt;Decommisioned")
)</f>
        <v>1</v>
      </c>
      <c r="D392" s="168">
        <f>_xlfn.LET(_xlpm.loc, ITEquipmentTable[Storage Location],
COUNTIFS(ITSecondTable[Tag], ITSecondTable[[#This Row],[Tag]], _xlpm.loc, "Missing")
)</f>
        <v>0</v>
      </c>
      <c r="E392" s="168">
        <f>_xlfn.LET(_xlpm.loc, ITEquipmentTable[Storage Location],
COUNTIFS(ITSecondTable[Tag], ITSecondTable[[#This Row],[Tag]], _xlpm.loc, "In Use") + COUNTIFS(ITSecondTable[Tag], ITSecondTable[[#This Row],[Tag]], _xlpm.loc, "Assigned to Employee")
)</f>
        <v>0</v>
      </c>
      <c r="F392" s="168">
        <f>_xlfn.LET(_xlpm.loc, ITEquipmentTable[Storage Location],
COUNTIFS(ITSecondTable[Tag], ITSecondTable[[#This Row],[Tag]], _xlpm.loc, "")
)</f>
        <v>1</v>
      </c>
      <c r="G392" s="168">
        <f>MAX(ITSecondTable[[#This Row],[SQty]] - ITSecondTable[[#This Row],[IQty]], 0)</f>
        <v>0</v>
      </c>
      <c r="H392" s="168">
        <f>MAX(ITSecondTable[[#This Row],[IQty]]-ITSecondTable[[#This Row],[SQty]], 0)</f>
        <v>0</v>
      </c>
      <c r="I392" s="151" t="str">
        <f>IFERROR(_xlfn.TEXTJOIN("~", TRUE, ITEquipmentTable[[#This Row],[Type]],ITEquipmentTable[[#This Row],[Brand]],ITEquipmentTable[[#This Row],[Model]]), "")</f>
        <v>Laptop~HP~HP EliteBook 850 G2</v>
      </c>
      <c r="J392" s="151" t="b">
        <f xml:space="preserve"> _xlfn.IFNA(MATCH( ITSecondTable[[#This Row],[Tag]], StorageTable[Tag], 0)  &gt; -1, FALSE)</f>
        <v>0</v>
      </c>
      <c r="K392" s="168" t="b">
        <f>COUNTIFS(ITEquipmentTable[Serial], ITEquipmentTable[[#This Row],[Serial]], ITEquipmentTable[Serial], "&lt;&gt;N/A") &gt; 1</f>
        <v>0</v>
      </c>
      <c r="L392" s="168" t="b">
        <f>COUNTIFS(ITEquipmentTable[Name], ITEquipmentTable[[#This Row],[Name]], ITEquipmentTable[Name], "&lt;&gt;&lt;Unassigned&gt;",  ITEquipmentTable[Name], "&lt;&gt;N/A") &gt; 1</f>
        <v>0</v>
      </c>
      <c r="M392" s="168" t="b">
        <f>AND(COUNTIFS(ITEquipmentTable[IPv4 Address], ITEquipmentTable[[#This Row],[IPv4 Address]]) &gt; 1, ITEquipmentTable[[#This Row],[IPv4 Address]] &lt;&gt; "DHCP",  ITEquipmentTable[[#This Row],[IPv4 Address]] &lt;&gt; "N/A")</f>
        <v>0</v>
      </c>
    </row>
    <row r="393" spans="1:13" x14ac:dyDescent="0.2">
      <c r="A393" s="168">
        <f>IF(LEN(ITSecondTable[[#This Row],[Tag]]) &gt; 0, _xlfn.XLOOKUP(ITSecondTable[[#This Row],[Tag]],StorageTable[Tag], StorageTable[In Storage - Count Total], "Err", 0, 1), 0)</f>
        <v>0</v>
      </c>
      <c r="B393" s="1">
        <f>_xlfn.LET(_xlpm.loc, ITEquipmentTable[Storage Location],
COUNTIFS(ITSecondTable[Tag], ITSecondTable[[#This Row],[Tag]], _xlpm.loc, "&lt;&gt;In Use", _xlpm.loc, "&lt;&gt;",  _xlpm.loc, "&lt;&gt;E-Waste", _xlpm.loc, "&lt;&gt;Virtual",  _xlpm.loc, "&lt;&gt;Assigned to Employee", _xlpm.loc, "&lt;&gt;Decommisioned", _xlpm.loc, "&lt;&gt;Missing")
)</f>
        <v>0</v>
      </c>
      <c r="C393" s="1">
        <f>_xlfn.LET(_xlpm.loc, ITEquipmentTable[Storage Location],
COUNTIFS(ITSecondTable[Tag], ITSecondTable[[#This Row],[Tag]], _xlpm.loc, "&lt;&gt;E-Waste", _xlpm.loc, "&lt;&gt;Virtual", _xlpm.loc, "&lt;&gt;Decommisioned")
)</f>
        <v>21</v>
      </c>
      <c r="D393" s="168">
        <f>_xlfn.LET(_xlpm.loc, ITEquipmentTable[Storage Location],
COUNTIFS(ITSecondTable[Tag], ITSecondTable[[#This Row],[Tag]], _xlpm.loc, "Missing")
)</f>
        <v>0</v>
      </c>
      <c r="E393" s="168">
        <f>_xlfn.LET(_xlpm.loc, ITEquipmentTable[Storage Location],
COUNTIFS(ITSecondTable[Tag], ITSecondTable[[#This Row],[Tag]], _xlpm.loc, "In Use") + COUNTIFS(ITSecondTable[Tag], ITSecondTable[[#This Row],[Tag]], _xlpm.loc, "Assigned to Employee")
)</f>
        <v>3</v>
      </c>
      <c r="F393" s="168">
        <f>_xlfn.LET(_xlpm.loc, ITEquipmentTable[Storage Location],
COUNTIFS(ITSecondTable[Tag], ITSecondTable[[#This Row],[Tag]], _xlpm.loc, "")
)</f>
        <v>18</v>
      </c>
      <c r="G393" s="168">
        <f>MAX(ITSecondTable[[#This Row],[SQty]] - ITSecondTable[[#This Row],[IQty]], 0)</f>
        <v>0</v>
      </c>
      <c r="H393" s="168">
        <f>MAX(ITSecondTable[[#This Row],[IQty]]-ITSecondTable[[#This Row],[SQty]], 0)</f>
        <v>0</v>
      </c>
      <c r="I393" s="151" t="str">
        <f>IFERROR(_xlfn.TEXTJOIN("~", TRUE, ITEquipmentTable[[#This Row],[Type]],ITEquipmentTable[[#This Row],[Brand]],ITEquipmentTable[[#This Row],[Model]]), "")</f>
        <v/>
      </c>
      <c r="J393" s="151" t="b">
        <f xml:space="preserve"> _xlfn.IFNA(MATCH( ITSecondTable[[#This Row],[Tag]], StorageTable[Tag], 0)  &gt; -1, FALSE)</f>
        <v>0</v>
      </c>
      <c r="K393" s="168" t="b">
        <f>COUNTIFS(ITEquipmentTable[Serial], ITEquipmentTable[[#This Row],[Serial]], ITEquipmentTable[Serial], "&lt;&gt;N/A") &gt; 1</f>
        <v>0</v>
      </c>
      <c r="L393" s="168" t="b">
        <f>COUNTIFS(ITEquipmentTable[Name], ITEquipmentTable[[#This Row],[Name]], ITEquipmentTable[Name], "&lt;&gt;&lt;Unassigned&gt;",  ITEquipmentTable[Name], "&lt;&gt;N/A") &gt; 1</f>
        <v>0</v>
      </c>
      <c r="M393" s="168" t="b">
        <f>AND(COUNTIFS(ITEquipmentTable[IPv4 Address], ITEquipmentTable[[#This Row],[IPv4 Address]]) &gt; 1, ITEquipmentTable[[#This Row],[IPv4 Address]] &lt;&gt; "DHCP",  ITEquipmentTable[[#This Row],[IPv4 Address]] &lt;&gt; "N/A")</f>
        <v>0</v>
      </c>
    </row>
    <row r="394" spans="1:13" x14ac:dyDescent="0.2">
      <c r="A394" s="168">
        <f>IF(LEN(ITSecondTable[[#This Row],[Tag]]) &gt; 0, _xlfn.XLOOKUP(ITSecondTable[[#This Row],[Tag]],StorageTable[Tag], StorageTable[In Storage - Count Total], "Err", 0, 1), 0)</f>
        <v>0</v>
      </c>
      <c r="B394" s="1">
        <f>_xlfn.LET(_xlpm.loc, ITEquipmentTable[Storage Location],
COUNTIFS(ITSecondTable[Tag], ITSecondTable[[#This Row],[Tag]], _xlpm.loc, "&lt;&gt;In Use", _xlpm.loc, "&lt;&gt;",  _xlpm.loc, "&lt;&gt;E-Waste", _xlpm.loc, "&lt;&gt;Virtual",  _xlpm.loc, "&lt;&gt;Assigned to Employee", _xlpm.loc, "&lt;&gt;Decommisioned", _xlpm.loc, "&lt;&gt;Missing")
)</f>
        <v>0</v>
      </c>
      <c r="C394" s="1">
        <f>_xlfn.LET(_xlpm.loc, ITEquipmentTable[Storage Location],
COUNTIFS(ITSecondTable[Tag], ITSecondTable[[#This Row],[Tag]], _xlpm.loc, "&lt;&gt;E-Waste", _xlpm.loc, "&lt;&gt;Virtual", _xlpm.loc, "&lt;&gt;Decommisioned")
)</f>
        <v>21</v>
      </c>
      <c r="D394" s="168">
        <f>_xlfn.LET(_xlpm.loc, ITEquipmentTable[Storage Location],
COUNTIFS(ITSecondTable[Tag], ITSecondTable[[#This Row],[Tag]], _xlpm.loc, "Missing")
)</f>
        <v>0</v>
      </c>
      <c r="E394" s="168">
        <f>_xlfn.LET(_xlpm.loc, ITEquipmentTable[Storage Location],
COUNTIFS(ITSecondTable[Tag], ITSecondTable[[#This Row],[Tag]], _xlpm.loc, "In Use") + COUNTIFS(ITSecondTable[Tag], ITSecondTable[[#This Row],[Tag]], _xlpm.loc, "Assigned to Employee")
)</f>
        <v>3</v>
      </c>
      <c r="F394" s="168">
        <f>_xlfn.LET(_xlpm.loc, ITEquipmentTable[Storage Location],
COUNTIFS(ITSecondTable[Tag], ITSecondTable[[#This Row],[Tag]], _xlpm.loc, "")
)</f>
        <v>18</v>
      </c>
      <c r="G394" s="168">
        <f>MAX(ITSecondTable[[#This Row],[SQty]] - ITSecondTable[[#This Row],[IQty]], 0)</f>
        <v>0</v>
      </c>
      <c r="H394" s="168">
        <f>MAX(ITSecondTable[[#This Row],[IQty]]-ITSecondTable[[#This Row],[SQty]], 0)</f>
        <v>0</v>
      </c>
      <c r="I394" s="151" t="str">
        <f>IFERROR(_xlfn.TEXTJOIN("~", TRUE, ITEquipmentTable[[#This Row],[Type]],ITEquipmentTable[[#This Row],[Brand]],ITEquipmentTable[[#This Row],[Model]]), "")</f>
        <v/>
      </c>
      <c r="J394" s="151" t="b">
        <f xml:space="preserve"> _xlfn.IFNA(MATCH( ITSecondTable[[#This Row],[Tag]], StorageTable[Tag], 0)  &gt; -1, FALSE)</f>
        <v>0</v>
      </c>
      <c r="K394" s="168" t="b">
        <f>COUNTIFS(ITEquipmentTable[Serial], ITEquipmentTable[[#This Row],[Serial]], ITEquipmentTable[Serial], "&lt;&gt;N/A") &gt; 1</f>
        <v>0</v>
      </c>
      <c r="L394" s="168" t="b">
        <f>COUNTIFS(ITEquipmentTable[Name], ITEquipmentTable[[#This Row],[Name]], ITEquipmentTable[Name], "&lt;&gt;&lt;Unassigned&gt;",  ITEquipmentTable[Name], "&lt;&gt;N/A") &gt; 1</f>
        <v>0</v>
      </c>
      <c r="M394" s="168" t="b">
        <f>AND(COUNTIFS(ITEquipmentTable[IPv4 Address], ITEquipmentTable[[#This Row],[IPv4 Address]]) &gt; 1, ITEquipmentTable[[#This Row],[IPv4 Address]] &lt;&gt; "DHCP",  ITEquipmentTable[[#This Row],[IPv4 Address]] &lt;&gt; "N/A")</f>
        <v>0</v>
      </c>
    </row>
    <row r="395" spans="1:13" x14ac:dyDescent="0.2">
      <c r="A395" s="168">
        <f>IF(LEN(ITSecondTable[[#This Row],[Tag]]) &gt; 0, _xlfn.XLOOKUP(ITSecondTable[[#This Row],[Tag]],StorageTable[Tag], StorageTable[In Storage - Count Total], "Err", 0, 1), 0)</f>
        <v>0</v>
      </c>
      <c r="B395" s="1">
        <f>_xlfn.LET(_xlpm.loc, ITEquipmentTable[Storage Location],
COUNTIFS(ITSecondTable[Tag], ITSecondTable[[#This Row],[Tag]], _xlpm.loc, "&lt;&gt;In Use", _xlpm.loc, "&lt;&gt;",  _xlpm.loc, "&lt;&gt;E-Waste", _xlpm.loc, "&lt;&gt;Virtual",  _xlpm.loc, "&lt;&gt;Assigned to Employee", _xlpm.loc, "&lt;&gt;Decommisioned", _xlpm.loc, "&lt;&gt;Missing")
)</f>
        <v>0</v>
      </c>
      <c r="C395" s="1">
        <f>_xlfn.LET(_xlpm.loc, ITEquipmentTable[Storage Location],
COUNTIFS(ITSecondTable[Tag], ITSecondTable[[#This Row],[Tag]], _xlpm.loc, "&lt;&gt;E-Waste", _xlpm.loc, "&lt;&gt;Virtual", _xlpm.loc, "&lt;&gt;Decommisioned")
)</f>
        <v>21</v>
      </c>
      <c r="D395" s="168">
        <f>_xlfn.LET(_xlpm.loc, ITEquipmentTable[Storage Location],
COUNTIFS(ITSecondTable[Tag], ITSecondTable[[#This Row],[Tag]], _xlpm.loc, "Missing")
)</f>
        <v>0</v>
      </c>
      <c r="E395" s="168">
        <f>_xlfn.LET(_xlpm.loc, ITEquipmentTable[Storage Location],
COUNTIFS(ITSecondTable[Tag], ITSecondTable[[#This Row],[Tag]], _xlpm.loc, "In Use") + COUNTIFS(ITSecondTable[Tag], ITSecondTable[[#This Row],[Tag]], _xlpm.loc, "Assigned to Employee")
)</f>
        <v>3</v>
      </c>
      <c r="F395" s="168">
        <f>_xlfn.LET(_xlpm.loc, ITEquipmentTable[Storage Location],
COUNTIFS(ITSecondTable[Tag], ITSecondTable[[#This Row],[Tag]], _xlpm.loc, "")
)</f>
        <v>18</v>
      </c>
      <c r="G395" s="168">
        <f>MAX(ITSecondTable[[#This Row],[SQty]] - ITSecondTable[[#This Row],[IQty]], 0)</f>
        <v>0</v>
      </c>
      <c r="H395" s="168">
        <f>MAX(ITSecondTable[[#This Row],[IQty]]-ITSecondTable[[#This Row],[SQty]], 0)</f>
        <v>0</v>
      </c>
      <c r="I395" s="151" t="str">
        <f>IFERROR(_xlfn.TEXTJOIN("~", TRUE, ITEquipmentTable[[#This Row],[Type]],ITEquipmentTable[[#This Row],[Brand]],ITEquipmentTable[[#This Row],[Model]]), "")</f>
        <v/>
      </c>
      <c r="J395" s="151" t="b">
        <f xml:space="preserve"> _xlfn.IFNA(MATCH( ITSecondTable[[#This Row],[Tag]], StorageTable[Tag], 0)  &gt; -1, FALSE)</f>
        <v>0</v>
      </c>
      <c r="K395" s="168" t="b">
        <f>COUNTIFS(ITEquipmentTable[Serial], ITEquipmentTable[[#This Row],[Serial]], ITEquipmentTable[Serial], "&lt;&gt;N/A") &gt; 1</f>
        <v>0</v>
      </c>
      <c r="L395" s="168" t="b">
        <f>COUNTIFS(ITEquipmentTable[Name], ITEquipmentTable[[#This Row],[Name]], ITEquipmentTable[Name], "&lt;&gt;&lt;Unassigned&gt;",  ITEquipmentTable[Name], "&lt;&gt;N/A") &gt; 1</f>
        <v>0</v>
      </c>
      <c r="M395" s="168" t="b">
        <f>AND(COUNTIFS(ITEquipmentTable[IPv4 Address], ITEquipmentTable[[#This Row],[IPv4 Address]]) &gt; 1, ITEquipmentTable[[#This Row],[IPv4 Address]] &lt;&gt; "DHCP",  ITEquipmentTable[[#This Row],[IPv4 Address]] &lt;&gt; "N/A")</f>
        <v>0</v>
      </c>
    </row>
    <row r="396" spans="1:13" x14ac:dyDescent="0.2">
      <c r="A396" s="168">
        <f>IF(LEN(ITSecondTable[[#This Row],[Tag]]) &gt; 0, _xlfn.XLOOKUP(ITSecondTable[[#This Row],[Tag]],StorageTable[Tag], StorageTable[In Storage - Count Total], "Err", 0, 1), 0)</f>
        <v>0</v>
      </c>
      <c r="B396" s="1">
        <f>_xlfn.LET(_xlpm.loc, ITEquipmentTable[Storage Location],
COUNTIFS(ITSecondTable[Tag], ITSecondTable[[#This Row],[Tag]], _xlpm.loc, "&lt;&gt;In Use", _xlpm.loc, "&lt;&gt;",  _xlpm.loc, "&lt;&gt;E-Waste", _xlpm.loc, "&lt;&gt;Virtual",  _xlpm.loc, "&lt;&gt;Assigned to Employee", _xlpm.loc, "&lt;&gt;Decommisioned", _xlpm.loc, "&lt;&gt;Missing")
)</f>
        <v>0</v>
      </c>
      <c r="C396" s="1">
        <f>_xlfn.LET(_xlpm.loc, ITEquipmentTable[Storage Location],
COUNTIFS(ITSecondTable[Tag], ITSecondTable[[#This Row],[Tag]], _xlpm.loc, "&lt;&gt;E-Waste", _xlpm.loc, "&lt;&gt;Virtual", _xlpm.loc, "&lt;&gt;Decommisioned")
)</f>
        <v>21</v>
      </c>
      <c r="D396" s="168">
        <f>_xlfn.LET(_xlpm.loc, ITEquipmentTable[Storage Location],
COUNTIFS(ITSecondTable[Tag], ITSecondTable[[#This Row],[Tag]], _xlpm.loc, "Missing")
)</f>
        <v>0</v>
      </c>
      <c r="E396" s="168">
        <f>_xlfn.LET(_xlpm.loc, ITEquipmentTable[Storage Location],
COUNTIFS(ITSecondTable[Tag], ITSecondTable[[#This Row],[Tag]], _xlpm.loc, "In Use") + COUNTIFS(ITSecondTable[Tag], ITSecondTable[[#This Row],[Tag]], _xlpm.loc, "Assigned to Employee")
)</f>
        <v>3</v>
      </c>
      <c r="F396" s="168">
        <f>_xlfn.LET(_xlpm.loc, ITEquipmentTable[Storage Location],
COUNTIFS(ITSecondTable[Tag], ITSecondTable[[#This Row],[Tag]], _xlpm.loc, "")
)</f>
        <v>18</v>
      </c>
      <c r="G396" s="168">
        <f>MAX(ITSecondTable[[#This Row],[SQty]] - ITSecondTable[[#This Row],[IQty]], 0)</f>
        <v>0</v>
      </c>
      <c r="H396" s="168">
        <f>MAX(ITSecondTable[[#This Row],[IQty]]-ITSecondTable[[#This Row],[SQty]], 0)</f>
        <v>0</v>
      </c>
      <c r="I396" s="151" t="str">
        <f>IFERROR(_xlfn.TEXTJOIN("~", TRUE, ITEquipmentTable[[#This Row],[Type]],ITEquipmentTable[[#This Row],[Brand]],ITEquipmentTable[[#This Row],[Model]]), "")</f>
        <v/>
      </c>
      <c r="J396" s="151" t="b">
        <f xml:space="preserve"> _xlfn.IFNA(MATCH( ITSecondTable[[#This Row],[Tag]], StorageTable[Tag], 0)  &gt; -1, FALSE)</f>
        <v>0</v>
      </c>
      <c r="K396" s="168" t="b">
        <f>COUNTIFS(ITEquipmentTable[Serial], ITEquipmentTable[[#This Row],[Serial]], ITEquipmentTable[Serial], "&lt;&gt;N/A") &gt; 1</f>
        <v>0</v>
      </c>
      <c r="L396" s="168" t="b">
        <f>COUNTIFS(ITEquipmentTable[Name], ITEquipmentTable[[#This Row],[Name]], ITEquipmentTable[Name], "&lt;&gt;&lt;Unassigned&gt;",  ITEquipmentTable[Name], "&lt;&gt;N/A") &gt; 1</f>
        <v>0</v>
      </c>
      <c r="M396" s="168" t="b">
        <f>AND(COUNTIFS(ITEquipmentTable[IPv4 Address], ITEquipmentTable[[#This Row],[IPv4 Address]]) &gt; 1, ITEquipmentTable[[#This Row],[IPv4 Address]] &lt;&gt; "DHCP",  ITEquipmentTable[[#This Row],[IPv4 Address]] &lt;&gt; "N/A")</f>
        <v>0</v>
      </c>
    </row>
    <row r="397" spans="1:13" x14ac:dyDescent="0.2">
      <c r="A397" s="168">
        <f>IF(LEN(ITSecondTable[[#This Row],[Tag]]) &gt; 0, _xlfn.XLOOKUP(ITSecondTable[[#This Row],[Tag]],StorageTable[Tag], StorageTable[In Storage - Count Total], "Err", 0, 1), 0)</f>
        <v>0</v>
      </c>
      <c r="B397" s="1">
        <f>_xlfn.LET(_xlpm.loc, ITEquipmentTable[Storage Location],
COUNTIFS(ITSecondTable[Tag], ITSecondTable[[#This Row],[Tag]], _xlpm.loc, "&lt;&gt;In Use", _xlpm.loc, "&lt;&gt;",  _xlpm.loc, "&lt;&gt;E-Waste", _xlpm.loc, "&lt;&gt;Virtual",  _xlpm.loc, "&lt;&gt;Assigned to Employee", _xlpm.loc, "&lt;&gt;Decommisioned", _xlpm.loc, "&lt;&gt;Missing")
)</f>
        <v>0</v>
      </c>
      <c r="C397" s="1">
        <f>_xlfn.LET(_xlpm.loc, ITEquipmentTable[Storage Location],
COUNTIFS(ITSecondTable[Tag], ITSecondTable[[#This Row],[Tag]], _xlpm.loc, "&lt;&gt;E-Waste", _xlpm.loc, "&lt;&gt;Virtual", _xlpm.loc, "&lt;&gt;Decommisioned")
)</f>
        <v>21</v>
      </c>
      <c r="D397" s="168">
        <f>_xlfn.LET(_xlpm.loc, ITEquipmentTable[Storage Location],
COUNTIFS(ITSecondTable[Tag], ITSecondTable[[#This Row],[Tag]], _xlpm.loc, "Missing")
)</f>
        <v>0</v>
      </c>
      <c r="E397" s="168">
        <f>_xlfn.LET(_xlpm.loc, ITEquipmentTable[Storage Location],
COUNTIFS(ITSecondTable[Tag], ITSecondTable[[#This Row],[Tag]], _xlpm.loc, "In Use") + COUNTIFS(ITSecondTable[Tag], ITSecondTable[[#This Row],[Tag]], _xlpm.loc, "Assigned to Employee")
)</f>
        <v>3</v>
      </c>
      <c r="F397" s="168">
        <f>_xlfn.LET(_xlpm.loc, ITEquipmentTable[Storage Location],
COUNTIFS(ITSecondTable[Tag], ITSecondTable[[#This Row],[Tag]], _xlpm.loc, "")
)</f>
        <v>18</v>
      </c>
      <c r="G397" s="168">
        <f>MAX(ITSecondTable[[#This Row],[SQty]] - ITSecondTable[[#This Row],[IQty]], 0)</f>
        <v>0</v>
      </c>
      <c r="H397" s="168">
        <f>MAX(ITSecondTable[[#This Row],[IQty]]-ITSecondTable[[#This Row],[SQty]], 0)</f>
        <v>0</v>
      </c>
      <c r="I397" s="151" t="str">
        <f>IFERROR(_xlfn.TEXTJOIN("~", TRUE, ITEquipmentTable[[#This Row],[Type]],ITEquipmentTable[[#This Row],[Brand]],ITEquipmentTable[[#This Row],[Model]]), "")</f>
        <v/>
      </c>
      <c r="J397" s="151" t="b">
        <f xml:space="preserve"> _xlfn.IFNA(MATCH( ITSecondTable[[#This Row],[Tag]], StorageTable[Tag], 0)  &gt; -1, FALSE)</f>
        <v>0</v>
      </c>
      <c r="K397" s="168" t="b">
        <f>COUNTIFS(ITEquipmentTable[Serial], ITEquipmentTable[[#This Row],[Serial]], ITEquipmentTable[Serial], "&lt;&gt;N/A") &gt; 1</f>
        <v>0</v>
      </c>
      <c r="L397" s="168" t="b">
        <f>COUNTIFS(ITEquipmentTable[Name], ITEquipmentTable[[#This Row],[Name]], ITEquipmentTable[Name], "&lt;&gt;&lt;Unassigned&gt;",  ITEquipmentTable[Name], "&lt;&gt;N/A") &gt; 1</f>
        <v>0</v>
      </c>
      <c r="M397" s="168" t="b">
        <f>AND(COUNTIFS(ITEquipmentTable[IPv4 Address], ITEquipmentTable[[#This Row],[IPv4 Address]]) &gt; 1, ITEquipmentTable[[#This Row],[IPv4 Address]] &lt;&gt; "DHCP",  ITEquipmentTable[[#This Row],[IPv4 Address]] &lt;&gt; "N/A")</f>
        <v>0</v>
      </c>
    </row>
    <row r="398" spans="1:13" x14ac:dyDescent="0.2">
      <c r="A398" s="168">
        <f>IF(LEN(ITSecondTable[[#This Row],[Tag]]) &gt; 0, _xlfn.XLOOKUP(ITSecondTable[[#This Row],[Tag]],StorageTable[Tag], StorageTable[In Storage - Count Total], "Err", 0, 1), 0)</f>
        <v>10</v>
      </c>
      <c r="B398" s="1">
        <f>_xlfn.LET(_xlpm.loc, ITEquipmentTable[Storage Location],
COUNTIFS(ITSecondTable[Tag], ITSecondTable[[#This Row],[Tag]], _xlpm.loc, "&lt;&gt;In Use", _xlpm.loc, "&lt;&gt;",  _xlpm.loc, "&lt;&gt;E-Waste", _xlpm.loc, "&lt;&gt;Virtual",  _xlpm.loc, "&lt;&gt;Assigned to Employee", _xlpm.loc, "&lt;&gt;Decommisioned", _xlpm.loc, "&lt;&gt;Missing")
)</f>
        <v>16</v>
      </c>
      <c r="C398" s="1">
        <f>_xlfn.LET(_xlpm.loc, ITEquipmentTable[Storage Location],
COUNTIFS(ITSecondTable[Tag], ITSecondTable[[#This Row],[Tag]], _xlpm.loc, "&lt;&gt;E-Waste", _xlpm.loc, "&lt;&gt;Virtual", _xlpm.loc, "&lt;&gt;Decommisioned")
)</f>
        <v>48</v>
      </c>
      <c r="D398" s="168">
        <f>_xlfn.LET(_xlpm.loc, ITEquipmentTable[Storage Location],
COUNTIFS(ITSecondTable[Tag], ITSecondTable[[#This Row],[Tag]], _xlpm.loc, "Missing")
)</f>
        <v>0</v>
      </c>
      <c r="E398" s="168">
        <f>_xlfn.LET(_xlpm.loc, ITEquipmentTable[Storage Location],
COUNTIFS(ITSecondTable[Tag], ITSecondTable[[#This Row],[Tag]], _xlpm.loc, "In Use") + COUNTIFS(ITSecondTable[Tag], ITSecondTable[[#This Row],[Tag]], _xlpm.loc, "Assigned to Employee")
)</f>
        <v>29</v>
      </c>
      <c r="F398" s="168">
        <f>_xlfn.LET(_xlpm.loc, ITEquipmentTable[Storage Location],
COUNTIFS(ITSecondTable[Tag], ITSecondTable[[#This Row],[Tag]], _xlpm.loc, "")
)</f>
        <v>3</v>
      </c>
      <c r="G398" s="168">
        <f>MAX(ITSecondTable[[#This Row],[SQty]] - ITSecondTable[[#This Row],[IQty]], 0)</f>
        <v>6</v>
      </c>
      <c r="H398" s="168">
        <f>MAX(ITSecondTable[[#This Row],[IQty]]-ITSecondTable[[#This Row],[SQty]], 0)</f>
        <v>0</v>
      </c>
      <c r="I398" s="151" t="str">
        <f>IFERROR(_xlfn.TEXTJOIN("~", TRUE, ITEquipmentTable[[#This Row],[Type]],ITEquipmentTable[[#This Row],[Brand]],ITEquipmentTable[[#This Row],[Model]]), "")</f>
        <v>Desktop~HP~HP ProDesk 600 G5 DM</v>
      </c>
      <c r="J398" s="151" t="b">
        <f xml:space="preserve"> _xlfn.IFNA(MATCH( ITSecondTable[[#This Row],[Tag]], StorageTable[Tag], 0)  &gt; -1, FALSE)</f>
        <v>0</v>
      </c>
      <c r="K398" s="168" t="b">
        <f>COUNTIFS(ITEquipmentTable[Serial], ITEquipmentTable[[#This Row],[Serial]], ITEquipmentTable[Serial], "&lt;&gt;N/A") &gt; 1</f>
        <v>0</v>
      </c>
      <c r="L398" s="168" t="b">
        <f>COUNTIFS(ITEquipmentTable[Name], ITEquipmentTable[[#This Row],[Name]], ITEquipmentTable[Name], "&lt;&gt;&lt;Unassigned&gt;",  ITEquipmentTable[Name], "&lt;&gt;N/A") &gt; 1</f>
        <v>0</v>
      </c>
      <c r="M398" s="168" t="b">
        <f>AND(COUNTIFS(ITEquipmentTable[IPv4 Address], ITEquipmentTable[[#This Row],[IPv4 Address]]) &gt; 1, ITEquipmentTable[[#This Row],[IPv4 Address]] &lt;&gt; "DHCP",  ITEquipmentTable[[#This Row],[IPv4 Address]] &lt;&gt; "N/A")</f>
        <v>0</v>
      </c>
    </row>
    <row r="399" spans="1:13" x14ac:dyDescent="0.2">
      <c r="A399" s="168">
        <f>IF(LEN(ITSecondTable[[#This Row],[Tag]]) &gt; 0, _xlfn.XLOOKUP(ITSecondTable[[#This Row],[Tag]],StorageTable[Tag], StorageTable[In Storage - Count Total], "Err", 0, 1), 0)</f>
        <v>0</v>
      </c>
      <c r="B399" s="1">
        <f>_xlfn.LET(_xlpm.loc, ITEquipmentTable[Storage Location],
COUNTIFS(ITSecondTable[Tag], ITSecondTable[[#This Row],[Tag]], _xlpm.loc, "&lt;&gt;In Use", _xlpm.loc, "&lt;&gt;",  _xlpm.loc, "&lt;&gt;E-Waste", _xlpm.loc, "&lt;&gt;Virtual",  _xlpm.loc, "&lt;&gt;Assigned to Employee", _xlpm.loc, "&lt;&gt;Decommisioned", _xlpm.loc, "&lt;&gt;Missing")
)</f>
        <v>0</v>
      </c>
      <c r="C399" s="1">
        <f>_xlfn.LET(_xlpm.loc, ITEquipmentTable[Storage Location],
COUNTIFS(ITSecondTable[Tag], ITSecondTable[[#This Row],[Tag]], _xlpm.loc, "&lt;&gt;E-Waste", _xlpm.loc, "&lt;&gt;Virtual", _xlpm.loc, "&lt;&gt;Decommisioned")
)</f>
        <v>32</v>
      </c>
      <c r="D399" s="168">
        <f>_xlfn.LET(_xlpm.loc, ITEquipmentTable[Storage Location],
COUNTIFS(ITSecondTable[Tag], ITSecondTable[[#This Row],[Tag]], _xlpm.loc, "Missing")
)</f>
        <v>0</v>
      </c>
      <c r="E399" s="168">
        <f>_xlfn.LET(_xlpm.loc, ITEquipmentTable[Storage Location],
COUNTIFS(ITSecondTable[Tag], ITSecondTable[[#This Row],[Tag]], _xlpm.loc, "In Use") + COUNTIFS(ITSecondTable[Tag], ITSecondTable[[#This Row],[Tag]], _xlpm.loc, "Assigned to Employee")
)</f>
        <v>26</v>
      </c>
      <c r="F399" s="168">
        <f>_xlfn.LET(_xlpm.loc, ITEquipmentTable[Storage Location],
COUNTIFS(ITSecondTable[Tag], ITSecondTable[[#This Row],[Tag]], _xlpm.loc, "")
)</f>
        <v>6</v>
      </c>
      <c r="G399" s="168">
        <f>MAX(ITSecondTable[[#This Row],[SQty]] - ITSecondTable[[#This Row],[IQty]], 0)</f>
        <v>0</v>
      </c>
      <c r="H399" s="168">
        <f>MAX(ITSecondTable[[#This Row],[IQty]]-ITSecondTable[[#This Row],[SQty]], 0)</f>
        <v>0</v>
      </c>
      <c r="I399" s="151" t="str">
        <f>IFERROR(_xlfn.TEXTJOIN("~", TRUE, ITEquipmentTable[[#This Row],[Type]],ITEquipmentTable[[#This Row],[Brand]],ITEquipmentTable[[#This Row],[Model]]), "")</f>
        <v>Desktop</v>
      </c>
      <c r="J399" s="151" t="b">
        <f xml:space="preserve"> _xlfn.IFNA(MATCH( ITSecondTable[[#This Row],[Tag]], StorageTable[Tag], 0)  &gt; -1, FALSE)</f>
        <v>1</v>
      </c>
      <c r="K399" s="168" t="b">
        <f>COUNTIFS(ITEquipmentTable[Serial], ITEquipmentTable[[#This Row],[Serial]], ITEquipmentTable[Serial], "&lt;&gt;N/A") &gt; 1</f>
        <v>0</v>
      </c>
      <c r="L399" s="168" t="b">
        <f>COUNTIFS(ITEquipmentTable[Name], ITEquipmentTable[[#This Row],[Name]], ITEquipmentTable[Name], "&lt;&gt;&lt;Unassigned&gt;",  ITEquipmentTable[Name], "&lt;&gt;N/A") &gt; 1</f>
        <v>0</v>
      </c>
      <c r="M399" s="168" t="b">
        <f>AND(COUNTIFS(ITEquipmentTable[IPv4 Address], ITEquipmentTable[[#This Row],[IPv4 Address]]) &gt; 1, ITEquipmentTable[[#This Row],[IPv4 Address]] &lt;&gt; "DHCP",  ITEquipmentTable[[#This Row],[IPv4 Address]] &lt;&gt; "N/A")</f>
        <v>0</v>
      </c>
    </row>
    <row r="400" spans="1:13" x14ac:dyDescent="0.2">
      <c r="A400" s="168">
        <f>IF(LEN(ITSecondTable[[#This Row],[Tag]]) &gt; 0, _xlfn.XLOOKUP(ITSecondTable[[#This Row],[Tag]],StorageTable[Tag], StorageTable[In Storage - Count Total], "Err", 0, 1), 0)</f>
        <v>0</v>
      </c>
      <c r="B400" s="1">
        <f>_xlfn.LET(_xlpm.loc, ITEquipmentTable[Storage Location],
COUNTIFS(ITSecondTable[Tag], ITSecondTable[[#This Row],[Tag]], _xlpm.loc, "&lt;&gt;In Use", _xlpm.loc, "&lt;&gt;",  _xlpm.loc, "&lt;&gt;E-Waste", _xlpm.loc, "&lt;&gt;Virtual",  _xlpm.loc, "&lt;&gt;Assigned to Employee", _xlpm.loc, "&lt;&gt;Decommisioned", _xlpm.loc, "&lt;&gt;Missing")
)</f>
        <v>2</v>
      </c>
      <c r="C400" s="1">
        <f>_xlfn.LET(_xlpm.loc, ITEquipmentTable[Storage Location],
COUNTIFS(ITSecondTable[Tag], ITSecondTable[[#This Row],[Tag]], _xlpm.loc, "&lt;&gt;E-Waste", _xlpm.loc, "&lt;&gt;Virtual", _xlpm.loc, "&lt;&gt;Decommisioned")
)</f>
        <v>27</v>
      </c>
      <c r="D400" s="168">
        <f>_xlfn.LET(_xlpm.loc, ITEquipmentTable[Storage Location],
COUNTIFS(ITSecondTable[Tag], ITSecondTable[[#This Row],[Tag]], _xlpm.loc, "Missing")
)</f>
        <v>0</v>
      </c>
      <c r="E400" s="168">
        <f>_xlfn.LET(_xlpm.loc, ITEquipmentTable[Storage Location],
COUNTIFS(ITSecondTable[Tag], ITSecondTable[[#This Row],[Tag]], _xlpm.loc, "In Use") + COUNTIFS(ITSecondTable[Tag], ITSecondTable[[#This Row],[Tag]], _xlpm.loc, "Assigned to Employee")
)</f>
        <v>20</v>
      </c>
      <c r="F400" s="168">
        <f>_xlfn.LET(_xlpm.loc, ITEquipmentTable[Storage Location],
COUNTIFS(ITSecondTable[Tag], ITSecondTable[[#This Row],[Tag]], _xlpm.loc, "")
)</f>
        <v>5</v>
      </c>
      <c r="G400" s="168">
        <f>MAX(ITSecondTable[[#This Row],[SQty]] - ITSecondTable[[#This Row],[IQty]], 0)</f>
        <v>2</v>
      </c>
      <c r="H400" s="168">
        <f>MAX(ITSecondTable[[#This Row],[IQty]]-ITSecondTable[[#This Row],[SQty]], 0)</f>
        <v>0</v>
      </c>
      <c r="I400" s="151" t="str">
        <f>IFERROR(_xlfn.TEXTJOIN("~", TRUE, ITEquipmentTable[[#This Row],[Type]],ITEquipmentTable[[#This Row],[Brand]],ITEquipmentTable[[#This Row],[Model]]), "")</f>
        <v>Desktop~HP</v>
      </c>
      <c r="J400" s="151" t="b">
        <f xml:space="preserve"> _xlfn.IFNA(MATCH( ITSecondTable[[#This Row],[Tag]], StorageTable[Tag], 0)  &gt; -1, FALSE)</f>
        <v>0</v>
      </c>
      <c r="K400" s="168" t="b">
        <f>COUNTIFS(ITEquipmentTable[Serial], ITEquipmentTable[[#This Row],[Serial]], ITEquipmentTable[Serial], "&lt;&gt;N/A") &gt; 1</f>
        <v>0</v>
      </c>
      <c r="L400" s="168" t="b">
        <f>COUNTIFS(ITEquipmentTable[Name], ITEquipmentTable[[#This Row],[Name]], ITEquipmentTable[Name], "&lt;&gt;&lt;Unassigned&gt;",  ITEquipmentTable[Name], "&lt;&gt;N/A") &gt; 1</f>
        <v>0</v>
      </c>
      <c r="M400" s="168" t="b">
        <f>AND(COUNTIFS(ITEquipmentTable[IPv4 Address], ITEquipmentTable[[#This Row],[IPv4 Address]]) &gt; 1, ITEquipmentTable[[#This Row],[IPv4 Address]] &lt;&gt; "DHCP",  ITEquipmentTable[[#This Row],[IPv4 Address]] &lt;&gt; "N/A")</f>
        <v>0</v>
      </c>
    </row>
    <row r="401" spans="1:13" x14ac:dyDescent="0.2">
      <c r="A401" s="168">
        <f>IF(LEN(ITSecondTable[[#This Row],[Tag]]) &gt; 0, _xlfn.XLOOKUP(ITSecondTable[[#This Row],[Tag]],StorageTable[Tag], StorageTable[In Storage - Count Total], "Err", 0, 1), 0)</f>
        <v>0</v>
      </c>
      <c r="B401" s="1">
        <f>_xlfn.LET(_xlpm.loc, ITEquipmentTable[Storage Location],
COUNTIFS(ITSecondTable[Tag], ITSecondTable[[#This Row],[Tag]], _xlpm.loc, "&lt;&gt;In Use", _xlpm.loc, "&lt;&gt;",  _xlpm.loc, "&lt;&gt;E-Waste", _xlpm.loc, "&lt;&gt;Virtual",  _xlpm.loc, "&lt;&gt;Assigned to Employee", _xlpm.loc, "&lt;&gt;Decommisioned", _xlpm.loc, "&lt;&gt;Missing")
)</f>
        <v>2</v>
      </c>
      <c r="C401" s="1">
        <f>_xlfn.LET(_xlpm.loc, ITEquipmentTable[Storage Location],
COUNTIFS(ITSecondTable[Tag], ITSecondTable[[#This Row],[Tag]], _xlpm.loc, "&lt;&gt;E-Waste", _xlpm.loc, "&lt;&gt;Virtual", _xlpm.loc, "&lt;&gt;Decommisioned")
)</f>
        <v>27</v>
      </c>
      <c r="D401" s="168">
        <f>_xlfn.LET(_xlpm.loc, ITEquipmentTable[Storage Location],
COUNTIFS(ITSecondTable[Tag], ITSecondTable[[#This Row],[Tag]], _xlpm.loc, "Missing")
)</f>
        <v>0</v>
      </c>
      <c r="E401" s="168">
        <f>_xlfn.LET(_xlpm.loc, ITEquipmentTable[Storage Location],
COUNTIFS(ITSecondTable[Tag], ITSecondTable[[#This Row],[Tag]], _xlpm.loc, "In Use") + COUNTIFS(ITSecondTable[Tag], ITSecondTable[[#This Row],[Tag]], _xlpm.loc, "Assigned to Employee")
)</f>
        <v>20</v>
      </c>
      <c r="F401" s="168">
        <f>_xlfn.LET(_xlpm.loc, ITEquipmentTable[Storage Location],
COUNTIFS(ITSecondTable[Tag], ITSecondTable[[#This Row],[Tag]], _xlpm.loc, "")
)</f>
        <v>5</v>
      </c>
      <c r="G401" s="168">
        <f>MAX(ITSecondTable[[#This Row],[SQty]] - ITSecondTable[[#This Row],[IQty]], 0)</f>
        <v>2</v>
      </c>
      <c r="H401" s="168">
        <f>MAX(ITSecondTable[[#This Row],[IQty]]-ITSecondTable[[#This Row],[SQty]], 0)</f>
        <v>0</v>
      </c>
      <c r="I401" s="151" t="str">
        <f>IFERROR(_xlfn.TEXTJOIN("~", TRUE, ITEquipmentTable[[#This Row],[Type]],ITEquipmentTable[[#This Row],[Brand]],ITEquipmentTable[[#This Row],[Model]]), "")</f>
        <v>Desktop~HP</v>
      </c>
      <c r="J401" s="151" t="b">
        <f xml:space="preserve"> _xlfn.IFNA(MATCH( ITSecondTable[[#This Row],[Tag]], StorageTable[Tag], 0)  &gt; -1, FALSE)</f>
        <v>0</v>
      </c>
      <c r="K401" s="168" t="b">
        <f>COUNTIFS(ITEquipmentTable[Serial], ITEquipmentTable[[#This Row],[Serial]], ITEquipmentTable[Serial], "&lt;&gt;N/A") &gt; 1</f>
        <v>0</v>
      </c>
      <c r="L401" s="168" t="b">
        <f>COUNTIFS(ITEquipmentTable[Name], ITEquipmentTable[[#This Row],[Name]], ITEquipmentTable[Name], "&lt;&gt;&lt;Unassigned&gt;",  ITEquipmentTable[Name], "&lt;&gt;N/A") &gt; 1</f>
        <v>0</v>
      </c>
      <c r="M401" s="168" t="b">
        <f>AND(COUNTIFS(ITEquipmentTable[IPv4 Address], ITEquipmentTable[[#This Row],[IPv4 Address]]) &gt; 1, ITEquipmentTable[[#This Row],[IPv4 Address]] &lt;&gt; "DHCP",  ITEquipmentTable[[#This Row],[IPv4 Address]] &lt;&gt; "N/A")</f>
        <v>0</v>
      </c>
    </row>
    <row r="402" spans="1:13" x14ac:dyDescent="0.2">
      <c r="A402" s="168">
        <f>IF(LEN(ITSecondTable[[#This Row],[Tag]]) &gt; 0, _xlfn.XLOOKUP(ITSecondTable[[#This Row],[Tag]],StorageTable[Tag], StorageTable[In Storage - Count Total], "Err", 0, 1), 0)</f>
        <v>10</v>
      </c>
      <c r="B402" s="1">
        <f>_xlfn.LET(_xlpm.loc, ITEquipmentTable[Storage Location],
COUNTIFS(ITSecondTable[Tag], ITSecondTable[[#This Row],[Tag]], _xlpm.loc, "&lt;&gt;In Use", _xlpm.loc, "&lt;&gt;",  _xlpm.loc, "&lt;&gt;E-Waste", _xlpm.loc, "&lt;&gt;Virtual",  _xlpm.loc, "&lt;&gt;Assigned to Employee", _xlpm.loc, "&lt;&gt;Decommisioned", _xlpm.loc, "&lt;&gt;Missing")
)</f>
        <v>16</v>
      </c>
      <c r="C402" s="1">
        <f>_xlfn.LET(_xlpm.loc, ITEquipmentTable[Storage Location],
COUNTIFS(ITSecondTable[Tag], ITSecondTable[[#This Row],[Tag]], _xlpm.loc, "&lt;&gt;E-Waste", _xlpm.loc, "&lt;&gt;Virtual", _xlpm.loc, "&lt;&gt;Decommisioned")
)</f>
        <v>48</v>
      </c>
      <c r="D402" s="168">
        <f>_xlfn.LET(_xlpm.loc, ITEquipmentTable[Storage Location],
COUNTIFS(ITSecondTable[Tag], ITSecondTable[[#This Row],[Tag]], _xlpm.loc, "Missing")
)</f>
        <v>0</v>
      </c>
      <c r="E402" s="168">
        <f>_xlfn.LET(_xlpm.loc, ITEquipmentTable[Storage Location],
COUNTIFS(ITSecondTable[Tag], ITSecondTable[[#This Row],[Tag]], _xlpm.loc, "In Use") + COUNTIFS(ITSecondTable[Tag], ITSecondTable[[#This Row],[Tag]], _xlpm.loc, "Assigned to Employee")
)</f>
        <v>29</v>
      </c>
      <c r="F402" s="168">
        <f>_xlfn.LET(_xlpm.loc, ITEquipmentTable[Storage Location],
COUNTIFS(ITSecondTable[Tag], ITSecondTable[[#This Row],[Tag]], _xlpm.loc, "")
)</f>
        <v>3</v>
      </c>
      <c r="G402" s="168">
        <f>MAX(ITSecondTable[[#This Row],[SQty]] - ITSecondTable[[#This Row],[IQty]], 0)</f>
        <v>6</v>
      </c>
      <c r="H402" s="168">
        <f>MAX(ITSecondTable[[#This Row],[IQty]]-ITSecondTable[[#This Row],[SQty]], 0)</f>
        <v>0</v>
      </c>
      <c r="I402" s="151" t="str">
        <f>IFERROR(_xlfn.TEXTJOIN("~", TRUE, ITEquipmentTable[[#This Row],[Type]],ITEquipmentTable[[#This Row],[Brand]],ITEquipmentTable[[#This Row],[Model]]), "")</f>
        <v>Desktop~HP~HP ProDesk 600 G5 DM</v>
      </c>
      <c r="J402" s="151" t="b">
        <f xml:space="preserve"> _xlfn.IFNA(MATCH( ITSecondTable[[#This Row],[Tag]], StorageTable[Tag], 0)  &gt; -1, FALSE)</f>
        <v>0</v>
      </c>
      <c r="K402" s="168" t="b">
        <f>COUNTIFS(ITEquipmentTable[Serial], ITEquipmentTable[[#This Row],[Serial]], ITEquipmentTable[Serial], "&lt;&gt;N/A") &gt; 1</f>
        <v>0</v>
      </c>
      <c r="L402" s="168" t="b">
        <f>COUNTIFS(ITEquipmentTable[Name], ITEquipmentTable[[#This Row],[Name]], ITEquipmentTable[Name], "&lt;&gt;&lt;Unassigned&gt;",  ITEquipmentTable[Name], "&lt;&gt;N/A") &gt; 1</f>
        <v>0</v>
      </c>
      <c r="M402" s="168" t="b">
        <f>AND(COUNTIFS(ITEquipmentTable[IPv4 Address], ITEquipmentTable[[#This Row],[IPv4 Address]]) &gt; 1, ITEquipmentTable[[#This Row],[IPv4 Address]] &lt;&gt; "DHCP",  ITEquipmentTable[[#This Row],[IPv4 Address]] &lt;&gt; "N/A")</f>
        <v>0</v>
      </c>
    </row>
    <row r="403" spans="1:13" x14ac:dyDescent="0.2">
      <c r="A403" s="168">
        <f>IF(LEN(ITSecondTable[[#This Row],[Tag]]) &gt; 0, _xlfn.XLOOKUP(ITSecondTable[[#This Row],[Tag]],StorageTable[Tag], StorageTable[In Storage - Count Total], "Err", 0, 1), 0)</f>
        <v>10</v>
      </c>
      <c r="B403" s="1">
        <f>_xlfn.LET(_xlpm.loc, ITEquipmentTable[Storage Location],
COUNTIFS(ITSecondTable[Tag], ITSecondTable[[#This Row],[Tag]], _xlpm.loc, "&lt;&gt;In Use", _xlpm.loc, "&lt;&gt;",  _xlpm.loc, "&lt;&gt;E-Waste", _xlpm.loc, "&lt;&gt;Virtual",  _xlpm.loc, "&lt;&gt;Assigned to Employee", _xlpm.loc, "&lt;&gt;Decommisioned", _xlpm.loc, "&lt;&gt;Missing")
)</f>
        <v>16</v>
      </c>
      <c r="C403" s="1">
        <f>_xlfn.LET(_xlpm.loc, ITEquipmentTable[Storage Location],
COUNTIFS(ITSecondTable[Tag], ITSecondTable[[#This Row],[Tag]], _xlpm.loc, "&lt;&gt;E-Waste", _xlpm.loc, "&lt;&gt;Virtual", _xlpm.loc, "&lt;&gt;Decommisioned")
)</f>
        <v>48</v>
      </c>
      <c r="D403" s="168">
        <f>_xlfn.LET(_xlpm.loc, ITEquipmentTable[Storage Location],
COUNTIFS(ITSecondTable[Tag], ITSecondTable[[#This Row],[Tag]], _xlpm.loc, "Missing")
)</f>
        <v>0</v>
      </c>
      <c r="E403" s="168">
        <f>_xlfn.LET(_xlpm.loc, ITEquipmentTable[Storage Location],
COUNTIFS(ITSecondTable[Tag], ITSecondTable[[#This Row],[Tag]], _xlpm.loc, "In Use") + COUNTIFS(ITSecondTable[Tag], ITSecondTable[[#This Row],[Tag]], _xlpm.loc, "Assigned to Employee")
)</f>
        <v>29</v>
      </c>
      <c r="F403" s="168">
        <f>_xlfn.LET(_xlpm.loc, ITEquipmentTable[Storage Location],
COUNTIFS(ITSecondTable[Tag], ITSecondTable[[#This Row],[Tag]], _xlpm.loc, "")
)</f>
        <v>3</v>
      </c>
      <c r="G403" s="168">
        <f>MAX(ITSecondTable[[#This Row],[SQty]] - ITSecondTable[[#This Row],[IQty]], 0)</f>
        <v>6</v>
      </c>
      <c r="H403" s="168">
        <f>MAX(ITSecondTable[[#This Row],[IQty]]-ITSecondTable[[#This Row],[SQty]], 0)</f>
        <v>0</v>
      </c>
      <c r="I403" s="151" t="str">
        <f>IFERROR(_xlfn.TEXTJOIN("~", TRUE, ITEquipmentTable[[#This Row],[Type]],ITEquipmentTable[[#This Row],[Brand]],ITEquipmentTable[[#This Row],[Model]]), "")</f>
        <v>Desktop~HP~HP ProDesk 600 G5 DM</v>
      </c>
      <c r="J403" s="151" t="b">
        <f xml:space="preserve"> _xlfn.IFNA(MATCH( ITSecondTable[[#This Row],[Tag]], StorageTable[Tag], 0)  &gt; -1, FALSE)</f>
        <v>0</v>
      </c>
      <c r="K403" s="168" t="b">
        <f>COUNTIFS(ITEquipmentTable[Serial], ITEquipmentTable[[#This Row],[Serial]], ITEquipmentTable[Serial], "&lt;&gt;N/A") &gt; 1</f>
        <v>0</v>
      </c>
      <c r="L403" s="168" t="b">
        <f>COUNTIFS(ITEquipmentTable[Name], ITEquipmentTable[[#This Row],[Name]], ITEquipmentTable[Name], "&lt;&gt;&lt;Unassigned&gt;",  ITEquipmentTable[Name], "&lt;&gt;N/A") &gt; 1</f>
        <v>0</v>
      </c>
      <c r="M403" s="168" t="b">
        <f>AND(COUNTIFS(ITEquipmentTable[IPv4 Address], ITEquipmentTable[[#This Row],[IPv4 Address]]) &gt; 1, ITEquipmentTable[[#This Row],[IPv4 Address]] &lt;&gt; "DHCP",  ITEquipmentTable[[#This Row],[IPv4 Address]] &lt;&gt; "N/A")</f>
        <v>0</v>
      </c>
    </row>
    <row r="404" spans="1:13" x14ac:dyDescent="0.2">
      <c r="A404" s="168">
        <f>IF(LEN(ITSecondTable[[#This Row],[Tag]]) &gt; 0, _xlfn.XLOOKUP(ITSecondTable[[#This Row],[Tag]],StorageTable[Tag], StorageTable[In Storage - Count Total], "Err", 0, 1), 0)</f>
        <v>0</v>
      </c>
      <c r="B404" s="1">
        <f>_xlfn.LET(_xlpm.loc, ITEquipmentTable[Storage Location],
COUNTIFS(ITSecondTable[Tag], ITSecondTable[[#This Row],[Tag]], _xlpm.loc, "&lt;&gt;In Use", _xlpm.loc, "&lt;&gt;",  _xlpm.loc, "&lt;&gt;E-Waste", _xlpm.loc, "&lt;&gt;Virtual",  _xlpm.loc, "&lt;&gt;Assigned to Employee", _xlpm.loc, "&lt;&gt;Decommisioned", _xlpm.loc, "&lt;&gt;Missing")
)</f>
        <v>2</v>
      </c>
      <c r="C404" s="1">
        <f>_xlfn.LET(_xlpm.loc, ITEquipmentTable[Storage Location],
COUNTIFS(ITSecondTable[Tag], ITSecondTable[[#This Row],[Tag]], _xlpm.loc, "&lt;&gt;E-Waste", _xlpm.loc, "&lt;&gt;Virtual", _xlpm.loc, "&lt;&gt;Decommisioned")
)</f>
        <v>27</v>
      </c>
      <c r="D404" s="168">
        <f>_xlfn.LET(_xlpm.loc, ITEquipmentTable[Storage Location],
COUNTIFS(ITSecondTable[Tag], ITSecondTable[[#This Row],[Tag]], _xlpm.loc, "Missing")
)</f>
        <v>0</v>
      </c>
      <c r="E404" s="168">
        <f>_xlfn.LET(_xlpm.loc, ITEquipmentTable[Storage Location],
COUNTIFS(ITSecondTable[Tag], ITSecondTable[[#This Row],[Tag]], _xlpm.loc, "In Use") + COUNTIFS(ITSecondTable[Tag], ITSecondTable[[#This Row],[Tag]], _xlpm.loc, "Assigned to Employee")
)</f>
        <v>20</v>
      </c>
      <c r="F404" s="168">
        <f>_xlfn.LET(_xlpm.loc, ITEquipmentTable[Storage Location],
COUNTIFS(ITSecondTable[Tag], ITSecondTable[[#This Row],[Tag]], _xlpm.loc, "")
)</f>
        <v>5</v>
      </c>
      <c r="G404" s="168">
        <f>MAX(ITSecondTable[[#This Row],[SQty]] - ITSecondTable[[#This Row],[IQty]], 0)</f>
        <v>2</v>
      </c>
      <c r="H404" s="168">
        <f>MAX(ITSecondTable[[#This Row],[IQty]]-ITSecondTable[[#This Row],[SQty]], 0)</f>
        <v>0</v>
      </c>
      <c r="I404" s="151" t="str">
        <f>IFERROR(_xlfn.TEXTJOIN("~", TRUE, ITEquipmentTable[[#This Row],[Type]],ITEquipmentTable[[#This Row],[Brand]],ITEquipmentTable[[#This Row],[Model]]), "")</f>
        <v>Desktop~HP</v>
      </c>
      <c r="J404" s="151" t="b">
        <f xml:space="preserve"> _xlfn.IFNA(MATCH( ITSecondTable[[#This Row],[Tag]], StorageTable[Tag], 0)  &gt; -1, FALSE)</f>
        <v>0</v>
      </c>
      <c r="K404" s="168" t="b">
        <f>COUNTIFS(ITEquipmentTable[Serial], ITEquipmentTable[[#This Row],[Serial]], ITEquipmentTable[Serial], "&lt;&gt;N/A") &gt; 1</f>
        <v>0</v>
      </c>
      <c r="L404" s="168" t="b">
        <f>COUNTIFS(ITEquipmentTable[Name], ITEquipmentTable[[#This Row],[Name]], ITEquipmentTable[Name], "&lt;&gt;&lt;Unassigned&gt;",  ITEquipmentTable[Name], "&lt;&gt;N/A") &gt; 1</f>
        <v>0</v>
      </c>
      <c r="M404" s="168" t="b">
        <f>AND(COUNTIFS(ITEquipmentTable[IPv4 Address], ITEquipmentTable[[#This Row],[IPv4 Address]]) &gt; 1, ITEquipmentTable[[#This Row],[IPv4 Address]] &lt;&gt; "DHCP",  ITEquipmentTable[[#This Row],[IPv4 Address]] &lt;&gt; "N/A")</f>
        <v>0</v>
      </c>
    </row>
    <row r="405" spans="1:13" x14ac:dyDescent="0.2">
      <c r="A405" s="168">
        <f>IF(LEN(ITSecondTable[[#This Row],[Tag]]) &gt; 0, _xlfn.XLOOKUP(ITSecondTable[[#This Row],[Tag]],StorageTable[Tag], StorageTable[In Storage - Count Total], "Err", 0, 1), 0)</f>
        <v>10</v>
      </c>
      <c r="B405" s="1">
        <f>_xlfn.LET(_xlpm.loc, ITEquipmentTable[Storage Location],
COUNTIFS(ITSecondTable[Tag], ITSecondTable[[#This Row],[Tag]], _xlpm.loc, "&lt;&gt;In Use", _xlpm.loc, "&lt;&gt;",  _xlpm.loc, "&lt;&gt;E-Waste", _xlpm.loc, "&lt;&gt;Virtual",  _xlpm.loc, "&lt;&gt;Assigned to Employee", _xlpm.loc, "&lt;&gt;Decommisioned", _xlpm.loc, "&lt;&gt;Missing")
)</f>
        <v>16</v>
      </c>
      <c r="C405" s="1">
        <f>_xlfn.LET(_xlpm.loc, ITEquipmentTable[Storage Location],
COUNTIFS(ITSecondTable[Tag], ITSecondTable[[#This Row],[Tag]], _xlpm.loc, "&lt;&gt;E-Waste", _xlpm.loc, "&lt;&gt;Virtual", _xlpm.loc, "&lt;&gt;Decommisioned")
)</f>
        <v>48</v>
      </c>
      <c r="D405" s="168">
        <f>_xlfn.LET(_xlpm.loc, ITEquipmentTable[Storage Location],
COUNTIFS(ITSecondTable[Tag], ITSecondTable[[#This Row],[Tag]], _xlpm.loc, "Missing")
)</f>
        <v>0</v>
      </c>
      <c r="E405" s="168">
        <f>_xlfn.LET(_xlpm.loc, ITEquipmentTable[Storage Location],
COUNTIFS(ITSecondTable[Tag], ITSecondTable[[#This Row],[Tag]], _xlpm.loc, "In Use") + COUNTIFS(ITSecondTable[Tag], ITSecondTable[[#This Row],[Tag]], _xlpm.loc, "Assigned to Employee")
)</f>
        <v>29</v>
      </c>
      <c r="F405" s="168">
        <f>_xlfn.LET(_xlpm.loc, ITEquipmentTable[Storage Location],
COUNTIFS(ITSecondTable[Tag], ITSecondTable[[#This Row],[Tag]], _xlpm.loc, "")
)</f>
        <v>3</v>
      </c>
      <c r="G405" s="168">
        <f>MAX(ITSecondTable[[#This Row],[SQty]] - ITSecondTable[[#This Row],[IQty]], 0)</f>
        <v>6</v>
      </c>
      <c r="H405" s="168">
        <f>MAX(ITSecondTable[[#This Row],[IQty]]-ITSecondTable[[#This Row],[SQty]], 0)</f>
        <v>0</v>
      </c>
      <c r="I405" s="151" t="str">
        <f>IFERROR(_xlfn.TEXTJOIN("~", TRUE, ITEquipmentTable[[#This Row],[Type]],ITEquipmentTable[[#This Row],[Brand]],ITEquipmentTable[[#This Row],[Model]]), "")</f>
        <v>Desktop~HP~HP ProDesk 600 G5 DM</v>
      </c>
      <c r="J405" s="151" t="b">
        <f xml:space="preserve"> _xlfn.IFNA(MATCH( ITSecondTable[[#This Row],[Tag]], StorageTable[Tag], 0)  &gt; -1, FALSE)</f>
        <v>0</v>
      </c>
      <c r="K405" s="168" t="b">
        <f>COUNTIFS(ITEquipmentTable[Serial], ITEquipmentTable[[#This Row],[Serial]], ITEquipmentTable[Serial], "&lt;&gt;N/A") &gt; 1</f>
        <v>0</v>
      </c>
      <c r="L405" s="168" t="b">
        <f>COUNTIFS(ITEquipmentTable[Name], ITEquipmentTable[[#This Row],[Name]], ITEquipmentTable[Name], "&lt;&gt;&lt;Unassigned&gt;",  ITEquipmentTable[Name], "&lt;&gt;N/A") &gt; 1</f>
        <v>0</v>
      </c>
      <c r="M405" s="168" t="b">
        <f>AND(COUNTIFS(ITEquipmentTable[IPv4 Address], ITEquipmentTable[[#This Row],[IPv4 Address]]) &gt; 1, ITEquipmentTable[[#This Row],[IPv4 Address]] &lt;&gt; "DHCP",  ITEquipmentTable[[#This Row],[IPv4 Address]] &lt;&gt; "N/A")</f>
        <v>0</v>
      </c>
    </row>
    <row r="406" spans="1:13" x14ac:dyDescent="0.2">
      <c r="A406" s="168">
        <f>IF(LEN(ITSecondTable[[#This Row],[Tag]]) &gt; 0, _xlfn.XLOOKUP(ITSecondTable[[#This Row],[Tag]],StorageTable[Tag], StorageTable[In Storage - Count Total], "Err", 0, 1), 0)</f>
        <v>10</v>
      </c>
      <c r="B406" s="1">
        <f>_xlfn.LET(_xlpm.loc, ITEquipmentTable[Storage Location],
COUNTIFS(ITSecondTable[Tag], ITSecondTable[[#This Row],[Tag]], _xlpm.loc, "&lt;&gt;In Use", _xlpm.loc, "&lt;&gt;",  _xlpm.loc, "&lt;&gt;E-Waste", _xlpm.loc, "&lt;&gt;Virtual",  _xlpm.loc, "&lt;&gt;Assigned to Employee", _xlpm.loc, "&lt;&gt;Decommisioned", _xlpm.loc, "&lt;&gt;Missing")
)</f>
        <v>16</v>
      </c>
      <c r="C406" s="1">
        <f>_xlfn.LET(_xlpm.loc, ITEquipmentTable[Storage Location],
COUNTIFS(ITSecondTable[Tag], ITSecondTable[[#This Row],[Tag]], _xlpm.loc, "&lt;&gt;E-Waste", _xlpm.loc, "&lt;&gt;Virtual", _xlpm.loc, "&lt;&gt;Decommisioned")
)</f>
        <v>48</v>
      </c>
      <c r="D406" s="168">
        <f>_xlfn.LET(_xlpm.loc, ITEquipmentTable[Storage Location],
COUNTIFS(ITSecondTable[Tag], ITSecondTable[[#This Row],[Tag]], _xlpm.loc, "Missing")
)</f>
        <v>0</v>
      </c>
      <c r="E406" s="168">
        <f>_xlfn.LET(_xlpm.loc, ITEquipmentTable[Storage Location],
COUNTIFS(ITSecondTable[Tag], ITSecondTable[[#This Row],[Tag]], _xlpm.loc, "In Use") + COUNTIFS(ITSecondTable[Tag], ITSecondTable[[#This Row],[Tag]], _xlpm.loc, "Assigned to Employee")
)</f>
        <v>29</v>
      </c>
      <c r="F406" s="168">
        <f>_xlfn.LET(_xlpm.loc, ITEquipmentTable[Storage Location],
COUNTIFS(ITSecondTable[Tag], ITSecondTable[[#This Row],[Tag]], _xlpm.loc, "")
)</f>
        <v>3</v>
      </c>
      <c r="G406" s="168">
        <f>MAX(ITSecondTable[[#This Row],[SQty]] - ITSecondTable[[#This Row],[IQty]], 0)</f>
        <v>6</v>
      </c>
      <c r="H406" s="168">
        <f>MAX(ITSecondTable[[#This Row],[IQty]]-ITSecondTable[[#This Row],[SQty]], 0)</f>
        <v>0</v>
      </c>
      <c r="I406" s="151" t="str">
        <f>IFERROR(_xlfn.TEXTJOIN("~", TRUE, ITEquipmentTable[[#This Row],[Type]],ITEquipmentTable[[#This Row],[Brand]],ITEquipmentTable[[#This Row],[Model]]), "")</f>
        <v>Desktop~HP~HP ProDesk 600 G5 DM</v>
      </c>
      <c r="J406" s="151" t="b">
        <f xml:space="preserve"> _xlfn.IFNA(MATCH( ITSecondTable[[#This Row],[Tag]], StorageTable[Tag], 0)  &gt; -1, FALSE)</f>
        <v>0</v>
      </c>
      <c r="K406" s="168" t="b">
        <f>COUNTIFS(ITEquipmentTable[Serial], ITEquipmentTable[[#This Row],[Serial]], ITEquipmentTable[Serial], "&lt;&gt;N/A") &gt; 1</f>
        <v>0</v>
      </c>
      <c r="L406" s="168" t="b">
        <f>COUNTIFS(ITEquipmentTable[Name], ITEquipmentTable[[#This Row],[Name]], ITEquipmentTable[Name], "&lt;&gt;&lt;Unassigned&gt;",  ITEquipmentTable[Name], "&lt;&gt;N/A") &gt; 1</f>
        <v>0</v>
      </c>
      <c r="M406" s="168" t="b">
        <f>AND(COUNTIFS(ITEquipmentTable[IPv4 Address], ITEquipmentTable[[#This Row],[IPv4 Address]]) &gt; 1, ITEquipmentTable[[#This Row],[IPv4 Address]] &lt;&gt; "DHCP",  ITEquipmentTable[[#This Row],[IPv4 Address]] &lt;&gt; "N/A")</f>
        <v>0</v>
      </c>
    </row>
    <row r="407" spans="1:13" x14ac:dyDescent="0.2">
      <c r="A407" s="168">
        <f>IF(LEN(ITSecondTable[[#This Row],[Tag]]) &gt; 0, _xlfn.XLOOKUP(ITSecondTable[[#This Row],[Tag]],StorageTable[Tag], StorageTable[In Storage - Count Total], "Err", 0, 1), 0)</f>
        <v>10</v>
      </c>
      <c r="B407" s="1">
        <f>_xlfn.LET(_xlpm.loc, ITEquipmentTable[Storage Location],
COUNTIFS(ITSecondTable[Tag], ITSecondTable[[#This Row],[Tag]], _xlpm.loc, "&lt;&gt;In Use", _xlpm.loc, "&lt;&gt;",  _xlpm.loc, "&lt;&gt;E-Waste", _xlpm.loc, "&lt;&gt;Virtual",  _xlpm.loc, "&lt;&gt;Assigned to Employee", _xlpm.loc, "&lt;&gt;Decommisioned", _xlpm.loc, "&lt;&gt;Missing")
)</f>
        <v>16</v>
      </c>
      <c r="C407" s="1">
        <f>_xlfn.LET(_xlpm.loc, ITEquipmentTable[Storage Location],
COUNTIFS(ITSecondTable[Tag], ITSecondTable[[#This Row],[Tag]], _xlpm.loc, "&lt;&gt;E-Waste", _xlpm.loc, "&lt;&gt;Virtual", _xlpm.loc, "&lt;&gt;Decommisioned")
)</f>
        <v>48</v>
      </c>
      <c r="D407" s="168">
        <f>_xlfn.LET(_xlpm.loc, ITEquipmentTable[Storage Location],
COUNTIFS(ITSecondTable[Tag], ITSecondTable[[#This Row],[Tag]], _xlpm.loc, "Missing")
)</f>
        <v>0</v>
      </c>
      <c r="E407" s="168">
        <f>_xlfn.LET(_xlpm.loc, ITEquipmentTable[Storage Location],
COUNTIFS(ITSecondTable[Tag], ITSecondTable[[#This Row],[Tag]], _xlpm.loc, "In Use") + COUNTIFS(ITSecondTable[Tag], ITSecondTable[[#This Row],[Tag]], _xlpm.loc, "Assigned to Employee")
)</f>
        <v>29</v>
      </c>
      <c r="F407" s="168">
        <f>_xlfn.LET(_xlpm.loc, ITEquipmentTable[Storage Location],
COUNTIFS(ITSecondTable[Tag], ITSecondTable[[#This Row],[Tag]], _xlpm.loc, "")
)</f>
        <v>3</v>
      </c>
      <c r="G407" s="168">
        <f>MAX(ITSecondTable[[#This Row],[SQty]] - ITSecondTable[[#This Row],[IQty]], 0)</f>
        <v>6</v>
      </c>
      <c r="H407" s="168">
        <f>MAX(ITSecondTable[[#This Row],[IQty]]-ITSecondTable[[#This Row],[SQty]], 0)</f>
        <v>0</v>
      </c>
      <c r="I407" s="151" t="str">
        <f>IFERROR(_xlfn.TEXTJOIN("~", TRUE, ITEquipmentTable[[#This Row],[Type]],ITEquipmentTable[[#This Row],[Brand]],ITEquipmentTable[[#This Row],[Model]]), "")</f>
        <v>Desktop~HP~HP ProDesk 600 G5 DM</v>
      </c>
      <c r="J407" s="151" t="b">
        <f xml:space="preserve"> _xlfn.IFNA(MATCH( ITSecondTable[[#This Row],[Tag]], StorageTable[Tag], 0)  &gt; -1, FALSE)</f>
        <v>0</v>
      </c>
      <c r="K407" s="168" t="b">
        <f>COUNTIFS(ITEquipmentTable[Serial], ITEquipmentTable[[#This Row],[Serial]], ITEquipmentTable[Serial], "&lt;&gt;N/A") &gt; 1</f>
        <v>0</v>
      </c>
      <c r="L407" s="168" t="b">
        <f>COUNTIFS(ITEquipmentTable[Name], ITEquipmentTable[[#This Row],[Name]], ITEquipmentTable[Name], "&lt;&gt;&lt;Unassigned&gt;",  ITEquipmentTable[Name], "&lt;&gt;N/A") &gt; 1</f>
        <v>0</v>
      </c>
      <c r="M407" s="168" t="b">
        <f>AND(COUNTIFS(ITEquipmentTable[IPv4 Address], ITEquipmentTable[[#This Row],[IPv4 Address]]) &gt; 1, ITEquipmentTable[[#This Row],[IPv4 Address]] &lt;&gt; "DHCP",  ITEquipmentTable[[#This Row],[IPv4 Address]] &lt;&gt; "N/A")</f>
        <v>0</v>
      </c>
    </row>
    <row r="408" spans="1:13" x14ac:dyDescent="0.2">
      <c r="A408" s="168">
        <f>IF(LEN(ITSecondTable[[#This Row],[Tag]]) &gt; 0, _xlfn.XLOOKUP(ITSecondTable[[#This Row],[Tag]],StorageTable[Tag], StorageTable[In Storage - Count Total], "Err", 0, 1), 0)</f>
        <v>10</v>
      </c>
      <c r="B408" s="1">
        <f>_xlfn.LET(_xlpm.loc, ITEquipmentTable[Storage Location],
COUNTIFS(ITSecondTable[Tag], ITSecondTable[[#This Row],[Tag]], _xlpm.loc, "&lt;&gt;In Use", _xlpm.loc, "&lt;&gt;",  _xlpm.loc, "&lt;&gt;E-Waste", _xlpm.loc, "&lt;&gt;Virtual",  _xlpm.loc, "&lt;&gt;Assigned to Employee", _xlpm.loc, "&lt;&gt;Decommisioned", _xlpm.loc, "&lt;&gt;Missing")
)</f>
        <v>16</v>
      </c>
      <c r="C408" s="1">
        <f>_xlfn.LET(_xlpm.loc, ITEquipmentTable[Storage Location],
COUNTIFS(ITSecondTable[Tag], ITSecondTable[[#This Row],[Tag]], _xlpm.loc, "&lt;&gt;E-Waste", _xlpm.loc, "&lt;&gt;Virtual", _xlpm.loc, "&lt;&gt;Decommisioned")
)</f>
        <v>48</v>
      </c>
      <c r="D408" s="168">
        <f>_xlfn.LET(_xlpm.loc, ITEquipmentTable[Storage Location],
COUNTIFS(ITSecondTable[Tag], ITSecondTable[[#This Row],[Tag]], _xlpm.loc, "Missing")
)</f>
        <v>0</v>
      </c>
      <c r="E408" s="168">
        <f>_xlfn.LET(_xlpm.loc, ITEquipmentTable[Storage Location],
COUNTIFS(ITSecondTable[Tag], ITSecondTable[[#This Row],[Tag]], _xlpm.loc, "In Use") + COUNTIFS(ITSecondTable[Tag], ITSecondTable[[#This Row],[Tag]], _xlpm.loc, "Assigned to Employee")
)</f>
        <v>29</v>
      </c>
      <c r="F408" s="168">
        <f>_xlfn.LET(_xlpm.loc, ITEquipmentTable[Storage Location],
COUNTIFS(ITSecondTable[Tag], ITSecondTable[[#This Row],[Tag]], _xlpm.loc, "")
)</f>
        <v>3</v>
      </c>
      <c r="G408" s="168">
        <f>MAX(ITSecondTable[[#This Row],[SQty]] - ITSecondTable[[#This Row],[IQty]], 0)</f>
        <v>6</v>
      </c>
      <c r="H408" s="168">
        <f>MAX(ITSecondTable[[#This Row],[IQty]]-ITSecondTable[[#This Row],[SQty]], 0)</f>
        <v>0</v>
      </c>
      <c r="I408" s="151" t="str">
        <f>IFERROR(_xlfn.TEXTJOIN("~", TRUE, ITEquipmentTable[[#This Row],[Type]],ITEquipmentTable[[#This Row],[Brand]],ITEquipmentTable[[#This Row],[Model]]), "")</f>
        <v>Desktop~HP~HP ProDesk 600 G5 DM</v>
      </c>
      <c r="J408" s="151" t="b">
        <f xml:space="preserve"> _xlfn.IFNA(MATCH( ITSecondTable[[#This Row],[Tag]], StorageTable[Tag], 0)  &gt; -1, FALSE)</f>
        <v>0</v>
      </c>
      <c r="K408" s="168" t="b">
        <f>COUNTIFS(ITEquipmentTable[Serial], ITEquipmentTable[[#This Row],[Serial]], ITEquipmentTable[Serial], "&lt;&gt;N/A") &gt; 1</f>
        <v>0</v>
      </c>
      <c r="L408" s="168" t="b">
        <f>COUNTIFS(ITEquipmentTable[Name], ITEquipmentTable[[#This Row],[Name]], ITEquipmentTable[Name], "&lt;&gt;&lt;Unassigned&gt;",  ITEquipmentTable[Name], "&lt;&gt;N/A") &gt; 1</f>
        <v>0</v>
      </c>
      <c r="M408" s="168" t="b">
        <f>AND(COUNTIFS(ITEquipmentTable[IPv4 Address], ITEquipmentTable[[#This Row],[IPv4 Address]]) &gt; 1, ITEquipmentTable[[#This Row],[IPv4 Address]] &lt;&gt; "DHCP",  ITEquipmentTable[[#This Row],[IPv4 Address]] &lt;&gt; "N/A")</f>
        <v>0</v>
      </c>
    </row>
    <row r="409" spans="1:13" x14ac:dyDescent="0.2">
      <c r="A409" s="168">
        <f>IF(LEN(ITSecondTable[[#This Row],[Tag]]) &gt; 0, _xlfn.XLOOKUP(ITSecondTable[[#This Row],[Tag]],StorageTable[Tag], StorageTable[In Storage - Count Total], "Err", 0, 1), 0)</f>
        <v>10</v>
      </c>
      <c r="B409" s="1">
        <f>_xlfn.LET(_xlpm.loc, ITEquipmentTable[Storage Location],
COUNTIFS(ITSecondTable[Tag], ITSecondTable[[#This Row],[Tag]], _xlpm.loc, "&lt;&gt;In Use", _xlpm.loc, "&lt;&gt;",  _xlpm.loc, "&lt;&gt;E-Waste", _xlpm.loc, "&lt;&gt;Virtual",  _xlpm.loc, "&lt;&gt;Assigned to Employee", _xlpm.loc, "&lt;&gt;Decommisioned", _xlpm.loc, "&lt;&gt;Missing")
)</f>
        <v>16</v>
      </c>
      <c r="C409" s="1">
        <f>_xlfn.LET(_xlpm.loc, ITEquipmentTable[Storage Location],
COUNTIFS(ITSecondTable[Tag], ITSecondTable[[#This Row],[Tag]], _xlpm.loc, "&lt;&gt;E-Waste", _xlpm.loc, "&lt;&gt;Virtual", _xlpm.loc, "&lt;&gt;Decommisioned")
)</f>
        <v>48</v>
      </c>
      <c r="D409" s="168">
        <f>_xlfn.LET(_xlpm.loc, ITEquipmentTable[Storage Location],
COUNTIFS(ITSecondTable[Tag], ITSecondTable[[#This Row],[Tag]], _xlpm.loc, "Missing")
)</f>
        <v>0</v>
      </c>
      <c r="E409" s="168">
        <f>_xlfn.LET(_xlpm.loc, ITEquipmentTable[Storage Location],
COUNTIFS(ITSecondTable[Tag], ITSecondTable[[#This Row],[Tag]], _xlpm.loc, "In Use") + COUNTIFS(ITSecondTable[Tag], ITSecondTable[[#This Row],[Tag]], _xlpm.loc, "Assigned to Employee")
)</f>
        <v>29</v>
      </c>
      <c r="F409" s="168">
        <f>_xlfn.LET(_xlpm.loc, ITEquipmentTable[Storage Location],
COUNTIFS(ITSecondTable[Tag], ITSecondTable[[#This Row],[Tag]], _xlpm.loc, "")
)</f>
        <v>3</v>
      </c>
      <c r="G409" s="168">
        <f>MAX(ITSecondTable[[#This Row],[SQty]] - ITSecondTable[[#This Row],[IQty]], 0)</f>
        <v>6</v>
      </c>
      <c r="H409" s="168">
        <f>MAX(ITSecondTable[[#This Row],[IQty]]-ITSecondTable[[#This Row],[SQty]], 0)</f>
        <v>0</v>
      </c>
      <c r="I409" s="151" t="str">
        <f>IFERROR(_xlfn.TEXTJOIN("~", TRUE, ITEquipmentTable[[#This Row],[Type]],ITEquipmentTable[[#This Row],[Brand]],ITEquipmentTable[[#This Row],[Model]]), "")</f>
        <v>Desktop~HP~HP ProDesk 600 G5 DM</v>
      </c>
      <c r="J409" s="151" t="b">
        <f xml:space="preserve"> _xlfn.IFNA(MATCH( ITSecondTable[[#This Row],[Tag]], StorageTable[Tag], 0)  &gt; -1, FALSE)</f>
        <v>0</v>
      </c>
      <c r="K409" s="168" t="b">
        <f>COUNTIFS(ITEquipmentTable[Serial], ITEquipmentTable[[#This Row],[Serial]], ITEquipmentTable[Serial], "&lt;&gt;N/A") &gt; 1</f>
        <v>0</v>
      </c>
      <c r="L409" s="168" t="b">
        <f>COUNTIFS(ITEquipmentTable[Name], ITEquipmentTable[[#This Row],[Name]], ITEquipmentTable[Name], "&lt;&gt;&lt;Unassigned&gt;",  ITEquipmentTable[Name], "&lt;&gt;N/A") &gt; 1</f>
        <v>0</v>
      </c>
      <c r="M409" s="168" t="b">
        <f>AND(COUNTIFS(ITEquipmentTable[IPv4 Address], ITEquipmentTable[[#This Row],[IPv4 Address]]) &gt; 1, ITEquipmentTable[[#This Row],[IPv4 Address]] &lt;&gt; "DHCP",  ITEquipmentTable[[#This Row],[IPv4 Address]] &lt;&gt; "N/A")</f>
        <v>0</v>
      </c>
    </row>
    <row r="410" spans="1:13" x14ac:dyDescent="0.2">
      <c r="A410" s="168">
        <f>IF(LEN(ITSecondTable[[#This Row],[Tag]]) &gt; 0, _xlfn.XLOOKUP(ITSecondTable[[#This Row],[Tag]],StorageTable[Tag], StorageTable[In Storage - Count Total], "Err", 0, 1), 0)</f>
        <v>10</v>
      </c>
      <c r="B410" s="1">
        <f>_xlfn.LET(_xlpm.loc, ITEquipmentTable[Storage Location],
COUNTIFS(ITSecondTable[Tag], ITSecondTable[[#This Row],[Tag]], _xlpm.loc, "&lt;&gt;In Use", _xlpm.loc, "&lt;&gt;",  _xlpm.loc, "&lt;&gt;E-Waste", _xlpm.loc, "&lt;&gt;Virtual",  _xlpm.loc, "&lt;&gt;Assigned to Employee", _xlpm.loc, "&lt;&gt;Decommisioned", _xlpm.loc, "&lt;&gt;Missing")
)</f>
        <v>16</v>
      </c>
      <c r="C410" s="1">
        <f>_xlfn.LET(_xlpm.loc, ITEquipmentTable[Storage Location],
COUNTIFS(ITSecondTable[Tag], ITSecondTable[[#This Row],[Tag]], _xlpm.loc, "&lt;&gt;E-Waste", _xlpm.loc, "&lt;&gt;Virtual", _xlpm.loc, "&lt;&gt;Decommisioned")
)</f>
        <v>48</v>
      </c>
      <c r="D410" s="168">
        <f>_xlfn.LET(_xlpm.loc, ITEquipmentTable[Storage Location],
COUNTIFS(ITSecondTable[Tag], ITSecondTable[[#This Row],[Tag]], _xlpm.loc, "Missing")
)</f>
        <v>0</v>
      </c>
      <c r="E410" s="168">
        <f>_xlfn.LET(_xlpm.loc, ITEquipmentTable[Storage Location],
COUNTIFS(ITSecondTable[Tag], ITSecondTable[[#This Row],[Tag]], _xlpm.loc, "In Use") + COUNTIFS(ITSecondTable[Tag], ITSecondTable[[#This Row],[Tag]], _xlpm.loc, "Assigned to Employee")
)</f>
        <v>29</v>
      </c>
      <c r="F410" s="168">
        <f>_xlfn.LET(_xlpm.loc, ITEquipmentTable[Storage Location],
COUNTIFS(ITSecondTable[Tag], ITSecondTable[[#This Row],[Tag]], _xlpm.loc, "")
)</f>
        <v>3</v>
      </c>
      <c r="G410" s="168">
        <f>MAX(ITSecondTable[[#This Row],[SQty]] - ITSecondTable[[#This Row],[IQty]], 0)</f>
        <v>6</v>
      </c>
      <c r="H410" s="168">
        <f>MAX(ITSecondTable[[#This Row],[IQty]]-ITSecondTable[[#This Row],[SQty]], 0)</f>
        <v>0</v>
      </c>
      <c r="I410" s="151" t="str">
        <f>IFERROR(_xlfn.TEXTJOIN("~", TRUE, ITEquipmentTable[[#This Row],[Type]],ITEquipmentTable[[#This Row],[Brand]],ITEquipmentTable[[#This Row],[Model]]), "")</f>
        <v>Desktop~HP~HP ProDesk 600 G5 DM</v>
      </c>
      <c r="J410" s="151" t="b">
        <f xml:space="preserve"> _xlfn.IFNA(MATCH( ITSecondTable[[#This Row],[Tag]], StorageTable[Tag], 0)  &gt; -1, FALSE)</f>
        <v>0</v>
      </c>
      <c r="K410" s="168" t="b">
        <f>COUNTIFS(ITEquipmentTable[Serial], ITEquipmentTable[[#This Row],[Serial]], ITEquipmentTable[Serial], "&lt;&gt;N/A") &gt; 1</f>
        <v>0</v>
      </c>
      <c r="L410" s="168" t="b">
        <f>COUNTIFS(ITEquipmentTable[Name], ITEquipmentTable[[#This Row],[Name]], ITEquipmentTable[Name], "&lt;&gt;&lt;Unassigned&gt;",  ITEquipmentTable[Name], "&lt;&gt;N/A") &gt; 1</f>
        <v>0</v>
      </c>
      <c r="M410" s="168" t="b">
        <f>AND(COUNTIFS(ITEquipmentTable[IPv4 Address], ITEquipmentTable[[#This Row],[IPv4 Address]]) &gt; 1, ITEquipmentTable[[#This Row],[IPv4 Address]] &lt;&gt; "DHCP",  ITEquipmentTable[[#This Row],[IPv4 Address]] &lt;&gt; "N/A")</f>
        <v>0</v>
      </c>
    </row>
    <row r="411" spans="1:13" x14ac:dyDescent="0.2">
      <c r="A411" s="168">
        <f>IF(LEN(ITSecondTable[[#This Row],[Tag]]) &gt; 0, _xlfn.XLOOKUP(ITSecondTable[[#This Row],[Tag]],StorageTable[Tag], StorageTable[In Storage - Count Total], "Err", 0, 1), 0)</f>
        <v>10</v>
      </c>
      <c r="B411" s="1">
        <f>_xlfn.LET(_xlpm.loc, ITEquipmentTable[Storage Location],
COUNTIFS(ITSecondTable[Tag], ITSecondTable[[#This Row],[Tag]], _xlpm.loc, "&lt;&gt;In Use", _xlpm.loc, "&lt;&gt;",  _xlpm.loc, "&lt;&gt;E-Waste", _xlpm.loc, "&lt;&gt;Virtual",  _xlpm.loc, "&lt;&gt;Assigned to Employee", _xlpm.loc, "&lt;&gt;Decommisioned", _xlpm.loc, "&lt;&gt;Missing")
)</f>
        <v>16</v>
      </c>
      <c r="C411" s="1">
        <f>_xlfn.LET(_xlpm.loc, ITEquipmentTable[Storage Location],
COUNTIFS(ITSecondTable[Tag], ITSecondTable[[#This Row],[Tag]], _xlpm.loc, "&lt;&gt;E-Waste", _xlpm.loc, "&lt;&gt;Virtual", _xlpm.loc, "&lt;&gt;Decommisioned")
)</f>
        <v>48</v>
      </c>
      <c r="D411" s="168">
        <f>_xlfn.LET(_xlpm.loc, ITEquipmentTable[Storage Location],
COUNTIFS(ITSecondTable[Tag], ITSecondTable[[#This Row],[Tag]], _xlpm.loc, "Missing")
)</f>
        <v>0</v>
      </c>
      <c r="E411" s="168">
        <f>_xlfn.LET(_xlpm.loc, ITEquipmentTable[Storage Location],
COUNTIFS(ITSecondTable[Tag], ITSecondTable[[#This Row],[Tag]], _xlpm.loc, "In Use") + COUNTIFS(ITSecondTable[Tag], ITSecondTable[[#This Row],[Tag]], _xlpm.loc, "Assigned to Employee")
)</f>
        <v>29</v>
      </c>
      <c r="F411" s="168">
        <f>_xlfn.LET(_xlpm.loc, ITEquipmentTable[Storage Location],
COUNTIFS(ITSecondTable[Tag], ITSecondTable[[#This Row],[Tag]], _xlpm.loc, "")
)</f>
        <v>3</v>
      </c>
      <c r="G411" s="168">
        <f>MAX(ITSecondTable[[#This Row],[SQty]] - ITSecondTable[[#This Row],[IQty]], 0)</f>
        <v>6</v>
      </c>
      <c r="H411" s="168">
        <f>MAX(ITSecondTable[[#This Row],[IQty]]-ITSecondTable[[#This Row],[SQty]], 0)</f>
        <v>0</v>
      </c>
      <c r="I411" s="151" t="str">
        <f>IFERROR(_xlfn.TEXTJOIN("~", TRUE, ITEquipmentTable[[#This Row],[Type]],ITEquipmentTable[[#This Row],[Brand]],ITEquipmentTable[[#This Row],[Model]]), "")</f>
        <v>Desktop~HP~HP ProDesk 600 G5 DM</v>
      </c>
      <c r="J411" s="151" t="b">
        <f xml:space="preserve"> _xlfn.IFNA(MATCH( ITSecondTable[[#This Row],[Tag]], StorageTable[Tag], 0)  &gt; -1, FALSE)</f>
        <v>0</v>
      </c>
      <c r="K411" s="168" t="b">
        <f>COUNTIFS(ITEquipmentTable[Serial], ITEquipmentTable[[#This Row],[Serial]], ITEquipmentTable[Serial], "&lt;&gt;N/A") &gt; 1</f>
        <v>0</v>
      </c>
      <c r="L411" s="168" t="b">
        <f>COUNTIFS(ITEquipmentTable[Name], ITEquipmentTable[[#This Row],[Name]], ITEquipmentTable[Name], "&lt;&gt;&lt;Unassigned&gt;",  ITEquipmentTable[Name], "&lt;&gt;N/A") &gt; 1</f>
        <v>0</v>
      </c>
      <c r="M411" s="168" t="b">
        <f>AND(COUNTIFS(ITEquipmentTable[IPv4 Address], ITEquipmentTable[[#This Row],[IPv4 Address]]) &gt; 1, ITEquipmentTable[[#This Row],[IPv4 Address]] &lt;&gt; "DHCP",  ITEquipmentTable[[#This Row],[IPv4 Address]] &lt;&gt; "N/A")</f>
        <v>0</v>
      </c>
    </row>
    <row r="412" spans="1:13" x14ac:dyDescent="0.2">
      <c r="A412" s="168">
        <f>IF(LEN(ITSecondTable[[#This Row],[Tag]]) &gt; 0, _xlfn.XLOOKUP(ITSecondTable[[#This Row],[Tag]],StorageTable[Tag], StorageTable[In Storage - Count Total], "Err", 0, 1), 0)</f>
        <v>10</v>
      </c>
      <c r="B412" s="1">
        <f>_xlfn.LET(_xlpm.loc, ITEquipmentTable[Storage Location],
COUNTIFS(ITSecondTable[Tag], ITSecondTable[[#This Row],[Tag]], _xlpm.loc, "&lt;&gt;In Use", _xlpm.loc, "&lt;&gt;",  _xlpm.loc, "&lt;&gt;E-Waste", _xlpm.loc, "&lt;&gt;Virtual",  _xlpm.loc, "&lt;&gt;Assigned to Employee", _xlpm.loc, "&lt;&gt;Decommisioned", _xlpm.loc, "&lt;&gt;Missing")
)</f>
        <v>16</v>
      </c>
      <c r="C412" s="1">
        <f>_xlfn.LET(_xlpm.loc, ITEquipmentTable[Storage Location],
COUNTIFS(ITSecondTable[Tag], ITSecondTable[[#This Row],[Tag]], _xlpm.loc, "&lt;&gt;E-Waste", _xlpm.loc, "&lt;&gt;Virtual", _xlpm.loc, "&lt;&gt;Decommisioned")
)</f>
        <v>48</v>
      </c>
      <c r="D412" s="168">
        <f>_xlfn.LET(_xlpm.loc, ITEquipmentTable[Storage Location],
COUNTIFS(ITSecondTable[Tag], ITSecondTable[[#This Row],[Tag]], _xlpm.loc, "Missing")
)</f>
        <v>0</v>
      </c>
      <c r="E412" s="168">
        <f>_xlfn.LET(_xlpm.loc, ITEquipmentTable[Storage Location],
COUNTIFS(ITSecondTable[Tag], ITSecondTable[[#This Row],[Tag]], _xlpm.loc, "In Use") + COUNTIFS(ITSecondTable[Tag], ITSecondTable[[#This Row],[Tag]], _xlpm.loc, "Assigned to Employee")
)</f>
        <v>29</v>
      </c>
      <c r="F412" s="168">
        <f>_xlfn.LET(_xlpm.loc, ITEquipmentTable[Storage Location],
COUNTIFS(ITSecondTable[Tag], ITSecondTable[[#This Row],[Tag]], _xlpm.loc, "")
)</f>
        <v>3</v>
      </c>
      <c r="G412" s="168">
        <f>MAX(ITSecondTable[[#This Row],[SQty]] - ITSecondTable[[#This Row],[IQty]], 0)</f>
        <v>6</v>
      </c>
      <c r="H412" s="168">
        <f>MAX(ITSecondTable[[#This Row],[IQty]]-ITSecondTable[[#This Row],[SQty]], 0)</f>
        <v>0</v>
      </c>
      <c r="I412" s="151" t="str">
        <f>IFERROR(_xlfn.TEXTJOIN("~", TRUE, ITEquipmentTable[[#This Row],[Type]],ITEquipmentTable[[#This Row],[Brand]],ITEquipmentTable[[#This Row],[Model]]), "")</f>
        <v>Desktop~HP~HP ProDesk 600 G5 DM</v>
      </c>
      <c r="J412" s="151" t="b">
        <f xml:space="preserve"> _xlfn.IFNA(MATCH( ITSecondTable[[#This Row],[Tag]], StorageTable[Tag], 0)  &gt; -1, FALSE)</f>
        <v>0</v>
      </c>
      <c r="K412" s="168" t="b">
        <f>COUNTIFS(ITEquipmentTable[Serial], ITEquipmentTable[[#This Row],[Serial]], ITEquipmentTable[Serial], "&lt;&gt;N/A") &gt; 1</f>
        <v>0</v>
      </c>
      <c r="L412" s="168" t="b">
        <f>COUNTIFS(ITEquipmentTable[Name], ITEquipmentTable[[#This Row],[Name]], ITEquipmentTable[Name], "&lt;&gt;&lt;Unassigned&gt;",  ITEquipmentTable[Name], "&lt;&gt;N/A") &gt; 1</f>
        <v>0</v>
      </c>
      <c r="M412" s="168" t="b">
        <f>AND(COUNTIFS(ITEquipmentTable[IPv4 Address], ITEquipmentTable[[#This Row],[IPv4 Address]]) &gt; 1, ITEquipmentTable[[#This Row],[IPv4 Address]] &lt;&gt; "DHCP",  ITEquipmentTable[[#This Row],[IPv4 Address]] &lt;&gt; "N/A")</f>
        <v>0</v>
      </c>
    </row>
    <row r="413" spans="1:13" x14ac:dyDescent="0.2">
      <c r="A413" s="168">
        <f>IF(LEN(ITSecondTable[[#This Row],[Tag]]) &gt; 0, _xlfn.XLOOKUP(ITSecondTable[[#This Row],[Tag]],StorageTable[Tag], StorageTable[In Storage - Count Total], "Err", 0, 1), 0)</f>
        <v>10</v>
      </c>
      <c r="B413" s="1">
        <f>_xlfn.LET(_xlpm.loc, ITEquipmentTable[Storage Location],
COUNTIFS(ITSecondTable[Tag], ITSecondTable[[#This Row],[Tag]], _xlpm.loc, "&lt;&gt;In Use", _xlpm.loc, "&lt;&gt;",  _xlpm.loc, "&lt;&gt;E-Waste", _xlpm.loc, "&lt;&gt;Virtual",  _xlpm.loc, "&lt;&gt;Assigned to Employee", _xlpm.loc, "&lt;&gt;Decommisioned", _xlpm.loc, "&lt;&gt;Missing")
)</f>
        <v>16</v>
      </c>
      <c r="C413" s="1">
        <f>_xlfn.LET(_xlpm.loc, ITEquipmentTable[Storage Location],
COUNTIFS(ITSecondTable[Tag], ITSecondTable[[#This Row],[Tag]], _xlpm.loc, "&lt;&gt;E-Waste", _xlpm.loc, "&lt;&gt;Virtual", _xlpm.loc, "&lt;&gt;Decommisioned")
)</f>
        <v>48</v>
      </c>
      <c r="D413" s="168">
        <f>_xlfn.LET(_xlpm.loc, ITEquipmentTable[Storage Location],
COUNTIFS(ITSecondTable[Tag], ITSecondTable[[#This Row],[Tag]], _xlpm.loc, "Missing")
)</f>
        <v>0</v>
      </c>
      <c r="E413" s="168">
        <f>_xlfn.LET(_xlpm.loc, ITEquipmentTable[Storage Location],
COUNTIFS(ITSecondTable[Tag], ITSecondTable[[#This Row],[Tag]], _xlpm.loc, "In Use") + COUNTIFS(ITSecondTable[Tag], ITSecondTable[[#This Row],[Tag]], _xlpm.loc, "Assigned to Employee")
)</f>
        <v>29</v>
      </c>
      <c r="F413" s="168">
        <f>_xlfn.LET(_xlpm.loc, ITEquipmentTable[Storage Location],
COUNTIFS(ITSecondTable[Tag], ITSecondTable[[#This Row],[Tag]], _xlpm.loc, "")
)</f>
        <v>3</v>
      </c>
      <c r="G413" s="168">
        <f>MAX(ITSecondTable[[#This Row],[SQty]] - ITSecondTable[[#This Row],[IQty]], 0)</f>
        <v>6</v>
      </c>
      <c r="H413" s="168">
        <f>MAX(ITSecondTable[[#This Row],[IQty]]-ITSecondTable[[#This Row],[SQty]], 0)</f>
        <v>0</v>
      </c>
      <c r="I413" s="151" t="str">
        <f>IFERROR(_xlfn.TEXTJOIN("~", TRUE, ITEquipmentTable[[#This Row],[Type]],ITEquipmentTable[[#This Row],[Brand]],ITEquipmentTable[[#This Row],[Model]]), "")</f>
        <v>Desktop~HP~HP ProDesk 600 G5 DM</v>
      </c>
      <c r="J413" s="151" t="b">
        <f xml:space="preserve"> _xlfn.IFNA(MATCH( ITSecondTable[[#This Row],[Tag]], StorageTable[Tag], 0)  &gt; -1, FALSE)</f>
        <v>0</v>
      </c>
      <c r="K413" s="168" t="b">
        <f>COUNTIFS(ITEquipmentTable[Serial], ITEquipmentTable[[#This Row],[Serial]], ITEquipmentTable[Serial], "&lt;&gt;N/A") &gt; 1</f>
        <v>0</v>
      </c>
      <c r="L413" s="168" t="b">
        <f>COUNTIFS(ITEquipmentTable[Name], ITEquipmentTable[[#This Row],[Name]], ITEquipmentTable[Name], "&lt;&gt;&lt;Unassigned&gt;",  ITEquipmentTable[Name], "&lt;&gt;N/A") &gt; 1</f>
        <v>0</v>
      </c>
      <c r="M413" s="168" t="b">
        <f>AND(COUNTIFS(ITEquipmentTable[IPv4 Address], ITEquipmentTable[[#This Row],[IPv4 Address]]) &gt; 1, ITEquipmentTable[[#This Row],[IPv4 Address]] &lt;&gt; "DHCP",  ITEquipmentTable[[#This Row],[IPv4 Address]] &lt;&gt; "N/A")</f>
        <v>0</v>
      </c>
    </row>
    <row r="414" spans="1:13" x14ac:dyDescent="0.2">
      <c r="A414" s="168">
        <f>IF(LEN(ITSecondTable[[#This Row],[Tag]]) &gt; 0, _xlfn.XLOOKUP(ITSecondTable[[#This Row],[Tag]],StorageTable[Tag], StorageTable[In Storage - Count Total], "Err", 0, 1), 0)</f>
        <v>10</v>
      </c>
      <c r="B414" s="1">
        <f>_xlfn.LET(_xlpm.loc, ITEquipmentTable[Storage Location],
COUNTIFS(ITSecondTable[Tag], ITSecondTable[[#This Row],[Tag]], _xlpm.loc, "&lt;&gt;In Use", _xlpm.loc, "&lt;&gt;",  _xlpm.loc, "&lt;&gt;E-Waste", _xlpm.loc, "&lt;&gt;Virtual",  _xlpm.loc, "&lt;&gt;Assigned to Employee", _xlpm.loc, "&lt;&gt;Decommisioned", _xlpm.loc, "&lt;&gt;Missing")
)</f>
        <v>16</v>
      </c>
      <c r="C414" s="1">
        <f>_xlfn.LET(_xlpm.loc, ITEquipmentTable[Storage Location],
COUNTIFS(ITSecondTable[Tag], ITSecondTable[[#This Row],[Tag]], _xlpm.loc, "&lt;&gt;E-Waste", _xlpm.loc, "&lt;&gt;Virtual", _xlpm.loc, "&lt;&gt;Decommisioned")
)</f>
        <v>48</v>
      </c>
      <c r="D414" s="168">
        <f>_xlfn.LET(_xlpm.loc, ITEquipmentTable[Storage Location],
COUNTIFS(ITSecondTable[Tag], ITSecondTable[[#This Row],[Tag]], _xlpm.loc, "Missing")
)</f>
        <v>0</v>
      </c>
      <c r="E414" s="168">
        <f>_xlfn.LET(_xlpm.loc, ITEquipmentTable[Storage Location],
COUNTIFS(ITSecondTable[Tag], ITSecondTable[[#This Row],[Tag]], _xlpm.loc, "In Use") + COUNTIFS(ITSecondTable[Tag], ITSecondTable[[#This Row],[Tag]], _xlpm.loc, "Assigned to Employee")
)</f>
        <v>29</v>
      </c>
      <c r="F414" s="168">
        <f>_xlfn.LET(_xlpm.loc, ITEquipmentTable[Storage Location],
COUNTIFS(ITSecondTable[Tag], ITSecondTable[[#This Row],[Tag]], _xlpm.loc, "")
)</f>
        <v>3</v>
      </c>
      <c r="G414" s="168">
        <f>MAX(ITSecondTable[[#This Row],[SQty]] - ITSecondTable[[#This Row],[IQty]], 0)</f>
        <v>6</v>
      </c>
      <c r="H414" s="168">
        <f>MAX(ITSecondTable[[#This Row],[IQty]]-ITSecondTable[[#This Row],[SQty]], 0)</f>
        <v>0</v>
      </c>
      <c r="I414" s="151" t="str">
        <f>IFERROR(_xlfn.TEXTJOIN("~", TRUE, ITEquipmentTable[[#This Row],[Type]],ITEquipmentTable[[#This Row],[Brand]],ITEquipmentTable[[#This Row],[Model]]), "")</f>
        <v>Desktop~HP~HP ProDesk 600 G5 DM</v>
      </c>
      <c r="J414" s="151" t="b">
        <f xml:space="preserve"> _xlfn.IFNA(MATCH( ITSecondTable[[#This Row],[Tag]], StorageTable[Tag], 0)  &gt; -1, FALSE)</f>
        <v>0</v>
      </c>
      <c r="K414" s="168" t="b">
        <f>COUNTIFS(ITEquipmentTable[Serial], ITEquipmentTable[[#This Row],[Serial]], ITEquipmentTable[Serial], "&lt;&gt;N/A") &gt; 1</f>
        <v>0</v>
      </c>
      <c r="L414" s="168" t="b">
        <f>COUNTIFS(ITEquipmentTable[Name], ITEquipmentTable[[#This Row],[Name]], ITEquipmentTable[Name], "&lt;&gt;&lt;Unassigned&gt;",  ITEquipmentTable[Name], "&lt;&gt;N/A") &gt; 1</f>
        <v>0</v>
      </c>
      <c r="M414" s="168" t="b">
        <f>AND(COUNTIFS(ITEquipmentTable[IPv4 Address], ITEquipmentTable[[#This Row],[IPv4 Address]]) &gt; 1, ITEquipmentTable[[#This Row],[IPv4 Address]] &lt;&gt; "DHCP",  ITEquipmentTable[[#This Row],[IPv4 Address]] &lt;&gt; "N/A")</f>
        <v>0</v>
      </c>
    </row>
    <row r="415" spans="1:13" x14ac:dyDescent="0.2">
      <c r="A415" s="168">
        <f>IF(LEN(ITSecondTable[[#This Row],[Tag]]) &gt; 0, _xlfn.XLOOKUP(ITSecondTable[[#This Row],[Tag]],StorageTable[Tag], StorageTable[In Storage - Count Total], "Err", 0, 1), 0)</f>
        <v>10</v>
      </c>
      <c r="B415" s="1">
        <f>_xlfn.LET(_xlpm.loc, ITEquipmentTable[Storage Location],
COUNTIFS(ITSecondTable[Tag], ITSecondTable[[#This Row],[Tag]], _xlpm.loc, "&lt;&gt;In Use", _xlpm.loc, "&lt;&gt;",  _xlpm.loc, "&lt;&gt;E-Waste", _xlpm.loc, "&lt;&gt;Virtual",  _xlpm.loc, "&lt;&gt;Assigned to Employee", _xlpm.loc, "&lt;&gt;Decommisioned", _xlpm.loc, "&lt;&gt;Missing")
)</f>
        <v>16</v>
      </c>
      <c r="C415" s="1">
        <f>_xlfn.LET(_xlpm.loc, ITEquipmentTable[Storage Location],
COUNTIFS(ITSecondTable[Tag], ITSecondTable[[#This Row],[Tag]], _xlpm.loc, "&lt;&gt;E-Waste", _xlpm.loc, "&lt;&gt;Virtual", _xlpm.loc, "&lt;&gt;Decommisioned")
)</f>
        <v>48</v>
      </c>
      <c r="D415" s="168">
        <f>_xlfn.LET(_xlpm.loc, ITEquipmentTable[Storage Location],
COUNTIFS(ITSecondTable[Tag], ITSecondTable[[#This Row],[Tag]], _xlpm.loc, "Missing")
)</f>
        <v>0</v>
      </c>
      <c r="E415" s="168">
        <f>_xlfn.LET(_xlpm.loc, ITEquipmentTable[Storage Location],
COUNTIFS(ITSecondTable[Tag], ITSecondTable[[#This Row],[Tag]], _xlpm.loc, "In Use") + COUNTIFS(ITSecondTable[Tag], ITSecondTable[[#This Row],[Tag]], _xlpm.loc, "Assigned to Employee")
)</f>
        <v>29</v>
      </c>
      <c r="F415" s="168">
        <f>_xlfn.LET(_xlpm.loc, ITEquipmentTable[Storage Location],
COUNTIFS(ITSecondTable[Tag], ITSecondTable[[#This Row],[Tag]], _xlpm.loc, "")
)</f>
        <v>3</v>
      </c>
      <c r="G415" s="168">
        <f>MAX(ITSecondTable[[#This Row],[SQty]] - ITSecondTable[[#This Row],[IQty]], 0)</f>
        <v>6</v>
      </c>
      <c r="H415" s="168">
        <f>MAX(ITSecondTable[[#This Row],[IQty]]-ITSecondTable[[#This Row],[SQty]], 0)</f>
        <v>0</v>
      </c>
      <c r="I415" s="151" t="str">
        <f>IFERROR(_xlfn.TEXTJOIN("~", TRUE, ITEquipmentTable[[#This Row],[Type]],ITEquipmentTable[[#This Row],[Brand]],ITEquipmentTable[[#This Row],[Model]]), "")</f>
        <v>Desktop~HP~HP ProDesk 600 G5 DM</v>
      </c>
      <c r="J415" s="151" t="b">
        <f xml:space="preserve"> _xlfn.IFNA(MATCH( ITSecondTable[[#This Row],[Tag]], StorageTable[Tag], 0)  &gt; -1, FALSE)</f>
        <v>0</v>
      </c>
      <c r="K415" s="168" t="b">
        <f>COUNTIFS(ITEquipmentTable[Serial], ITEquipmentTable[[#This Row],[Serial]], ITEquipmentTable[Serial], "&lt;&gt;N/A") &gt; 1</f>
        <v>0</v>
      </c>
      <c r="L415" s="168" t="b">
        <f>COUNTIFS(ITEquipmentTable[Name], ITEquipmentTable[[#This Row],[Name]], ITEquipmentTable[Name], "&lt;&gt;&lt;Unassigned&gt;",  ITEquipmentTable[Name], "&lt;&gt;N/A") &gt; 1</f>
        <v>0</v>
      </c>
      <c r="M415" s="168" t="b">
        <f>AND(COUNTIFS(ITEquipmentTable[IPv4 Address], ITEquipmentTable[[#This Row],[IPv4 Address]]) &gt; 1, ITEquipmentTable[[#This Row],[IPv4 Address]] &lt;&gt; "DHCP",  ITEquipmentTable[[#This Row],[IPv4 Address]] &lt;&gt; "N/A")</f>
        <v>1</v>
      </c>
    </row>
    <row r="416" spans="1:13" x14ac:dyDescent="0.2">
      <c r="A416" s="168">
        <f>IF(LEN(ITSecondTable[[#This Row],[Tag]]) &gt; 0, _xlfn.XLOOKUP(ITSecondTable[[#This Row],[Tag]],StorageTable[Tag], StorageTable[In Storage - Count Total], "Err", 0, 1), 0)</f>
        <v>10</v>
      </c>
      <c r="B416" s="1">
        <f>_xlfn.LET(_xlpm.loc, ITEquipmentTable[Storage Location],
COUNTIFS(ITSecondTable[Tag], ITSecondTable[[#This Row],[Tag]], _xlpm.loc, "&lt;&gt;In Use", _xlpm.loc, "&lt;&gt;",  _xlpm.loc, "&lt;&gt;E-Waste", _xlpm.loc, "&lt;&gt;Virtual",  _xlpm.loc, "&lt;&gt;Assigned to Employee", _xlpm.loc, "&lt;&gt;Decommisioned", _xlpm.loc, "&lt;&gt;Missing")
)</f>
        <v>16</v>
      </c>
      <c r="C416" s="1">
        <f>_xlfn.LET(_xlpm.loc, ITEquipmentTable[Storage Location],
COUNTIFS(ITSecondTable[Tag], ITSecondTable[[#This Row],[Tag]], _xlpm.loc, "&lt;&gt;E-Waste", _xlpm.loc, "&lt;&gt;Virtual", _xlpm.loc, "&lt;&gt;Decommisioned")
)</f>
        <v>48</v>
      </c>
      <c r="D416" s="168">
        <f>_xlfn.LET(_xlpm.loc, ITEquipmentTable[Storage Location],
COUNTIFS(ITSecondTable[Tag], ITSecondTable[[#This Row],[Tag]], _xlpm.loc, "Missing")
)</f>
        <v>0</v>
      </c>
      <c r="E416" s="168">
        <f>_xlfn.LET(_xlpm.loc, ITEquipmentTable[Storage Location],
COUNTIFS(ITSecondTable[Tag], ITSecondTable[[#This Row],[Tag]], _xlpm.loc, "In Use") + COUNTIFS(ITSecondTable[Tag], ITSecondTable[[#This Row],[Tag]], _xlpm.loc, "Assigned to Employee")
)</f>
        <v>29</v>
      </c>
      <c r="F416" s="168">
        <f>_xlfn.LET(_xlpm.loc, ITEquipmentTable[Storage Location],
COUNTIFS(ITSecondTable[Tag], ITSecondTable[[#This Row],[Tag]], _xlpm.loc, "")
)</f>
        <v>3</v>
      </c>
      <c r="G416" s="168">
        <f>MAX(ITSecondTable[[#This Row],[SQty]] - ITSecondTable[[#This Row],[IQty]], 0)</f>
        <v>6</v>
      </c>
      <c r="H416" s="168">
        <f>MAX(ITSecondTable[[#This Row],[IQty]]-ITSecondTable[[#This Row],[SQty]], 0)</f>
        <v>0</v>
      </c>
      <c r="I416" s="151" t="str">
        <f>IFERROR(_xlfn.TEXTJOIN("~", TRUE, ITEquipmentTable[[#This Row],[Type]],ITEquipmentTable[[#This Row],[Brand]],ITEquipmentTable[[#This Row],[Model]]), "")</f>
        <v>Desktop~HP~HP ProDesk 600 G5 DM</v>
      </c>
      <c r="J416" s="151" t="b">
        <f xml:space="preserve"> _xlfn.IFNA(MATCH( ITSecondTable[[#This Row],[Tag]], StorageTable[Tag], 0)  &gt; -1, FALSE)</f>
        <v>0</v>
      </c>
      <c r="K416" s="168" t="b">
        <f>COUNTIFS(ITEquipmentTable[Serial], ITEquipmentTable[[#This Row],[Serial]], ITEquipmentTable[Serial], "&lt;&gt;N/A") &gt; 1</f>
        <v>0</v>
      </c>
      <c r="L416" s="168" t="b">
        <f>COUNTIFS(ITEquipmentTable[Name], ITEquipmentTable[[#This Row],[Name]], ITEquipmentTable[Name], "&lt;&gt;&lt;Unassigned&gt;",  ITEquipmentTable[Name], "&lt;&gt;N/A") &gt; 1</f>
        <v>0</v>
      </c>
      <c r="M416" s="168" t="b">
        <f>AND(COUNTIFS(ITEquipmentTable[IPv4 Address], ITEquipmentTable[[#This Row],[IPv4 Address]]) &gt; 1, ITEquipmentTable[[#This Row],[IPv4 Address]] &lt;&gt; "DHCP",  ITEquipmentTable[[#This Row],[IPv4 Address]] &lt;&gt; "N/A")</f>
        <v>0</v>
      </c>
    </row>
    <row r="417" spans="1:13" x14ac:dyDescent="0.2">
      <c r="A417" s="168">
        <f>IF(LEN(ITSecondTable[[#This Row],[Tag]]) &gt; 0, _xlfn.XLOOKUP(ITSecondTable[[#This Row],[Tag]],StorageTable[Tag], StorageTable[In Storage - Count Total], "Err", 0, 1), 0)</f>
        <v>10</v>
      </c>
      <c r="B417" s="1">
        <f>_xlfn.LET(_xlpm.loc, ITEquipmentTable[Storage Location],
COUNTIFS(ITSecondTable[Tag], ITSecondTable[[#This Row],[Tag]], _xlpm.loc, "&lt;&gt;In Use", _xlpm.loc, "&lt;&gt;",  _xlpm.loc, "&lt;&gt;E-Waste", _xlpm.loc, "&lt;&gt;Virtual",  _xlpm.loc, "&lt;&gt;Assigned to Employee", _xlpm.loc, "&lt;&gt;Decommisioned", _xlpm.loc, "&lt;&gt;Missing")
)</f>
        <v>16</v>
      </c>
      <c r="C417" s="1">
        <f>_xlfn.LET(_xlpm.loc, ITEquipmentTable[Storage Location],
COUNTIFS(ITSecondTable[Tag], ITSecondTable[[#This Row],[Tag]], _xlpm.loc, "&lt;&gt;E-Waste", _xlpm.loc, "&lt;&gt;Virtual", _xlpm.loc, "&lt;&gt;Decommisioned")
)</f>
        <v>48</v>
      </c>
      <c r="D417" s="168">
        <f>_xlfn.LET(_xlpm.loc, ITEquipmentTable[Storage Location],
COUNTIFS(ITSecondTable[Tag], ITSecondTable[[#This Row],[Tag]], _xlpm.loc, "Missing")
)</f>
        <v>0</v>
      </c>
      <c r="E417" s="168">
        <f>_xlfn.LET(_xlpm.loc, ITEquipmentTable[Storage Location],
COUNTIFS(ITSecondTable[Tag], ITSecondTable[[#This Row],[Tag]], _xlpm.loc, "In Use") + COUNTIFS(ITSecondTable[Tag], ITSecondTable[[#This Row],[Tag]], _xlpm.loc, "Assigned to Employee")
)</f>
        <v>29</v>
      </c>
      <c r="F417" s="168">
        <f>_xlfn.LET(_xlpm.loc, ITEquipmentTable[Storage Location],
COUNTIFS(ITSecondTable[Tag], ITSecondTable[[#This Row],[Tag]], _xlpm.loc, "")
)</f>
        <v>3</v>
      </c>
      <c r="G417" s="168">
        <f>MAX(ITSecondTable[[#This Row],[SQty]] - ITSecondTable[[#This Row],[IQty]], 0)</f>
        <v>6</v>
      </c>
      <c r="H417" s="168">
        <f>MAX(ITSecondTable[[#This Row],[IQty]]-ITSecondTable[[#This Row],[SQty]], 0)</f>
        <v>0</v>
      </c>
      <c r="I417" s="151" t="str">
        <f>IFERROR(_xlfn.TEXTJOIN("~", TRUE, ITEquipmentTable[[#This Row],[Type]],ITEquipmentTable[[#This Row],[Brand]],ITEquipmentTable[[#This Row],[Model]]), "")</f>
        <v>Desktop~HP~HP ProDesk 600 G5 DM</v>
      </c>
      <c r="J417" s="151" t="b">
        <f xml:space="preserve"> _xlfn.IFNA(MATCH( ITSecondTable[[#This Row],[Tag]], StorageTable[Tag], 0)  &gt; -1, FALSE)</f>
        <v>0</v>
      </c>
      <c r="K417" s="168" t="b">
        <f>COUNTIFS(ITEquipmentTable[Serial], ITEquipmentTable[[#This Row],[Serial]], ITEquipmentTable[Serial], "&lt;&gt;N/A") &gt; 1</f>
        <v>0</v>
      </c>
      <c r="L417" s="168" t="b">
        <f>COUNTIFS(ITEquipmentTable[Name], ITEquipmentTable[[#This Row],[Name]], ITEquipmentTable[Name], "&lt;&gt;&lt;Unassigned&gt;",  ITEquipmentTable[Name], "&lt;&gt;N/A") &gt; 1</f>
        <v>0</v>
      </c>
      <c r="M417" s="168" t="b">
        <f>AND(COUNTIFS(ITEquipmentTable[IPv4 Address], ITEquipmentTable[[#This Row],[IPv4 Address]]) &gt; 1, ITEquipmentTable[[#This Row],[IPv4 Address]] &lt;&gt; "DHCP",  ITEquipmentTable[[#This Row],[IPv4 Address]] &lt;&gt; "N/A")</f>
        <v>1</v>
      </c>
    </row>
    <row r="418" spans="1:13" x14ac:dyDescent="0.2">
      <c r="A418" s="168">
        <f>IF(LEN(ITSecondTable[[#This Row],[Tag]]) &gt; 0, _xlfn.XLOOKUP(ITSecondTable[[#This Row],[Tag]],StorageTable[Tag], StorageTable[In Storage - Count Total], "Err", 0, 1), 0)</f>
        <v>10</v>
      </c>
      <c r="B418" s="1">
        <f>_xlfn.LET(_xlpm.loc, ITEquipmentTable[Storage Location],
COUNTIFS(ITSecondTable[Tag], ITSecondTable[[#This Row],[Tag]], _xlpm.loc, "&lt;&gt;In Use", _xlpm.loc, "&lt;&gt;",  _xlpm.loc, "&lt;&gt;E-Waste", _xlpm.loc, "&lt;&gt;Virtual",  _xlpm.loc, "&lt;&gt;Assigned to Employee", _xlpm.loc, "&lt;&gt;Decommisioned", _xlpm.loc, "&lt;&gt;Missing")
)</f>
        <v>16</v>
      </c>
      <c r="C418" s="1">
        <f>_xlfn.LET(_xlpm.loc, ITEquipmentTable[Storage Location],
COUNTIFS(ITSecondTable[Tag], ITSecondTable[[#This Row],[Tag]], _xlpm.loc, "&lt;&gt;E-Waste", _xlpm.loc, "&lt;&gt;Virtual", _xlpm.loc, "&lt;&gt;Decommisioned")
)</f>
        <v>48</v>
      </c>
      <c r="D418" s="168">
        <f>_xlfn.LET(_xlpm.loc, ITEquipmentTable[Storage Location],
COUNTIFS(ITSecondTable[Tag], ITSecondTable[[#This Row],[Tag]], _xlpm.loc, "Missing")
)</f>
        <v>0</v>
      </c>
      <c r="E418" s="168">
        <f>_xlfn.LET(_xlpm.loc, ITEquipmentTable[Storage Location],
COUNTIFS(ITSecondTable[Tag], ITSecondTable[[#This Row],[Tag]], _xlpm.loc, "In Use") + COUNTIFS(ITSecondTable[Tag], ITSecondTable[[#This Row],[Tag]], _xlpm.loc, "Assigned to Employee")
)</f>
        <v>29</v>
      </c>
      <c r="F418" s="168">
        <f>_xlfn.LET(_xlpm.loc, ITEquipmentTable[Storage Location],
COUNTIFS(ITSecondTable[Tag], ITSecondTable[[#This Row],[Tag]], _xlpm.loc, "")
)</f>
        <v>3</v>
      </c>
      <c r="G418" s="168">
        <f>MAX(ITSecondTable[[#This Row],[SQty]] - ITSecondTable[[#This Row],[IQty]], 0)</f>
        <v>6</v>
      </c>
      <c r="H418" s="168">
        <f>MAX(ITSecondTable[[#This Row],[IQty]]-ITSecondTable[[#This Row],[SQty]], 0)</f>
        <v>0</v>
      </c>
      <c r="I418" s="151" t="str">
        <f>IFERROR(_xlfn.TEXTJOIN("~", TRUE, ITEquipmentTable[[#This Row],[Type]],ITEquipmentTable[[#This Row],[Brand]],ITEquipmentTable[[#This Row],[Model]]), "")</f>
        <v>Desktop~HP~HP ProDesk 600 G5 DM</v>
      </c>
      <c r="J418" s="151" t="b">
        <f xml:space="preserve"> _xlfn.IFNA(MATCH( ITSecondTable[[#This Row],[Tag]], StorageTable[Tag], 0)  &gt; -1, FALSE)</f>
        <v>0</v>
      </c>
      <c r="K418" s="168" t="b">
        <f>COUNTIFS(ITEquipmentTable[Serial], ITEquipmentTable[[#This Row],[Serial]], ITEquipmentTable[Serial], "&lt;&gt;N/A") &gt; 1</f>
        <v>0</v>
      </c>
      <c r="L418" s="168" t="b">
        <f>COUNTIFS(ITEquipmentTable[Name], ITEquipmentTable[[#This Row],[Name]], ITEquipmentTable[Name], "&lt;&gt;&lt;Unassigned&gt;",  ITEquipmentTable[Name], "&lt;&gt;N/A") &gt; 1</f>
        <v>0</v>
      </c>
      <c r="M418" s="168" t="b">
        <f>AND(COUNTIFS(ITEquipmentTable[IPv4 Address], ITEquipmentTable[[#This Row],[IPv4 Address]]) &gt; 1, ITEquipmentTable[[#This Row],[IPv4 Address]] &lt;&gt; "DHCP",  ITEquipmentTable[[#This Row],[IPv4 Address]] &lt;&gt; "N/A")</f>
        <v>0</v>
      </c>
    </row>
    <row r="419" spans="1:13" x14ac:dyDescent="0.2">
      <c r="A419" s="168">
        <f>IF(LEN(ITSecondTable[[#This Row],[Tag]]) &gt; 0, _xlfn.XLOOKUP(ITSecondTable[[#This Row],[Tag]],StorageTable[Tag], StorageTable[In Storage - Count Total], "Err", 0, 1), 0)</f>
        <v>10</v>
      </c>
      <c r="B419" s="1">
        <f>_xlfn.LET(_xlpm.loc, ITEquipmentTable[Storage Location],
COUNTIFS(ITSecondTable[Tag], ITSecondTable[[#This Row],[Tag]], _xlpm.loc, "&lt;&gt;In Use", _xlpm.loc, "&lt;&gt;",  _xlpm.loc, "&lt;&gt;E-Waste", _xlpm.loc, "&lt;&gt;Virtual",  _xlpm.loc, "&lt;&gt;Assigned to Employee", _xlpm.loc, "&lt;&gt;Decommisioned", _xlpm.loc, "&lt;&gt;Missing")
)</f>
        <v>16</v>
      </c>
      <c r="C419" s="1">
        <f>_xlfn.LET(_xlpm.loc, ITEquipmentTable[Storage Location],
COUNTIFS(ITSecondTable[Tag], ITSecondTable[[#This Row],[Tag]], _xlpm.loc, "&lt;&gt;E-Waste", _xlpm.loc, "&lt;&gt;Virtual", _xlpm.loc, "&lt;&gt;Decommisioned")
)</f>
        <v>48</v>
      </c>
      <c r="D419" s="168">
        <f>_xlfn.LET(_xlpm.loc, ITEquipmentTable[Storage Location],
COUNTIFS(ITSecondTable[Tag], ITSecondTable[[#This Row],[Tag]], _xlpm.loc, "Missing")
)</f>
        <v>0</v>
      </c>
      <c r="E419" s="168">
        <f>_xlfn.LET(_xlpm.loc, ITEquipmentTable[Storage Location],
COUNTIFS(ITSecondTable[Tag], ITSecondTable[[#This Row],[Tag]], _xlpm.loc, "In Use") + COUNTIFS(ITSecondTable[Tag], ITSecondTable[[#This Row],[Tag]], _xlpm.loc, "Assigned to Employee")
)</f>
        <v>29</v>
      </c>
      <c r="F419" s="168">
        <f>_xlfn.LET(_xlpm.loc, ITEquipmentTable[Storage Location],
COUNTIFS(ITSecondTable[Tag], ITSecondTable[[#This Row],[Tag]], _xlpm.loc, "")
)</f>
        <v>3</v>
      </c>
      <c r="G419" s="168">
        <f>MAX(ITSecondTable[[#This Row],[SQty]] - ITSecondTable[[#This Row],[IQty]], 0)</f>
        <v>6</v>
      </c>
      <c r="H419" s="168">
        <f>MAX(ITSecondTable[[#This Row],[IQty]]-ITSecondTable[[#This Row],[SQty]], 0)</f>
        <v>0</v>
      </c>
      <c r="I419" s="151" t="str">
        <f>IFERROR(_xlfn.TEXTJOIN("~", TRUE, ITEquipmentTable[[#This Row],[Type]],ITEquipmentTable[[#This Row],[Brand]],ITEquipmentTable[[#This Row],[Model]]), "")</f>
        <v>Desktop~HP~HP ProDesk 600 G5 DM</v>
      </c>
      <c r="J419" s="151" t="b">
        <f xml:space="preserve"> _xlfn.IFNA(MATCH( ITSecondTable[[#This Row],[Tag]], StorageTable[Tag], 0)  &gt; -1, FALSE)</f>
        <v>0</v>
      </c>
      <c r="K419" s="168" t="b">
        <f>COUNTIFS(ITEquipmentTable[Serial], ITEquipmentTable[[#This Row],[Serial]], ITEquipmentTable[Serial], "&lt;&gt;N/A") &gt; 1</f>
        <v>0</v>
      </c>
      <c r="L419" s="168" t="b">
        <f>COUNTIFS(ITEquipmentTable[Name], ITEquipmentTable[[#This Row],[Name]], ITEquipmentTable[Name], "&lt;&gt;&lt;Unassigned&gt;",  ITEquipmentTable[Name], "&lt;&gt;N/A") &gt; 1</f>
        <v>0</v>
      </c>
      <c r="M419" s="168" t="b">
        <f>AND(COUNTIFS(ITEquipmentTable[IPv4 Address], ITEquipmentTable[[#This Row],[IPv4 Address]]) &gt; 1, ITEquipmentTable[[#This Row],[IPv4 Address]] &lt;&gt; "DHCP",  ITEquipmentTable[[#This Row],[IPv4 Address]] &lt;&gt; "N/A")</f>
        <v>0</v>
      </c>
    </row>
    <row r="420" spans="1:13" x14ac:dyDescent="0.2">
      <c r="A420" s="168">
        <f>IF(LEN(ITSecondTable[[#This Row],[Tag]]) &gt; 0, _xlfn.XLOOKUP(ITSecondTable[[#This Row],[Tag]],StorageTable[Tag], StorageTable[In Storage - Count Total], "Err", 0, 1), 0)</f>
        <v>10</v>
      </c>
      <c r="B420" s="1">
        <f>_xlfn.LET(_xlpm.loc, ITEquipmentTable[Storage Location],
COUNTIFS(ITSecondTable[Tag], ITSecondTable[[#This Row],[Tag]], _xlpm.loc, "&lt;&gt;In Use", _xlpm.loc, "&lt;&gt;",  _xlpm.loc, "&lt;&gt;E-Waste", _xlpm.loc, "&lt;&gt;Virtual",  _xlpm.loc, "&lt;&gt;Assigned to Employee", _xlpm.loc, "&lt;&gt;Decommisioned", _xlpm.loc, "&lt;&gt;Missing")
)</f>
        <v>16</v>
      </c>
      <c r="C420" s="1">
        <f>_xlfn.LET(_xlpm.loc, ITEquipmentTable[Storage Location],
COUNTIFS(ITSecondTable[Tag], ITSecondTable[[#This Row],[Tag]], _xlpm.loc, "&lt;&gt;E-Waste", _xlpm.loc, "&lt;&gt;Virtual", _xlpm.loc, "&lt;&gt;Decommisioned")
)</f>
        <v>48</v>
      </c>
      <c r="D420" s="168">
        <f>_xlfn.LET(_xlpm.loc, ITEquipmentTable[Storage Location],
COUNTIFS(ITSecondTable[Tag], ITSecondTable[[#This Row],[Tag]], _xlpm.loc, "Missing")
)</f>
        <v>0</v>
      </c>
      <c r="E420" s="168">
        <f>_xlfn.LET(_xlpm.loc, ITEquipmentTable[Storage Location],
COUNTIFS(ITSecondTable[Tag], ITSecondTable[[#This Row],[Tag]], _xlpm.loc, "In Use") + COUNTIFS(ITSecondTable[Tag], ITSecondTable[[#This Row],[Tag]], _xlpm.loc, "Assigned to Employee")
)</f>
        <v>29</v>
      </c>
      <c r="F420" s="168">
        <f>_xlfn.LET(_xlpm.loc, ITEquipmentTable[Storage Location],
COUNTIFS(ITSecondTable[Tag], ITSecondTable[[#This Row],[Tag]], _xlpm.loc, "")
)</f>
        <v>3</v>
      </c>
      <c r="G420" s="168">
        <f>MAX(ITSecondTable[[#This Row],[SQty]] - ITSecondTable[[#This Row],[IQty]], 0)</f>
        <v>6</v>
      </c>
      <c r="H420" s="168">
        <f>MAX(ITSecondTable[[#This Row],[IQty]]-ITSecondTable[[#This Row],[SQty]], 0)</f>
        <v>0</v>
      </c>
      <c r="I420" s="151" t="str">
        <f>IFERROR(_xlfn.TEXTJOIN("~", TRUE, ITEquipmentTable[[#This Row],[Type]],ITEquipmentTable[[#This Row],[Brand]],ITEquipmentTable[[#This Row],[Model]]), "")</f>
        <v>Desktop~HP~HP ProDesk 600 G5 DM</v>
      </c>
      <c r="J420" s="151" t="b">
        <f xml:space="preserve"> _xlfn.IFNA(MATCH( ITSecondTable[[#This Row],[Tag]], StorageTable[Tag], 0)  &gt; -1, FALSE)</f>
        <v>0</v>
      </c>
      <c r="K420" s="168" t="b">
        <f>COUNTIFS(ITEquipmentTable[Serial], ITEquipmentTable[[#This Row],[Serial]], ITEquipmentTable[Serial], "&lt;&gt;N/A") &gt; 1</f>
        <v>0</v>
      </c>
      <c r="L420" s="168" t="b">
        <f>COUNTIFS(ITEquipmentTable[Name], ITEquipmentTable[[#This Row],[Name]], ITEquipmentTable[Name], "&lt;&gt;&lt;Unassigned&gt;",  ITEquipmentTable[Name], "&lt;&gt;N/A") &gt; 1</f>
        <v>0</v>
      </c>
      <c r="M420" s="168" t="b">
        <f>AND(COUNTIFS(ITEquipmentTable[IPv4 Address], ITEquipmentTable[[#This Row],[IPv4 Address]]) &gt; 1, ITEquipmentTable[[#This Row],[IPv4 Address]] &lt;&gt; "DHCP",  ITEquipmentTable[[#This Row],[IPv4 Address]] &lt;&gt; "N/A")</f>
        <v>0</v>
      </c>
    </row>
    <row r="421" spans="1:13" x14ac:dyDescent="0.2">
      <c r="A421" s="168">
        <f>IF(LEN(ITSecondTable[[#This Row],[Tag]]) &gt; 0, _xlfn.XLOOKUP(ITSecondTable[[#This Row],[Tag]],StorageTable[Tag], StorageTable[In Storage - Count Total], "Err", 0, 1), 0)</f>
        <v>10</v>
      </c>
      <c r="B421" s="1">
        <f>_xlfn.LET(_xlpm.loc, ITEquipmentTable[Storage Location],
COUNTIFS(ITSecondTable[Tag], ITSecondTable[[#This Row],[Tag]], _xlpm.loc, "&lt;&gt;In Use", _xlpm.loc, "&lt;&gt;",  _xlpm.loc, "&lt;&gt;E-Waste", _xlpm.loc, "&lt;&gt;Virtual",  _xlpm.loc, "&lt;&gt;Assigned to Employee", _xlpm.loc, "&lt;&gt;Decommisioned", _xlpm.loc, "&lt;&gt;Missing")
)</f>
        <v>16</v>
      </c>
      <c r="C421" s="1">
        <f>_xlfn.LET(_xlpm.loc, ITEquipmentTable[Storage Location],
COUNTIFS(ITSecondTable[Tag], ITSecondTable[[#This Row],[Tag]], _xlpm.loc, "&lt;&gt;E-Waste", _xlpm.loc, "&lt;&gt;Virtual", _xlpm.loc, "&lt;&gt;Decommisioned")
)</f>
        <v>48</v>
      </c>
      <c r="D421" s="168">
        <f>_xlfn.LET(_xlpm.loc, ITEquipmentTable[Storage Location],
COUNTIFS(ITSecondTable[Tag], ITSecondTable[[#This Row],[Tag]], _xlpm.loc, "Missing")
)</f>
        <v>0</v>
      </c>
      <c r="E421" s="168">
        <f>_xlfn.LET(_xlpm.loc, ITEquipmentTable[Storage Location],
COUNTIFS(ITSecondTable[Tag], ITSecondTable[[#This Row],[Tag]], _xlpm.loc, "In Use") + COUNTIFS(ITSecondTable[Tag], ITSecondTable[[#This Row],[Tag]], _xlpm.loc, "Assigned to Employee")
)</f>
        <v>29</v>
      </c>
      <c r="F421" s="168">
        <f>_xlfn.LET(_xlpm.loc, ITEquipmentTable[Storage Location],
COUNTIFS(ITSecondTable[Tag], ITSecondTable[[#This Row],[Tag]], _xlpm.loc, "")
)</f>
        <v>3</v>
      </c>
      <c r="G421" s="168">
        <f>MAX(ITSecondTable[[#This Row],[SQty]] - ITSecondTable[[#This Row],[IQty]], 0)</f>
        <v>6</v>
      </c>
      <c r="H421" s="168">
        <f>MAX(ITSecondTable[[#This Row],[IQty]]-ITSecondTable[[#This Row],[SQty]], 0)</f>
        <v>0</v>
      </c>
      <c r="I421" s="151" t="str">
        <f>IFERROR(_xlfn.TEXTJOIN("~", TRUE, ITEquipmentTable[[#This Row],[Type]],ITEquipmentTable[[#This Row],[Brand]],ITEquipmentTable[[#This Row],[Model]]), "")</f>
        <v>Desktop~HP~HP ProDesk 600 G5 DM</v>
      </c>
      <c r="J421" s="151" t="b">
        <f xml:space="preserve"> _xlfn.IFNA(MATCH( ITSecondTable[[#This Row],[Tag]], StorageTable[Tag], 0)  &gt; -1, FALSE)</f>
        <v>0</v>
      </c>
      <c r="K421" s="168" t="b">
        <f>COUNTIFS(ITEquipmentTable[Serial], ITEquipmentTable[[#This Row],[Serial]], ITEquipmentTable[Serial], "&lt;&gt;N/A") &gt; 1</f>
        <v>0</v>
      </c>
      <c r="L421" s="168" t="b">
        <f>COUNTIFS(ITEquipmentTable[Name], ITEquipmentTable[[#This Row],[Name]], ITEquipmentTable[Name], "&lt;&gt;&lt;Unassigned&gt;",  ITEquipmentTable[Name], "&lt;&gt;N/A") &gt; 1</f>
        <v>0</v>
      </c>
      <c r="M421" s="168" t="b">
        <f>AND(COUNTIFS(ITEquipmentTable[IPv4 Address], ITEquipmentTable[[#This Row],[IPv4 Address]]) &gt; 1, ITEquipmentTable[[#This Row],[IPv4 Address]] &lt;&gt; "DHCP",  ITEquipmentTable[[#This Row],[IPv4 Address]] &lt;&gt; "N/A")</f>
        <v>0</v>
      </c>
    </row>
    <row r="422" spans="1:13" x14ac:dyDescent="0.2">
      <c r="A422" s="168">
        <f>IF(LEN(ITSecondTable[[#This Row],[Tag]]) &gt; 0, _xlfn.XLOOKUP(ITSecondTable[[#This Row],[Tag]],StorageTable[Tag], StorageTable[In Storage - Count Total], "Err", 0, 1), 0)</f>
        <v>10</v>
      </c>
      <c r="B422" s="1">
        <f>_xlfn.LET(_xlpm.loc, ITEquipmentTable[Storage Location],
COUNTIFS(ITSecondTable[Tag], ITSecondTable[[#This Row],[Tag]], _xlpm.loc, "&lt;&gt;In Use", _xlpm.loc, "&lt;&gt;",  _xlpm.loc, "&lt;&gt;E-Waste", _xlpm.loc, "&lt;&gt;Virtual",  _xlpm.loc, "&lt;&gt;Assigned to Employee", _xlpm.loc, "&lt;&gt;Decommisioned", _xlpm.loc, "&lt;&gt;Missing")
)</f>
        <v>16</v>
      </c>
      <c r="C422" s="1">
        <f>_xlfn.LET(_xlpm.loc, ITEquipmentTable[Storage Location],
COUNTIFS(ITSecondTable[Tag], ITSecondTable[[#This Row],[Tag]], _xlpm.loc, "&lt;&gt;E-Waste", _xlpm.loc, "&lt;&gt;Virtual", _xlpm.loc, "&lt;&gt;Decommisioned")
)</f>
        <v>48</v>
      </c>
      <c r="D422" s="168">
        <f>_xlfn.LET(_xlpm.loc, ITEquipmentTable[Storage Location],
COUNTIFS(ITSecondTable[Tag], ITSecondTable[[#This Row],[Tag]], _xlpm.loc, "Missing")
)</f>
        <v>0</v>
      </c>
      <c r="E422" s="168">
        <f>_xlfn.LET(_xlpm.loc, ITEquipmentTable[Storage Location],
COUNTIFS(ITSecondTable[Tag], ITSecondTable[[#This Row],[Tag]], _xlpm.loc, "In Use") + COUNTIFS(ITSecondTable[Tag], ITSecondTable[[#This Row],[Tag]], _xlpm.loc, "Assigned to Employee")
)</f>
        <v>29</v>
      </c>
      <c r="F422" s="168">
        <f>_xlfn.LET(_xlpm.loc, ITEquipmentTable[Storage Location],
COUNTIFS(ITSecondTable[Tag], ITSecondTable[[#This Row],[Tag]], _xlpm.loc, "")
)</f>
        <v>3</v>
      </c>
      <c r="G422" s="168">
        <f>MAX(ITSecondTable[[#This Row],[SQty]] - ITSecondTable[[#This Row],[IQty]], 0)</f>
        <v>6</v>
      </c>
      <c r="H422" s="168">
        <f>MAX(ITSecondTable[[#This Row],[IQty]]-ITSecondTable[[#This Row],[SQty]], 0)</f>
        <v>0</v>
      </c>
      <c r="I422" s="151" t="str">
        <f>IFERROR(_xlfn.TEXTJOIN("~", TRUE, ITEquipmentTable[[#This Row],[Type]],ITEquipmentTable[[#This Row],[Brand]],ITEquipmentTable[[#This Row],[Model]]), "")</f>
        <v>Desktop~HP~HP ProDesk 600 G5 DM</v>
      </c>
      <c r="J422" s="151" t="b">
        <f xml:space="preserve"> _xlfn.IFNA(MATCH( ITSecondTable[[#This Row],[Tag]], StorageTable[Tag], 0)  &gt; -1, FALSE)</f>
        <v>0</v>
      </c>
      <c r="K422" s="168" t="b">
        <f>COUNTIFS(ITEquipmentTable[Serial], ITEquipmentTable[[#This Row],[Serial]], ITEquipmentTable[Serial], "&lt;&gt;N/A") &gt; 1</f>
        <v>0</v>
      </c>
      <c r="L422" s="168" t="b">
        <f>COUNTIFS(ITEquipmentTable[Name], ITEquipmentTable[[#This Row],[Name]], ITEquipmentTable[Name], "&lt;&gt;&lt;Unassigned&gt;",  ITEquipmentTable[Name], "&lt;&gt;N/A") &gt; 1</f>
        <v>0</v>
      </c>
      <c r="M422" s="168" t="b">
        <f>AND(COUNTIFS(ITEquipmentTable[IPv4 Address], ITEquipmentTable[[#This Row],[IPv4 Address]]) &gt; 1, ITEquipmentTable[[#This Row],[IPv4 Address]] &lt;&gt; "DHCP",  ITEquipmentTable[[#This Row],[IPv4 Address]] &lt;&gt; "N/A")</f>
        <v>0</v>
      </c>
    </row>
    <row r="423" spans="1:13" x14ac:dyDescent="0.2">
      <c r="A423" s="168">
        <f>IF(LEN(ITSecondTable[[#This Row],[Tag]]) &gt; 0, _xlfn.XLOOKUP(ITSecondTable[[#This Row],[Tag]],StorageTable[Tag], StorageTable[In Storage - Count Total], "Err", 0, 1), 0)</f>
        <v>10</v>
      </c>
      <c r="B423" s="1">
        <f>_xlfn.LET(_xlpm.loc, ITEquipmentTable[Storage Location],
COUNTIFS(ITSecondTable[Tag], ITSecondTable[[#This Row],[Tag]], _xlpm.loc, "&lt;&gt;In Use", _xlpm.loc, "&lt;&gt;",  _xlpm.loc, "&lt;&gt;E-Waste", _xlpm.loc, "&lt;&gt;Virtual",  _xlpm.loc, "&lt;&gt;Assigned to Employee", _xlpm.loc, "&lt;&gt;Decommisioned", _xlpm.loc, "&lt;&gt;Missing")
)</f>
        <v>16</v>
      </c>
      <c r="C423" s="1">
        <f>_xlfn.LET(_xlpm.loc, ITEquipmentTable[Storage Location],
COUNTIFS(ITSecondTable[Tag], ITSecondTable[[#This Row],[Tag]], _xlpm.loc, "&lt;&gt;E-Waste", _xlpm.loc, "&lt;&gt;Virtual", _xlpm.loc, "&lt;&gt;Decommisioned")
)</f>
        <v>48</v>
      </c>
      <c r="D423" s="168">
        <f>_xlfn.LET(_xlpm.loc, ITEquipmentTable[Storage Location],
COUNTIFS(ITSecondTable[Tag], ITSecondTable[[#This Row],[Tag]], _xlpm.loc, "Missing")
)</f>
        <v>0</v>
      </c>
      <c r="E423" s="168">
        <f>_xlfn.LET(_xlpm.loc, ITEquipmentTable[Storage Location],
COUNTIFS(ITSecondTable[Tag], ITSecondTable[[#This Row],[Tag]], _xlpm.loc, "In Use") + COUNTIFS(ITSecondTable[Tag], ITSecondTable[[#This Row],[Tag]], _xlpm.loc, "Assigned to Employee")
)</f>
        <v>29</v>
      </c>
      <c r="F423" s="168">
        <f>_xlfn.LET(_xlpm.loc, ITEquipmentTable[Storage Location],
COUNTIFS(ITSecondTable[Tag], ITSecondTable[[#This Row],[Tag]], _xlpm.loc, "")
)</f>
        <v>3</v>
      </c>
      <c r="G423" s="168">
        <f>MAX(ITSecondTable[[#This Row],[SQty]] - ITSecondTable[[#This Row],[IQty]], 0)</f>
        <v>6</v>
      </c>
      <c r="H423" s="168">
        <f>MAX(ITSecondTable[[#This Row],[IQty]]-ITSecondTable[[#This Row],[SQty]], 0)</f>
        <v>0</v>
      </c>
      <c r="I423" s="151" t="str">
        <f>IFERROR(_xlfn.TEXTJOIN("~", TRUE, ITEquipmentTable[[#This Row],[Type]],ITEquipmentTable[[#This Row],[Brand]],ITEquipmentTable[[#This Row],[Model]]), "")</f>
        <v>Desktop~HP~HP ProDesk 600 G5 DM</v>
      </c>
      <c r="J423" s="151" t="b">
        <f xml:space="preserve"> _xlfn.IFNA(MATCH( ITSecondTable[[#This Row],[Tag]], StorageTable[Tag], 0)  &gt; -1, FALSE)</f>
        <v>0</v>
      </c>
      <c r="K423" s="168" t="b">
        <f>COUNTIFS(ITEquipmentTable[Serial], ITEquipmentTable[[#This Row],[Serial]], ITEquipmentTable[Serial], "&lt;&gt;N/A") &gt; 1</f>
        <v>0</v>
      </c>
      <c r="L423" s="168" t="b">
        <f>COUNTIFS(ITEquipmentTable[Name], ITEquipmentTable[[#This Row],[Name]], ITEquipmentTable[Name], "&lt;&gt;&lt;Unassigned&gt;",  ITEquipmentTable[Name], "&lt;&gt;N/A") &gt; 1</f>
        <v>0</v>
      </c>
      <c r="M423" s="168" t="b">
        <f>AND(COUNTIFS(ITEquipmentTable[IPv4 Address], ITEquipmentTable[[#This Row],[IPv4 Address]]) &gt; 1, ITEquipmentTable[[#This Row],[IPv4 Address]] &lt;&gt; "DHCP",  ITEquipmentTable[[#This Row],[IPv4 Address]] &lt;&gt; "N/A")</f>
        <v>0</v>
      </c>
    </row>
    <row r="424" spans="1:13" x14ac:dyDescent="0.2">
      <c r="A424" s="168">
        <f>IF(LEN(ITSecondTable[[#This Row],[Tag]]) &gt; 0, _xlfn.XLOOKUP(ITSecondTable[[#This Row],[Tag]],StorageTable[Tag], StorageTable[In Storage - Count Total], "Err", 0, 1), 0)</f>
        <v>10</v>
      </c>
      <c r="B424" s="1">
        <f>_xlfn.LET(_xlpm.loc, ITEquipmentTable[Storage Location],
COUNTIFS(ITSecondTable[Tag], ITSecondTable[[#This Row],[Tag]], _xlpm.loc, "&lt;&gt;In Use", _xlpm.loc, "&lt;&gt;",  _xlpm.loc, "&lt;&gt;E-Waste", _xlpm.loc, "&lt;&gt;Virtual",  _xlpm.loc, "&lt;&gt;Assigned to Employee", _xlpm.loc, "&lt;&gt;Decommisioned", _xlpm.loc, "&lt;&gt;Missing")
)</f>
        <v>16</v>
      </c>
      <c r="C424" s="1">
        <f>_xlfn.LET(_xlpm.loc, ITEquipmentTable[Storage Location],
COUNTIFS(ITSecondTable[Tag], ITSecondTable[[#This Row],[Tag]], _xlpm.loc, "&lt;&gt;E-Waste", _xlpm.loc, "&lt;&gt;Virtual", _xlpm.loc, "&lt;&gt;Decommisioned")
)</f>
        <v>48</v>
      </c>
      <c r="D424" s="168">
        <f>_xlfn.LET(_xlpm.loc, ITEquipmentTable[Storage Location],
COUNTIFS(ITSecondTable[Tag], ITSecondTable[[#This Row],[Tag]], _xlpm.loc, "Missing")
)</f>
        <v>0</v>
      </c>
      <c r="E424" s="168">
        <f>_xlfn.LET(_xlpm.loc, ITEquipmentTable[Storage Location],
COUNTIFS(ITSecondTable[Tag], ITSecondTable[[#This Row],[Tag]], _xlpm.loc, "In Use") + COUNTIFS(ITSecondTable[Tag], ITSecondTable[[#This Row],[Tag]], _xlpm.loc, "Assigned to Employee")
)</f>
        <v>29</v>
      </c>
      <c r="F424" s="168">
        <f>_xlfn.LET(_xlpm.loc, ITEquipmentTable[Storage Location],
COUNTIFS(ITSecondTable[Tag], ITSecondTable[[#This Row],[Tag]], _xlpm.loc, "")
)</f>
        <v>3</v>
      </c>
      <c r="G424" s="168">
        <f>MAX(ITSecondTable[[#This Row],[SQty]] - ITSecondTable[[#This Row],[IQty]], 0)</f>
        <v>6</v>
      </c>
      <c r="H424" s="168">
        <f>MAX(ITSecondTable[[#This Row],[IQty]]-ITSecondTable[[#This Row],[SQty]], 0)</f>
        <v>0</v>
      </c>
      <c r="I424" s="151" t="str">
        <f>IFERROR(_xlfn.TEXTJOIN("~", TRUE, ITEquipmentTable[[#This Row],[Type]],ITEquipmentTable[[#This Row],[Brand]],ITEquipmentTable[[#This Row],[Model]]), "")</f>
        <v>Desktop~HP~HP ProDesk 600 G5 DM</v>
      </c>
      <c r="J424" s="151" t="b">
        <f xml:space="preserve"> _xlfn.IFNA(MATCH( ITSecondTable[[#This Row],[Tag]], StorageTable[Tag], 0)  &gt; -1, FALSE)</f>
        <v>0</v>
      </c>
      <c r="K424" s="168" t="b">
        <f>COUNTIFS(ITEquipmentTable[Serial], ITEquipmentTable[[#This Row],[Serial]], ITEquipmentTable[Serial], "&lt;&gt;N/A") &gt; 1</f>
        <v>0</v>
      </c>
      <c r="L424" s="168" t="b">
        <f>COUNTIFS(ITEquipmentTable[Name], ITEquipmentTable[[#This Row],[Name]], ITEquipmentTable[Name], "&lt;&gt;&lt;Unassigned&gt;",  ITEquipmentTable[Name], "&lt;&gt;N/A") &gt; 1</f>
        <v>0</v>
      </c>
      <c r="M424" s="168" t="b">
        <f>AND(COUNTIFS(ITEquipmentTable[IPv4 Address], ITEquipmentTable[[#This Row],[IPv4 Address]]) &gt; 1, ITEquipmentTable[[#This Row],[IPv4 Address]] &lt;&gt; "DHCP",  ITEquipmentTable[[#This Row],[IPv4 Address]] &lt;&gt; "N/A")</f>
        <v>1</v>
      </c>
    </row>
    <row r="425" spans="1:13" x14ac:dyDescent="0.2">
      <c r="A425" s="168">
        <f>IF(LEN(ITSecondTable[[#This Row],[Tag]]) &gt; 0, _xlfn.XLOOKUP(ITSecondTable[[#This Row],[Tag]],StorageTable[Tag], StorageTable[In Storage - Count Total], "Err", 0, 1), 0)</f>
        <v>10</v>
      </c>
      <c r="B425" s="1">
        <f>_xlfn.LET(_xlpm.loc, ITEquipmentTable[Storage Location],
COUNTIFS(ITSecondTable[Tag], ITSecondTable[[#This Row],[Tag]], _xlpm.loc, "&lt;&gt;In Use", _xlpm.loc, "&lt;&gt;",  _xlpm.loc, "&lt;&gt;E-Waste", _xlpm.loc, "&lt;&gt;Virtual",  _xlpm.loc, "&lt;&gt;Assigned to Employee", _xlpm.loc, "&lt;&gt;Decommisioned", _xlpm.loc, "&lt;&gt;Missing")
)</f>
        <v>16</v>
      </c>
      <c r="C425" s="1">
        <f>_xlfn.LET(_xlpm.loc, ITEquipmentTable[Storage Location],
COUNTIFS(ITSecondTable[Tag], ITSecondTable[[#This Row],[Tag]], _xlpm.loc, "&lt;&gt;E-Waste", _xlpm.loc, "&lt;&gt;Virtual", _xlpm.loc, "&lt;&gt;Decommisioned")
)</f>
        <v>48</v>
      </c>
      <c r="D425" s="168">
        <f>_xlfn.LET(_xlpm.loc, ITEquipmentTable[Storage Location],
COUNTIFS(ITSecondTable[Tag], ITSecondTable[[#This Row],[Tag]], _xlpm.loc, "Missing")
)</f>
        <v>0</v>
      </c>
      <c r="E425" s="168">
        <f>_xlfn.LET(_xlpm.loc, ITEquipmentTable[Storage Location],
COUNTIFS(ITSecondTable[Tag], ITSecondTable[[#This Row],[Tag]], _xlpm.loc, "In Use") + COUNTIFS(ITSecondTable[Tag], ITSecondTable[[#This Row],[Tag]], _xlpm.loc, "Assigned to Employee")
)</f>
        <v>29</v>
      </c>
      <c r="F425" s="168">
        <f>_xlfn.LET(_xlpm.loc, ITEquipmentTable[Storage Location],
COUNTIFS(ITSecondTable[Tag], ITSecondTable[[#This Row],[Tag]], _xlpm.loc, "")
)</f>
        <v>3</v>
      </c>
      <c r="G425" s="168">
        <f>MAX(ITSecondTable[[#This Row],[SQty]] - ITSecondTable[[#This Row],[IQty]], 0)</f>
        <v>6</v>
      </c>
      <c r="H425" s="168">
        <f>MAX(ITSecondTable[[#This Row],[IQty]]-ITSecondTable[[#This Row],[SQty]], 0)</f>
        <v>0</v>
      </c>
      <c r="I425" s="151" t="str">
        <f>IFERROR(_xlfn.TEXTJOIN("~", TRUE, ITEquipmentTable[[#This Row],[Type]],ITEquipmentTable[[#This Row],[Brand]],ITEquipmentTable[[#This Row],[Model]]), "")</f>
        <v>Desktop~HP~HP ProDesk 600 G5 DM</v>
      </c>
      <c r="J425" s="151" t="b">
        <f xml:space="preserve"> _xlfn.IFNA(MATCH( ITSecondTable[[#This Row],[Tag]], StorageTable[Tag], 0)  &gt; -1, FALSE)</f>
        <v>0</v>
      </c>
      <c r="K425" s="168" t="b">
        <f>COUNTIFS(ITEquipmentTable[Serial], ITEquipmentTable[[#This Row],[Serial]], ITEquipmentTable[Serial], "&lt;&gt;N/A") &gt; 1</f>
        <v>0</v>
      </c>
      <c r="L425" s="168" t="b">
        <f>COUNTIFS(ITEquipmentTable[Name], ITEquipmentTable[[#This Row],[Name]], ITEquipmentTable[Name], "&lt;&gt;&lt;Unassigned&gt;",  ITEquipmentTable[Name], "&lt;&gt;N/A") &gt; 1</f>
        <v>0</v>
      </c>
      <c r="M425" s="168" t="b">
        <f>AND(COUNTIFS(ITEquipmentTable[IPv4 Address], ITEquipmentTable[[#This Row],[IPv4 Address]]) &gt; 1, ITEquipmentTable[[#This Row],[IPv4 Address]] &lt;&gt; "DHCP",  ITEquipmentTable[[#This Row],[IPv4 Address]] &lt;&gt; "N/A")</f>
        <v>0</v>
      </c>
    </row>
    <row r="426" spans="1:13" x14ac:dyDescent="0.2">
      <c r="A426" s="168">
        <f>IF(LEN(ITSecondTable[[#This Row],[Tag]]) &gt; 0, _xlfn.XLOOKUP(ITSecondTable[[#This Row],[Tag]],StorageTable[Tag], StorageTable[In Storage - Count Total], "Err", 0, 1), 0)</f>
        <v>0</v>
      </c>
      <c r="B426" s="1">
        <f>_xlfn.LET(_xlpm.loc, ITEquipmentTable[Storage Location],
COUNTIFS(ITSecondTable[Tag], ITSecondTable[[#This Row],[Tag]], _xlpm.loc, "&lt;&gt;In Use", _xlpm.loc, "&lt;&gt;",  _xlpm.loc, "&lt;&gt;E-Waste", _xlpm.loc, "&lt;&gt;Virtual",  _xlpm.loc, "&lt;&gt;Assigned to Employee", _xlpm.loc, "&lt;&gt;Decommisioned", _xlpm.loc, "&lt;&gt;Missing")
)</f>
        <v>2</v>
      </c>
      <c r="C426" s="1">
        <f>_xlfn.LET(_xlpm.loc, ITEquipmentTable[Storage Location],
COUNTIFS(ITSecondTable[Tag], ITSecondTable[[#This Row],[Tag]], _xlpm.loc, "&lt;&gt;E-Waste", _xlpm.loc, "&lt;&gt;Virtual", _xlpm.loc, "&lt;&gt;Decommisioned")
)</f>
        <v>27</v>
      </c>
      <c r="D426" s="168">
        <f>_xlfn.LET(_xlpm.loc, ITEquipmentTable[Storage Location],
COUNTIFS(ITSecondTable[Tag], ITSecondTable[[#This Row],[Tag]], _xlpm.loc, "Missing")
)</f>
        <v>0</v>
      </c>
      <c r="E426" s="168">
        <f>_xlfn.LET(_xlpm.loc, ITEquipmentTable[Storage Location],
COUNTIFS(ITSecondTable[Tag], ITSecondTable[[#This Row],[Tag]], _xlpm.loc, "In Use") + COUNTIFS(ITSecondTable[Tag], ITSecondTable[[#This Row],[Tag]], _xlpm.loc, "Assigned to Employee")
)</f>
        <v>20</v>
      </c>
      <c r="F426" s="168">
        <f>_xlfn.LET(_xlpm.loc, ITEquipmentTable[Storage Location],
COUNTIFS(ITSecondTable[Tag], ITSecondTable[[#This Row],[Tag]], _xlpm.loc, "")
)</f>
        <v>5</v>
      </c>
      <c r="G426" s="168">
        <f>MAX(ITSecondTable[[#This Row],[SQty]] - ITSecondTable[[#This Row],[IQty]], 0)</f>
        <v>2</v>
      </c>
      <c r="H426" s="168">
        <f>MAX(ITSecondTable[[#This Row],[IQty]]-ITSecondTable[[#This Row],[SQty]], 0)</f>
        <v>0</v>
      </c>
      <c r="I426" s="151" t="str">
        <f>IFERROR(_xlfn.TEXTJOIN("~", TRUE, ITEquipmentTable[[#This Row],[Type]],ITEquipmentTable[[#This Row],[Brand]],ITEquipmentTable[[#This Row],[Model]]), "")</f>
        <v>Desktop~HP</v>
      </c>
      <c r="J426" s="151" t="b">
        <f xml:space="preserve"> _xlfn.IFNA(MATCH( ITSecondTable[[#This Row],[Tag]], StorageTable[Tag], 0)  &gt; -1, FALSE)</f>
        <v>0</v>
      </c>
      <c r="K426" s="168" t="b">
        <f>COUNTIFS(ITEquipmentTable[Serial], ITEquipmentTable[[#This Row],[Serial]], ITEquipmentTable[Serial], "&lt;&gt;N/A") &gt; 1</f>
        <v>0</v>
      </c>
      <c r="L426" s="168" t="b">
        <f>COUNTIFS(ITEquipmentTable[Name], ITEquipmentTable[[#This Row],[Name]], ITEquipmentTable[Name], "&lt;&gt;&lt;Unassigned&gt;",  ITEquipmentTable[Name], "&lt;&gt;N/A") &gt; 1</f>
        <v>0</v>
      </c>
      <c r="M426" s="168" t="b">
        <f>AND(COUNTIFS(ITEquipmentTable[IPv4 Address], ITEquipmentTable[[#This Row],[IPv4 Address]]) &gt; 1, ITEquipmentTable[[#This Row],[IPv4 Address]] &lt;&gt; "DHCP",  ITEquipmentTable[[#This Row],[IPv4 Address]] &lt;&gt; "N/A")</f>
        <v>0</v>
      </c>
    </row>
    <row r="427" spans="1:13" x14ac:dyDescent="0.2">
      <c r="A427" s="168">
        <f>IF(LEN(ITSecondTable[[#This Row],[Tag]]) &gt; 0, _xlfn.XLOOKUP(ITSecondTable[[#This Row],[Tag]],StorageTable[Tag], StorageTable[In Storage - Count Total], "Err", 0, 1), 0)</f>
        <v>10</v>
      </c>
      <c r="B427" s="1">
        <f>_xlfn.LET(_xlpm.loc, ITEquipmentTable[Storage Location],
COUNTIFS(ITSecondTable[Tag], ITSecondTable[[#This Row],[Tag]], _xlpm.loc, "&lt;&gt;In Use", _xlpm.loc, "&lt;&gt;",  _xlpm.loc, "&lt;&gt;E-Waste", _xlpm.loc, "&lt;&gt;Virtual",  _xlpm.loc, "&lt;&gt;Assigned to Employee", _xlpm.loc, "&lt;&gt;Decommisioned", _xlpm.loc, "&lt;&gt;Missing")
)</f>
        <v>16</v>
      </c>
      <c r="C427" s="1">
        <f>_xlfn.LET(_xlpm.loc, ITEquipmentTable[Storage Location],
COUNTIFS(ITSecondTable[Tag], ITSecondTable[[#This Row],[Tag]], _xlpm.loc, "&lt;&gt;E-Waste", _xlpm.loc, "&lt;&gt;Virtual", _xlpm.loc, "&lt;&gt;Decommisioned")
)</f>
        <v>48</v>
      </c>
      <c r="D427" s="168">
        <f>_xlfn.LET(_xlpm.loc, ITEquipmentTable[Storage Location],
COUNTIFS(ITSecondTable[Tag], ITSecondTable[[#This Row],[Tag]], _xlpm.loc, "Missing")
)</f>
        <v>0</v>
      </c>
      <c r="E427" s="168">
        <f>_xlfn.LET(_xlpm.loc, ITEquipmentTable[Storage Location],
COUNTIFS(ITSecondTable[Tag], ITSecondTable[[#This Row],[Tag]], _xlpm.loc, "In Use") + COUNTIFS(ITSecondTable[Tag], ITSecondTable[[#This Row],[Tag]], _xlpm.loc, "Assigned to Employee")
)</f>
        <v>29</v>
      </c>
      <c r="F427" s="168">
        <f>_xlfn.LET(_xlpm.loc, ITEquipmentTable[Storage Location],
COUNTIFS(ITSecondTable[Tag], ITSecondTable[[#This Row],[Tag]], _xlpm.loc, "")
)</f>
        <v>3</v>
      </c>
      <c r="G427" s="168">
        <f>MAX(ITSecondTable[[#This Row],[SQty]] - ITSecondTable[[#This Row],[IQty]], 0)</f>
        <v>6</v>
      </c>
      <c r="H427" s="168">
        <f>MAX(ITSecondTable[[#This Row],[IQty]]-ITSecondTable[[#This Row],[SQty]], 0)</f>
        <v>0</v>
      </c>
      <c r="I427" s="151" t="str">
        <f>IFERROR(_xlfn.TEXTJOIN("~", TRUE, ITEquipmentTable[[#This Row],[Type]],ITEquipmentTable[[#This Row],[Brand]],ITEquipmentTable[[#This Row],[Model]]), "")</f>
        <v>Desktop~HP~HP ProDesk 600 G5 DM</v>
      </c>
      <c r="J427" s="151" t="b">
        <f xml:space="preserve"> _xlfn.IFNA(MATCH( ITSecondTable[[#This Row],[Tag]], StorageTable[Tag], 0)  &gt; -1, FALSE)</f>
        <v>0</v>
      </c>
      <c r="K427" s="168" t="b">
        <f>COUNTIFS(ITEquipmentTable[Serial], ITEquipmentTable[[#This Row],[Serial]], ITEquipmentTable[Serial], "&lt;&gt;N/A") &gt; 1</f>
        <v>0</v>
      </c>
      <c r="L427" s="168" t="b">
        <f>COUNTIFS(ITEquipmentTable[Name], ITEquipmentTable[[#This Row],[Name]], ITEquipmentTable[Name], "&lt;&gt;&lt;Unassigned&gt;",  ITEquipmentTable[Name], "&lt;&gt;N/A") &gt; 1</f>
        <v>0</v>
      </c>
      <c r="M427" s="168" t="b">
        <f>AND(COUNTIFS(ITEquipmentTable[IPv4 Address], ITEquipmentTable[[#This Row],[IPv4 Address]]) &gt; 1, ITEquipmentTable[[#This Row],[IPv4 Address]] &lt;&gt; "DHCP",  ITEquipmentTable[[#This Row],[IPv4 Address]] &lt;&gt; "N/A")</f>
        <v>0</v>
      </c>
    </row>
    <row r="428" spans="1:13" x14ac:dyDescent="0.2">
      <c r="A428" s="168">
        <f>IF(LEN(ITSecondTable[[#This Row],[Tag]]) &gt; 0, _xlfn.XLOOKUP(ITSecondTable[[#This Row],[Tag]],StorageTable[Tag], StorageTable[In Storage - Count Total], "Err", 0, 1), 0)</f>
        <v>10</v>
      </c>
      <c r="B428" s="1">
        <f>_xlfn.LET(_xlpm.loc, ITEquipmentTable[Storage Location],
COUNTIFS(ITSecondTable[Tag], ITSecondTable[[#This Row],[Tag]], _xlpm.loc, "&lt;&gt;In Use", _xlpm.loc, "&lt;&gt;",  _xlpm.loc, "&lt;&gt;E-Waste", _xlpm.loc, "&lt;&gt;Virtual",  _xlpm.loc, "&lt;&gt;Assigned to Employee", _xlpm.loc, "&lt;&gt;Decommisioned", _xlpm.loc, "&lt;&gt;Missing")
)</f>
        <v>16</v>
      </c>
      <c r="C428" s="1">
        <f>_xlfn.LET(_xlpm.loc, ITEquipmentTable[Storage Location],
COUNTIFS(ITSecondTable[Tag], ITSecondTable[[#This Row],[Tag]], _xlpm.loc, "&lt;&gt;E-Waste", _xlpm.loc, "&lt;&gt;Virtual", _xlpm.loc, "&lt;&gt;Decommisioned")
)</f>
        <v>48</v>
      </c>
      <c r="D428" s="168">
        <f>_xlfn.LET(_xlpm.loc, ITEquipmentTable[Storage Location],
COUNTIFS(ITSecondTable[Tag], ITSecondTable[[#This Row],[Tag]], _xlpm.loc, "Missing")
)</f>
        <v>0</v>
      </c>
      <c r="E428" s="168">
        <f>_xlfn.LET(_xlpm.loc, ITEquipmentTable[Storage Location],
COUNTIFS(ITSecondTable[Tag], ITSecondTable[[#This Row],[Tag]], _xlpm.loc, "In Use") + COUNTIFS(ITSecondTable[Tag], ITSecondTable[[#This Row],[Tag]], _xlpm.loc, "Assigned to Employee")
)</f>
        <v>29</v>
      </c>
      <c r="F428" s="168">
        <f>_xlfn.LET(_xlpm.loc, ITEquipmentTable[Storage Location],
COUNTIFS(ITSecondTable[Tag], ITSecondTable[[#This Row],[Tag]], _xlpm.loc, "")
)</f>
        <v>3</v>
      </c>
      <c r="G428" s="168">
        <f>MAX(ITSecondTable[[#This Row],[SQty]] - ITSecondTable[[#This Row],[IQty]], 0)</f>
        <v>6</v>
      </c>
      <c r="H428" s="168">
        <f>MAX(ITSecondTable[[#This Row],[IQty]]-ITSecondTable[[#This Row],[SQty]], 0)</f>
        <v>0</v>
      </c>
      <c r="I428" s="151" t="str">
        <f>IFERROR(_xlfn.TEXTJOIN("~", TRUE, ITEquipmentTable[[#This Row],[Type]],ITEquipmentTable[[#This Row],[Brand]],ITEquipmentTable[[#This Row],[Model]]), "")</f>
        <v>Desktop~HP~HP ProDesk 600 G5 DM</v>
      </c>
      <c r="J428" s="151" t="b">
        <f xml:space="preserve"> _xlfn.IFNA(MATCH( ITSecondTable[[#This Row],[Tag]], StorageTable[Tag], 0)  &gt; -1, FALSE)</f>
        <v>0</v>
      </c>
      <c r="K428" s="168" t="b">
        <f>COUNTIFS(ITEquipmentTable[Serial], ITEquipmentTable[[#This Row],[Serial]], ITEquipmentTable[Serial], "&lt;&gt;N/A") &gt; 1</f>
        <v>0</v>
      </c>
      <c r="L428" s="168" t="b">
        <f>COUNTIFS(ITEquipmentTable[Name], ITEquipmentTable[[#This Row],[Name]], ITEquipmentTable[Name], "&lt;&gt;&lt;Unassigned&gt;",  ITEquipmentTable[Name], "&lt;&gt;N/A") &gt; 1</f>
        <v>0</v>
      </c>
      <c r="M428" s="168" t="b">
        <f>AND(COUNTIFS(ITEquipmentTable[IPv4 Address], ITEquipmentTable[[#This Row],[IPv4 Address]]) &gt; 1, ITEquipmentTable[[#This Row],[IPv4 Address]] &lt;&gt; "DHCP",  ITEquipmentTable[[#This Row],[IPv4 Address]] &lt;&gt; "N/A")</f>
        <v>0</v>
      </c>
    </row>
    <row r="429" spans="1:13" x14ac:dyDescent="0.2">
      <c r="A429" s="168">
        <f>IF(LEN(ITSecondTable[[#This Row],[Tag]]) &gt; 0, _xlfn.XLOOKUP(ITSecondTable[[#This Row],[Tag]],StorageTable[Tag], StorageTable[In Storage - Count Total], "Err", 0, 1), 0)</f>
        <v>10</v>
      </c>
      <c r="B429" s="1">
        <f>_xlfn.LET(_xlpm.loc, ITEquipmentTable[Storage Location],
COUNTIFS(ITSecondTable[Tag], ITSecondTable[[#This Row],[Tag]], _xlpm.loc, "&lt;&gt;In Use", _xlpm.loc, "&lt;&gt;",  _xlpm.loc, "&lt;&gt;E-Waste", _xlpm.loc, "&lt;&gt;Virtual",  _xlpm.loc, "&lt;&gt;Assigned to Employee", _xlpm.loc, "&lt;&gt;Decommisioned", _xlpm.loc, "&lt;&gt;Missing")
)</f>
        <v>16</v>
      </c>
      <c r="C429" s="1">
        <f>_xlfn.LET(_xlpm.loc, ITEquipmentTable[Storage Location],
COUNTIFS(ITSecondTable[Tag], ITSecondTable[[#This Row],[Tag]], _xlpm.loc, "&lt;&gt;E-Waste", _xlpm.loc, "&lt;&gt;Virtual", _xlpm.loc, "&lt;&gt;Decommisioned")
)</f>
        <v>48</v>
      </c>
      <c r="D429" s="168">
        <f>_xlfn.LET(_xlpm.loc, ITEquipmentTable[Storage Location],
COUNTIFS(ITSecondTable[Tag], ITSecondTable[[#This Row],[Tag]], _xlpm.loc, "Missing")
)</f>
        <v>0</v>
      </c>
      <c r="E429" s="168">
        <f>_xlfn.LET(_xlpm.loc, ITEquipmentTable[Storage Location],
COUNTIFS(ITSecondTable[Tag], ITSecondTable[[#This Row],[Tag]], _xlpm.loc, "In Use") + COUNTIFS(ITSecondTable[Tag], ITSecondTable[[#This Row],[Tag]], _xlpm.loc, "Assigned to Employee")
)</f>
        <v>29</v>
      </c>
      <c r="F429" s="168">
        <f>_xlfn.LET(_xlpm.loc, ITEquipmentTable[Storage Location],
COUNTIFS(ITSecondTable[Tag], ITSecondTable[[#This Row],[Tag]], _xlpm.loc, "")
)</f>
        <v>3</v>
      </c>
      <c r="G429" s="168">
        <f>MAX(ITSecondTable[[#This Row],[SQty]] - ITSecondTable[[#This Row],[IQty]], 0)</f>
        <v>6</v>
      </c>
      <c r="H429" s="168">
        <f>MAX(ITSecondTable[[#This Row],[IQty]]-ITSecondTable[[#This Row],[SQty]], 0)</f>
        <v>0</v>
      </c>
      <c r="I429" s="151" t="str">
        <f>IFERROR(_xlfn.TEXTJOIN("~", TRUE, ITEquipmentTable[[#This Row],[Type]],ITEquipmentTable[[#This Row],[Brand]],ITEquipmentTable[[#This Row],[Model]]), "")</f>
        <v>Desktop~HP~HP ProDesk 600 G5 DM</v>
      </c>
      <c r="J429" s="151" t="b">
        <f xml:space="preserve"> _xlfn.IFNA(MATCH( ITSecondTable[[#This Row],[Tag]], StorageTable[Tag], 0)  &gt; -1, FALSE)</f>
        <v>0</v>
      </c>
      <c r="K429" s="168" t="b">
        <f>COUNTIFS(ITEquipmentTable[Serial], ITEquipmentTable[[#This Row],[Serial]], ITEquipmentTable[Serial], "&lt;&gt;N/A") &gt; 1</f>
        <v>0</v>
      </c>
      <c r="L429" s="168" t="b">
        <f>COUNTIFS(ITEquipmentTable[Name], ITEquipmentTable[[#This Row],[Name]], ITEquipmentTable[Name], "&lt;&gt;&lt;Unassigned&gt;",  ITEquipmentTable[Name], "&lt;&gt;N/A") &gt; 1</f>
        <v>0</v>
      </c>
      <c r="M429" s="168" t="b">
        <f>AND(COUNTIFS(ITEquipmentTable[IPv4 Address], ITEquipmentTable[[#This Row],[IPv4 Address]]) &gt; 1, ITEquipmentTable[[#This Row],[IPv4 Address]] &lt;&gt; "DHCP",  ITEquipmentTable[[#This Row],[IPv4 Address]] &lt;&gt; "N/A")</f>
        <v>0</v>
      </c>
    </row>
    <row r="430" spans="1:13" x14ac:dyDescent="0.2">
      <c r="A430" s="168">
        <f>IF(LEN(ITSecondTable[[#This Row],[Tag]]) &gt; 0, _xlfn.XLOOKUP(ITSecondTable[[#This Row],[Tag]],StorageTable[Tag], StorageTable[In Storage - Count Total], "Err", 0, 1), 0)</f>
        <v>10</v>
      </c>
      <c r="B430" s="1">
        <f>_xlfn.LET(_xlpm.loc, ITEquipmentTable[Storage Location],
COUNTIFS(ITSecondTable[Tag], ITSecondTable[[#This Row],[Tag]], _xlpm.loc, "&lt;&gt;In Use", _xlpm.loc, "&lt;&gt;",  _xlpm.loc, "&lt;&gt;E-Waste", _xlpm.loc, "&lt;&gt;Virtual",  _xlpm.loc, "&lt;&gt;Assigned to Employee", _xlpm.loc, "&lt;&gt;Decommisioned", _xlpm.loc, "&lt;&gt;Missing")
)</f>
        <v>16</v>
      </c>
      <c r="C430" s="1">
        <f>_xlfn.LET(_xlpm.loc, ITEquipmentTable[Storage Location],
COUNTIFS(ITSecondTable[Tag], ITSecondTable[[#This Row],[Tag]], _xlpm.loc, "&lt;&gt;E-Waste", _xlpm.loc, "&lt;&gt;Virtual", _xlpm.loc, "&lt;&gt;Decommisioned")
)</f>
        <v>48</v>
      </c>
      <c r="D430" s="168">
        <f>_xlfn.LET(_xlpm.loc, ITEquipmentTable[Storage Location],
COUNTIFS(ITSecondTable[Tag], ITSecondTable[[#This Row],[Tag]], _xlpm.loc, "Missing")
)</f>
        <v>0</v>
      </c>
      <c r="E430" s="168">
        <f>_xlfn.LET(_xlpm.loc, ITEquipmentTable[Storage Location],
COUNTIFS(ITSecondTable[Tag], ITSecondTable[[#This Row],[Tag]], _xlpm.loc, "In Use") + COUNTIFS(ITSecondTable[Tag], ITSecondTable[[#This Row],[Tag]], _xlpm.loc, "Assigned to Employee")
)</f>
        <v>29</v>
      </c>
      <c r="F430" s="168">
        <f>_xlfn.LET(_xlpm.loc, ITEquipmentTable[Storage Location],
COUNTIFS(ITSecondTable[Tag], ITSecondTable[[#This Row],[Tag]], _xlpm.loc, "")
)</f>
        <v>3</v>
      </c>
      <c r="G430" s="168">
        <f>MAX(ITSecondTable[[#This Row],[SQty]] - ITSecondTable[[#This Row],[IQty]], 0)</f>
        <v>6</v>
      </c>
      <c r="H430" s="168">
        <f>MAX(ITSecondTable[[#This Row],[IQty]]-ITSecondTable[[#This Row],[SQty]], 0)</f>
        <v>0</v>
      </c>
      <c r="I430" s="151" t="str">
        <f>IFERROR(_xlfn.TEXTJOIN("~", TRUE, ITEquipmentTable[[#This Row],[Type]],ITEquipmentTable[[#This Row],[Brand]],ITEquipmentTable[[#This Row],[Model]]), "")</f>
        <v>Desktop~HP~HP ProDesk 600 G5 DM</v>
      </c>
      <c r="J430" s="151" t="b">
        <f xml:space="preserve"> _xlfn.IFNA(MATCH( ITSecondTable[[#This Row],[Tag]], StorageTable[Tag], 0)  &gt; -1, FALSE)</f>
        <v>0</v>
      </c>
      <c r="K430" s="168" t="b">
        <f>COUNTIFS(ITEquipmentTable[Serial], ITEquipmentTable[[#This Row],[Serial]], ITEquipmentTable[Serial], "&lt;&gt;N/A") &gt; 1</f>
        <v>0</v>
      </c>
      <c r="L430" s="168" t="b">
        <f>COUNTIFS(ITEquipmentTable[Name], ITEquipmentTable[[#This Row],[Name]], ITEquipmentTable[Name], "&lt;&gt;&lt;Unassigned&gt;",  ITEquipmentTable[Name], "&lt;&gt;N/A") &gt; 1</f>
        <v>0</v>
      </c>
      <c r="M430" s="168" t="b">
        <f>AND(COUNTIFS(ITEquipmentTable[IPv4 Address], ITEquipmentTable[[#This Row],[IPv4 Address]]) &gt; 1, ITEquipmentTable[[#This Row],[IPv4 Address]] &lt;&gt; "DHCP",  ITEquipmentTable[[#This Row],[IPv4 Address]] &lt;&gt; "N/A")</f>
        <v>0</v>
      </c>
    </row>
    <row r="431" spans="1:13" x14ac:dyDescent="0.2">
      <c r="A431" s="168">
        <f>IF(LEN(ITSecondTable[[#This Row],[Tag]]) &gt; 0, _xlfn.XLOOKUP(ITSecondTable[[#This Row],[Tag]],StorageTable[Tag], StorageTable[In Storage - Count Total], "Err", 0, 1), 0)</f>
        <v>10</v>
      </c>
      <c r="B431" s="1">
        <f>_xlfn.LET(_xlpm.loc, ITEquipmentTable[Storage Location],
COUNTIFS(ITSecondTable[Tag], ITSecondTable[[#This Row],[Tag]], _xlpm.loc, "&lt;&gt;In Use", _xlpm.loc, "&lt;&gt;",  _xlpm.loc, "&lt;&gt;E-Waste", _xlpm.loc, "&lt;&gt;Virtual",  _xlpm.loc, "&lt;&gt;Assigned to Employee", _xlpm.loc, "&lt;&gt;Decommisioned", _xlpm.loc, "&lt;&gt;Missing")
)</f>
        <v>16</v>
      </c>
      <c r="C431" s="1">
        <f>_xlfn.LET(_xlpm.loc, ITEquipmentTable[Storage Location],
COUNTIFS(ITSecondTable[Tag], ITSecondTable[[#This Row],[Tag]], _xlpm.loc, "&lt;&gt;E-Waste", _xlpm.loc, "&lt;&gt;Virtual", _xlpm.loc, "&lt;&gt;Decommisioned")
)</f>
        <v>48</v>
      </c>
      <c r="D431" s="168">
        <f>_xlfn.LET(_xlpm.loc, ITEquipmentTable[Storage Location],
COUNTIFS(ITSecondTable[Tag], ITSecondTable[[#This Row],[Tag]], _xlpm.loc, "Missing")
)</f>
        <v>0</v>
      </c>
      <c r="E431" s="168">
        <f>_xlfn.LET(_xlpm.loc, ITEquipmentTable[Storage Location],
COUNTIFS(ITSecondTable[Tag], ITSecondTable[[#This Row],[Tag]], _xlpm.loc, "In Use") + COUNTIFS(ITSecondTable[Tag], ITSecondTable[[#This Row],[Tag]], _xlpm.loc, "Assigned to Employee")
)</f>
        <v>29</v>
      </c>
      <c r="F431" s="168">
        <f>_xlfn.LET(_xlpm.loc, ITEquipmentTable[Storage Location],
COUNTIFS(ITSecondTable[Tag], ITSecondTable[[#This Row],[Tag]], _xlpm.loc, "")
)</f>
        <v>3</v>
      </c>
      <c r="G431" s="168">
        <f>MAX(ITSecondTable[[#This Row],[SQty]] - ITSecondTable[[#This Row],[IQty]], 0)</f>
        <v>6</v>
      </c>
      <c r="H431" s="168">
        <f>MAX(ITSecondTable[[#This Row],[IQty]]-ITSecondTable[[#This Row],[SQty]], 0)</f>
        <v>0</v>
      </c>
      <c r="I431" s="151" t="str">
        <f>IFERROR(_xlfn.TEXTJOIN("~", TRUE, ITEquipmentTable[[#This Row],[Type]],ITEquipmentTable[[#This Row],[Brand]],ITEquipmentTable[[#This Row],[Model]]), "")</f>
        <v>Desktop~HP~HP ProDesk 600 G5 DM</v>
      </c>
      <c r="J431" s="151" t="b">
        <f xml:space="preserve"> _xlfn.IFNA(MATCH( ITSecondTable[[#This Row],[Tag]], StorageTable[Tag], 0)  &gt; -1, FALSE)</f>
        <v>0</v>
      </c>
      <c r="K431" s="168" t="b">
        <f>COUNTIFS(ITEquipmentTable[Serial], ITEquipmentTable[[#This Row],[Serial]], ITEquipmentTable[Serial], "&lt;&gt;N/A") &gt; 1</f>
        <v>0</v>
      </c>
      <c r="L431" s="168" t="b">
        <f>COUNTIFS(ITEquipmentTable[Name], ITEquipmentTable[[#This Row],[Name]], ITEquipmentTable[Name], "&lt;&gt;&lt;Unassigned&gt;",  ITEquipmentTable[Name], "&lt;&gt;N/A") &gt; 1</f>
        <v>0</v>
      </c>
      <c r="M431" s="168" t="b">
        <f>AND(COUNTIFS(ITEquipmentTable[IPv4 Address], ITEquipmentTable[[#This Row],[IPv4 Address]]) &gt; 1, ITEquipmentTable[[#This Row],[IPv4 Address]] &lt;&gt; "DHCP",  ITEquipmentTable[[#This Row],[IPv4 Address]] &lt;&gt; "N/A")</f>
        <v>1</v>
      </c>
    </row>
    <row r="432" spans="1:13" x14ac:dyDescent="0.2">
      <c r="A432" s="168">
        <f>IF(LEN(ITSecondTable[[#This Row],[Tag]]) &gt; 0, _xlfn.XLOOKUP(ITSecondTable[[#This Row],[Tag]],StorageTable[Tag], StorageTable[In Storage - Count Total], "Err", 0, 1), 0)</f>
        <v>0</v>
      </c>
      <c r="B432" s="1">
        <f>_xlfn.LET(_xlpm.loc, ITEquipmentTable[Storage Location],
COUNTIFS(ITSecondTable[Tag], ITSecondTable[[#This Row],[Tag]], _xlpm.loc, "&lt;&gt;In Use", _xlpm.loc, "&lt;&gt;",  _xlpm.loc, "&lt;&gt;E-Waste", _xlpm.loc, "&lt;&gt;Virtual",  _xlpm.loc, "&lt;&gt;Assigned to Employee", _xlpm.loc, "&lt;&gt;Decommisioned", _xlpm.loc, "&lt;&gt;Missing")
)</f>
        <v>2</v>
      </c>
      <c r="C432" s="1">
        <f>_xlfn.LET(_xlpm.loc, ITEquipmentTable[Storage Location],
COUNTIFS(ITSecondTable[Tag], ITSecondTable[[#This Row],[Tag]], _xlpm.loc, "&lt;&gt;E-Waste", _xlpm.loc, "&lt;&gt;Virtual", _xlpm.loc, "&lt;&gt;Decommisioned")
)</f>
        <v>27</v>
      </c>
      <c r="D432" s="168">
        <f>_xlfn.LET(_xlpm.loc, ITEquipmentTable[Storage Location],
COUNTIFS(ITSecondTable[Tag], ITSecondTable[[#This Row],[Tag]], _xlpm.loc, "Missing")
)</f>
        <v>0</v>
      </c>
      <c r="E432" s="168">
        <f>_xlfn.LET(_xlpm.loc, ITEquipmentTable[Storage Location],
COUNTIFS(ITSecondTable[Tag], ITSecondTable[[#This Row],[Tag]], _xlpm.loc, "In Use") + COUNTIFS(ITSecondTable[Tag], ITSecondTable[[#This Row],[Tag]], _xlpm.loc, "Assigned to Employee")
)</f>
        <v>20</v>
      </c>
      <c r="F432" s="168">
        <f>_xlfn.LET(_xlpm.loc, ITEquipmentTable[Storage Location],
COUNTIFS(ITSecondTable[Tag], ITSecondTable[[#This Row],[Tag]], _xlpm.loc, "")
)</f>
        <v>5</v>
      </c>
      <c r="G432" s="168">
        <f>MAX(ITSecondTable[[#This Row],[SQty]] - ITSecondTable[[#This Row],[IQty]], 0)</f>
        <v>2</v>
      </c>
      <c r="H432" s="168">
        <f>MAX(ITSecondTable[[#This Row],[IQty]]-ITSecondTable[[#This Row],[SQty]], 0)</f>
        <v>0</v>
      </c>
      <c r="I432" s="151" t="str">
        <f>IFERROR(_xlfn.TEXTJOIN("~", TRUE, ITEquipmentTable[[#This Row],[Type]],ITEquipmentTable[[#This Row],[Brand]],ITEquipmentTable[[#This Row],[Model]]), "")</f>
        <v>Desktop~HP</v>
      </c>
      <c r="J432" s="151" t="b">
        <f xml:space="preserve"> _xlfn.IFNA(MATCH( ITSecondTable[[#This Row],[Tag]], StorageTable[Tag], 0)  &gt; -1, FALSE)</f>
        <v>0</v>
      </c>
      <c r="K432" s="168" t="b">
        <f>COUNTIFS(ITEquipmentTable[Serial], ITEquipmentTable[[#This Row],[Serial]], ITEquipmentTable[Serial], "&lt;&gt;N/A") &gt; 1</f>
        <v>0</v>
      </c>
      <c r="L432" s="168" t="b">
        <f>COUNTIFS(ITEquipmentTable[Name], ITEquipmentTable[[#This Row],[Name]], ITEquipmentTable[Name], "&lt;&gt;&lt;Unassigned&gt;",  ITEquipmentTable[Name], "&lt;&gt;N/A") &gt; 1</f>
        <v>0</v>
      </c>
      <c r="M432" s="168" t="b">
        <f>AND(COUNTIFS(ITEquipmentTable[IPv4 Address], ITEquipmentTable[[#This Row],[IPv4 Address]]) &gt; 1, ITEquipmentTable[[#This Row],[IPv4 Address]] &lt;&gt; "DHCP",  ITEquipmentTable[[#This Row],[IPv4 Address]] &lt;&gt; "N/A")</f>
        <v>0</v>
      </c>
    </row>
    <row r="433" spans="1:13" x14ac:dyDescent="0.2">
      <c r="A433" s="168">
        <f>IF(LEN(ITSecondTable[[#This Row],[Tag]]) &gt; 0, _xlfn.XLOOKUP(ITSecondTable[[#This Row],[Tag]],StorageTable[Tag], StorageTable[In Storage - Count Total], "Err", 0, 1), 0)</f>
        <v>0</v>
      </c>
      <c r="B433" s="1">
        <f>_xlfn.LET(_xlpm.loc, ITEquipmentTable[Storage Location],
COUNTIFS(ITSecondTable[Tag], ITSecondTable[[#This Row],[Tag]], _xlpm.loc, "&lt;&gt;In Use", _xlpm.loc, "&lt;&gt;",  _xlpm.loc, "&lt;&gt;E-Waste", _xlpm.loc, "&lt;&gt;Virtual",  _xlpm.loc, "&lt;&gt;Assigned to Employee", _xlpm.loc, "&lt;&gt;Decommisioned", _xlpm.loc, "&lt;&gt;Missing")
)</f>
        <v>0</v>
      </c>
      <c r="C433" s="1">
        <f>_xlfn.LET(_xlpm.loc, ITEquipmentTable[Storage Location],
COUNTIFS(ITSecondTable[Tag], ITSecondTable[[#This Row],[Tag]], _xlpm.loc, "&lt;&gt;E-Waste", _xlpm.loc, "&lt;&gt;Virtual", _xlpm.loc, "&lt;&gt;Decommisioned")
)</f>
        <v>21</v>
      </c>
      <c r="D433" s="168">
        <f>_xlfn.LET(_xlpm.loc, ITEquipmentTable[Storage Location],
COUNTIFS(ITSecondTable[Tag], ITSecondTable[[#This Row],[Tag]], _xlpm.loc, "Missing")
)</f>
        <v>0</v>
      </c>
      <c r="E433" s="168">
        <f>_xlfn.LET(_xlpm.loc, ITEquipmentTable[Storage Location],
COUNTIFS(ITSecondTable[Tag], ITSecondTable[[#This Row],[Tag]], _xlpm.loc, "In Use") + COUNTIFS(ITSecondTable[Tag], ITSecondTable[[#This Row],[Tag]], _xlpm.loc, "Assigned to Employee")
)</f>
        <v>3</v>
      </c>
      <c r="F433" s="168">
        <f>_xlfn.LET(_xlpm.loc, ITEquipmentTable[Storage Location],
COUNTIFS(ITSecondTable[Tag], ITSecondTable[[#This Row],[Tag]], _xlpm.loc, "")
)</f>
        <v>18</v>
      </c>
      <c r="G433" s="168">
        <f>MAX(ITSecondTable[[#This Row],[SQty]] - ITSecondTable[[#This Row],[IQty]], 0)</f>
        <v>0</v>
      </c>
      <c r="H433" s="168">
        <f>MAX(ITSecondTable[[#This Row],[IQty]]-ITSecondTable[[#This Row],[SQty]], 0)</f>
        <v>0</v>
      </c>
      <c r="I433" s="151" t="str">
        <f>IFERROR(_xlfn.TEXTJOIN("~", TRUE, ITEquipmentTable[[#This Row],[Type]],ITEquipmentTable[[#This Row],[Brand]],ITEquipmentTable[[#This Row],[Model]]), "")</f>
        <v/>
      </c>
      <c r="J433" s="151" t="b">
        <f xml:space="preserve"> _xlfn.IFNA(MATCH( ITSecondTable[[#This Row],[Tag]], StorageTable[Tag], 0)  &gt; -1, FALSE)</f>
        <v>0</v>
      </c>
      <c r="K433" s="168" t="b">
        <f>COUNTIFS(ITEquipmentTable[Serial], ITEquipmentTable[[#This Row],[Serial]], ITEquipmentTable[Serial], "&lt;&gt;N/A") &gt; 1</f>
        <v>0</v>
      </c>
      <c r="L433" s="168" t="b">
        <f>COUNTIFS(ITEquipmentTable[Name], ITEquipmentTable[[#This Row],[Name]], ITEquipmentTable[Name], "&lt;&gt;&lt;Unassigned&gt;",  ITEquipmentTable[Name], "&lt;&gt;N/A") &gt; 1</f>
        <v>0</v>
      </c>
      <c r="M433" s="168" t="b">
        <f>AND(COUNTIFS(ITEquipmentTable[IPv4 Address], ITEquipmentTable[[#This Row],[IPv4 Address]]) &gt; 1, ITEquipmentTable[[#This Row],[IPv4 Address]] &lt;&gt; "DHCP",  ITEquipmentTable[[#This Row],[IPv4 Address]] &lt;&gt; "N/A")</f>
        <v>0</v>
      </c>
    </row>
    <row r="434" spans="1:13" x14ac:dyDescent="0.2">
      <c r="A434" s="168">
        <f>IF(LEN(ITSecondTable[[#This Row],[Tag]]) &gt; 0, _xlfn.XLOOKUP(ITSecondTable[[#This Row],[Tag]],StorageTable[Tag], StorageTable[In Storage - Count Total], "Err", 0, 1), 0)</f>
        <v>10</v>
      </c>
      <c r="B434" s="1">
        <f>_xlfn.LET(_xlpm.loc, ITEquipmentTable[Storage Location],
COUNTIFS(ITSecondTable[Tag], ITSecondTable[[#This Row],[Tag]], _xlpm.loc, "&lt;&gt;In Use", _xlpm.loc, "&lt;&gt;",  _xlpm.loc, "&lt;&gt;E-Waste", _xlpm.loc, "&lt;&gt;Virtual",  _xlpm.loc, "&lt;&gt;Assigned to Employee", _xlpm.loc, "&lt;&gt;Decommisioned", _xlpm.loc, "&lt;&gt;Missing")
)</f>
        <v>16</v>
      </c>
      <c r="C434" s="1">
        <f>_xlfn.LET(_xlpm.loc, ITEquipmentTable[Storage Location],
COUNTIFS(ITSecondTable[Tag], ITSecondTable[[#This Row],[Tag]], _xlpm.loc, "&lt;&gt;E-Waste", _xlpm.loc, "&lt;&gt;Virtual", _xlpm.loc, "&lt;&gt;Decommisioned")
)</f>
        <v>48</v>
      </c>
      <c r="D434" s="168">
        <f>_xlfn.LET(_xlpm.loc, ITEquipmentTable[Storage Location],
COUNTIFS(ITSecondTable[Tag], ITSecondTable[[#This Row],[Tag]], _xlpm.loc, "Missing")
)</f>
        <v>0</v>
      </c>
      <c r="E434" s="168">
        <f>_xlfn.LET(_xlpm.loc, ITEquipmentTable[Storage Location],
COUNTIFS(ITSecondTable[Tag], ITSecondTable[[#This Row],[Tag]], _xlpm.loc, "In Use") + COUNTIFS(ITSecondTable[Tag], ITSecondTable[[#This Row],[Tag]], _xlpm.loc, "Assigned to Employee")
)</f>
        <v>29</v>
      </c>
      <c r="F434" s="168">
        <f>_xlfn.LET(_xlpm.loc, ITEquipmentTable[Storage Location],
COUNTIFS(ITSecondTable[Tag], ITSecondTable[[#This Row],[Tag]], _xlpm.loc, "")
)</f>
        <v>3</v>
      </c>
      <c r="G434" s="168">
        <f>MAX(ITSecondTable[[#This Row],[SQty]] - ITSecondTable[[#This Row],[IQty]], 0)</f>
        <v>6</v>
      </c>
      <c r="H434" s="168">
        <f>MAX(ITSecondTable[[#This Row],[IQty]]-ITSecondTable[[#This Row],[SQty]], 0)</f>
        <v>0</v>
      </c>
      <c r="I434" s="151" t="str">
        <f>IFERROR(_xlfn.TEXTJOIN("~", TRUE, ITEquipmentTable[[#This Row],[Type]],ITEquipmentTable[[#This Row],[Brand]],ITEquipmentTable[[#This Row],[Model]]), "")</f>
        <v>Desktop~HP~HP ProDesk 600 G5 DM</v>
      </c>
      <c r="J434" s="151" t="b">
        <f xml:space="preserve"> _xlfn.IFNA(MATCH( ITSecondTable[[#This Row],[Tag]], StorageTable[Tag], 0)  &gt; -1, FALSE)</f>
        <v>0</v>
      </c>
      <c r="K434" s="168" t="b">
        <f>COUNTIFS(ITEquipmentTable[Serial], ITEquipmentTable[[#This Row],[Serial]], ITEquipmentTable[Serial], "&lt;&gt;N/A") &gt; 1</f>
        <v>0</v>
      </c>
      <c r="L434" s="168" t="b">
        <f>COUNTIFS(ITEquipmentTable[Name], ITEquipmentTable[[#This Row],[Name]], ITEquipmentTable[Name], "&lt;&gt;&lt;Unassigned&gt;",  ITEquipmentTable[Name], "&lt;&gt;N/A") &gt; 1</f>
        <v>0</v>
      </c>
      <c r="M434" s="168" t="b">
        <f>AND(COUNTIFS(ITEquipmentTable[IPv4 Address], ITEquipmentTable[[#This Row],[IPv4 Address]]) &gt; 1, ITEquipmentTable[[#This Row],[IPv4 Address]] &lt;&gt; "DHCP",  ITEquipmentTable[[#This Row],[IPv4 Address]] &lt;&gt; "N/A")</f>
        <v>0</v>
      </c>
    </row>
    <row r="435" spans="1:13" x14ac:dyDescent="0.2">
      <c r="A435" s="168">
        <f>IF(LEN(ITSecondTable[[#This Row],[Tag]]) &gt; 0, _xlfn.XLOOKUP(ITSecondTable[[#This Row],[Tag]],StorageTable[Tag], StorageTable[In Storage - Count Total], "Err", 0, 1), 0)</f>
        <v>0</v>
      </c>
      <c r="B435" s="1">
        <f>_xlfn.LET(_xlpm.loc, ITEquipmentTable[Storage Location],
COUNTIFS(ITSecondTable[Tag], ITSecondTable[[#This Row],[Tag]], _xlpm.loc, "&lt;&gt;In Use", _xlpm.loc, "&lt;&gt;",  _xlpm.loc, "&lt;&gt;E-Waste", _xlpm.loc, "&lt;&gt;Virtual",  _xlpm.loc, "&lt;&gt;Assigned to Employee", _xlpm.loc, "&lt;&gt;Decommisioned", _xlpm.loc, "&lt;&gt;Missing")
)</f>
        <v>0</v>
      </c>
      <c r="C435" s="1">
        <f>_xlfn.LET(_xlpm.loc, ITEquipmentTable[Storage Location],
COUNTIFS(ITSecondTable[Tag], ITSecondTable[[#This Row],[Tag]], _xlpm.loc, "&lt;&gt;E-Waste", _xlpm.loc, "&lt;&gt;Virtual", _xlpm.loc, "&lt;&gt;Decommisioned")
)</f>
        <v>15</v>
      </c>
      <c r="D435" s="168">
        <f>_xlfn.LET(_xlpm.loc, ITEquipmentTable[Storage Location],
COUNTIFS(ITSecondTable[Tag], ITSecondTable[[#This Row],[Tag]], _xlpm.loc, "Missing")
)</f>
        <v>0</v>
      </c>
      <c r="E435" s="168">
        <f>_xlfn.LET(_xlpm.loc, ITEquipmentTable[Storage Location],
COUNTIFS(ITSecondTable[Tag], ITSecondTable[[#This Row],[Tag]], _xlpm.loc, "In Use") + COUNTIFS(ITSecondTable[Tag], ITSecondTable[[#This Row],[Tag]], _xlpm.loc, "Assigned to Employee")
)</f>
        <v>2</v>
      </c>
      <c r="F435" s="168">
        <f>_xlfn.LET(_xlpm.loc, ITEquipmentTable[Storage Location],
COUNTIFS(ITSecondTable[Tag], ITSecondTable[[#This Row],[Tag]], _xlpm.loc, "")
)</f>
        <v>13</v>
      </c>
      <c r="G435" s="168">
        <f>MAX(ITSecondTable[[#This Row],[SQty]] - ITSecondTable[[#This Row],[IQty]], 0)</f>
        <v>0</v>
      </c>
      <c r="H435" s="168">
        <f>MAX(ITSecondTable[[#This Row],[IQty]]-ITSecondTable[[#This Row],[SQty]], 0)</f>
        <v>0</v>
      </c>
      <c r="I435" s="151" t="str">
        <f>IFERROR(_xlfn.TEXTJOIN("~", TRUE, ITEquipmentTable[[#This Row],[Type]],ITEquipmentTable[[#This Row],[Brand]],ITEquipmentTable[[#This Row],[Model]]), "")</f>
        <v>Tablet</v>
      </c>
      <c r="J435" s="151" t="b">
        <f xml:space="preserve"> _xlfn.IFNA(MATCH( ITSecondTable[[#This Row],[Tag]], StorageTable[Tag], 0)  &gt; -1, FALSE)</f>
        <v>1</v>
      </c>
      <c r="K435" s="168" t="b">
        <f>COUNTIFS(ITEquipmentTable[Serial], ITEquipmentTable[[#This Row],[Serial]], ITEquipmentTable[Serial], "&lt;&gt;N/A") &gt; 1</f>
        <v>0</v>
      </c>
      <c r="L435" s="168" t="b">
        <f>COUNTIFS(ITEquipmentTable[Name], ITEquipmentTable[[#This Row],[Name]], ITEquipmentTable[Name], "&lt;&gt;&lt;Unassigned&gt;",  ITEquipmentTable[Name], "&lt;&gt;N/A") &gt; 1</f>
        <v>0</v>
      </c>
      <c r="M435" s="168" t="b">
        <f>AND(COUNTIFS(ITEquipmentTable[IPv4 Address], ITEquipmentTable[[#This Row],[IPv4 Address]]) &gt; 1, ITEquipmentTable[[#This Row],[IPv4 Address]] &lt;&gt; "DHCP",  ITEquipmentTable[[#This Row],[IPv4 Address]] &lt;&gt; "N/A")</f>
        <v>0</v>
      </c>
    </row>
    <row r="436" spans="1:13" x14ac:dyDescent="0.2">
      <c r="A436" s="168">
        <f>IF(LEN(ITSecondTable[[#This Row],[Tag]]) &gt; 0, _xlfn.XLOOKUP(ITSecondTable[[#This Row],[Tag]],StorageTable[Tag], StorageTable[In Storage - Count Total], "Err", 0, 1), 0)</f>
        <v>0</v>
      </c>
      <c r="B436" s="1">
        <f>_xlfn.LET(_xlpm.loc, ITEquipmentTable[Storage Location],
COUNTIFS(ITSecondTable[Tag], ITSecondTable[[#This Row],[Tag]], _xlpm.loc, "&lt;&gt;In Use", _xlpm.loc, "&lt;&gt;",  _xlpm.loc, "&lt;&gt;E-Waste", _xlpm.loc, "&lt;&gt;Virtual",  _xlpm.loc, "&lt;&gt;Assigned to Employee", _xlpm.loc, "&lt;&gt;Decommisioned", _xlpm.loc, "&lt;&gt;Missing")
)</f>
        <v>0</v>
      </c>
      <c r="C436" s="1">
        <f>_xlfn.LET(_xlpm.loc, ITEquipmentTable[Storage Location],
COUNTIFS(ITSecondTable[Tag], ITSecondTable[[#This Row],[Tag]], _xlpm.loc, "&lt;&gt;E-Waste", _xlpm.loc, "&lt;&gt;Virtual", _xlpm.loc, "&lt;&gt;Decommisioned")
)</f>
        <v>21</v>
      </c>
      <c r="D436" s="168">
        <f>_xlfn.LET(_xlpm.loc, ITEquipmentTable[Storage Location],
COUNTIFS(ITSecondTable[Tag], ITSecondTable[[#This Row],[Tag]], _xlpm.loc, "Missing")
)</f>
        <v>0</v>
      </c>
      <c r="E436" s="168">
        <f>_xlfn.LET(_xlpm.loc, ITEquipmentTable[Storage Location],
COUNTIFS(ITSecondTable[Tag], ITSecondTable[[#This Row],[Tag]], _xlpm.loc, "In Use") + COUNTIFS(ITSecondTable[Tag], ITSecondTable[[#This Row],[Tag]], _xlpm.loc, "Assigned to Employee")
)</f>
        <v>3</v>
      </c>
      <c r="F436" s="168">
        <f>_xlfn.LET(_xlpm.loc, ITEquipmentTable[Storage Location],
COUNTIFS(ITSecondTable[Tag], ITSecondTable[[#This Row],[Tag]], _xlpm.loc, "")
)</f>
        <v>18</v>
      </c>
      <c r="G436" s="168">
        <f>MAX(ITSecondTable[[#This Row],[SQty]] - ITSecondTable[[#This Row],[IQty]], 0)</f>
        <v>0</v>
      </c>
      <c r="H436" s="168">
        <f>MAX(ITSecondTable[[#This Row],[IQty]]-ITSecondTable[[#This Row],[SQty]], 0)</f>
        <v>0</v>
      </c>
      <c r="I436" s="151" t="str">
        <f>IFERROR(_xlfn.TEXTJOIN("~", TRUE, ITEquipmentTable[[#This Row],[Type]],ITEquipmentTable[[#This Row],[Brand]],ITEquipmentTable[[#This Row],[Model]]), "")</f>
        <v/>
      </c>
      <c r="J436" s="151" t="b">
        <f xml:space="preserve"> _xlfn.IFNA(MATCH( ITSecondTable[[#This Row],[Tag]], StorageTable[Tag], 0)  &gt; -1, FALSE)</f>
        <v>0</v>
      </c>
      <c r="K436" s="168" t="b">
        <f>COUNTIFS(ITEquipmentTable[Serial], ITEquipmentTable[[#This Row],[Serial]], ITEquipmentTable[Serial], "&lt;&gt;N/A") &gt; 1</f>
        <v>0</v>
      </c>
      <c r="L436" s="168" t="b">
        <f>COUNTIFS(ITEquipmentTable[Name], ITEquipmentTable[[#This Row],[Name]], ITEquipmentTable[Name], "&lt;&gt;&lt;Unassigned&gt;",  ITEquipmentTable[Name], "&lt;&gt;N/A") &gt; 1</f>
        <v>0</v>
      </c>
      <c r="M436" s="168" t="b">
        <f>AND(COUNTIFS(ITEquipmentTable[IPv4 Address], ITEquipmentTable[[#This Row],[IPv4 Address]]) &gt; 1, ITEquipmentTable[[#This Row],[IPv4 Address]] &lt;&gt; "DHCP",  ITEquipmentTable[[#This Row],[IPv4 Address]] &lt;&gt; "N/A")</f>
        <v>0</v>
      </c>
    </row>
    <row r="437" spans="1:13" x14ac:dyDescent="0.2">
      <c r="A437" s="168">
        <f>IF(LEN(ITSecondTable[[#This Row],[Tag]]) &gt; 0, _xlfn.XLOOKUP(ITSecondTable[[#This Row],[Tag]],StorageTable[Tag], StorageTable[In Storage - Count Total], "Err", 0, 1), 0)</f>
        <v>6</v>
      </c>
      <c r="B437" s="1">
        <f>_xlfn.LET(_xlpm.loc, ITEquipmentTable[Storage Location],
COUNTIFS(ITSecondTable[Tag], ITSecondTable[[#This Row],[Tag]], _xlpm.loc, "&lt;&gt;In Use", _xlpm.loc, "&lt;&gt;",  _xlpm.loc, "&lt;&gt;E-Waste", _xlpm.loc, "&lt;&gt;Virtual",  _xlpm.loc, "&lt;&gt;Assigned to Employee", _xlpm.loc, "&lt;&gt;Decommisioned", _xlpm.loc, "&lt;&gt;Missing")
)</f>
        <v>17</v>
      </c>
      <c r="C437" s="1">
        <f>_xlfn.LET(_xlpm.loc, ITEquipmentTable[Storage Location],
COUNTIFS(ITSecondTable[Tag], ITSecondTable[[#This Row],[Tag]], _xlpm.loc, "&lt;&gt;E-Waste", _xlpm.loc, "&lt;&gt;Virtual", _xlpm.loc, "&lt;&gt;Decommisioned")
)</f>
        <v>64</v>
      </c>
      <c r="D437" s="168">
        <f>_xlfn.LET(_xlpm.loc, ITEquipmentTable[Storage Location],
COUNTIFS(ITSecondTable[Tag], ITSecondTable[[#This Row],[Tag]], _xlpm.loc, "Missing")
)</f>
        <v>0</v>
      </c>
      <c r="E437" s="168">
        <f>_xlfn.LET(_xlpm.loc, ITEquipmentTable[Storage Location],
COUNTIFS(ITSecondTable[Tag], ITSecondTable[[#This Row],[Tag]], _xlpm.loc, "In Use") + COUNTIFS(ITSecondTable[Tag], ITSecondTable[[#This Row],[Tag]], _xlpm.loc, "Assigned to Employee")
)</f>
        <v>30</v>
      </c>
      <c r="F437" s="168">
        <f>_xlfn.LET(_xlpm.loc, ITEquipmentTable[Storage Location],
COUNTIFS(ITSecondTable[Tag], ITSecondTable[[#This Row],[Tag]], _xlpm.loc, "")
)</f>
        <v>17</v>
      </c>
      <c r="G437" s="168">
        <f>MAX(ITSecondTable[[#This Row],[SQty]] - ITSecondTable[[#This Row],[IQty]], 0)</f>
        <v>11</v>
      </c>
      <c r="H437" s="168">
        <f>MAX(ITSecondTable[[#This Row],[IQty]]-ITSecondTable[[#This Row],[SQty]], 0)</f>
        <v>0</v>
      </c>
      <c r="I437" s="151" t="str">
        <f>IFERROR(_xlfn.TEXTJOIN("~", TRUE, ITEquipmentTable[[#This Row],[Type]],ITEquipmentTable[[#This Row],[Brand]],ITEquipmentTable[[#This Row],[Model]]), "")</f>
        <v>Desktop~Dell~OptiPlex 3040</v>
      </c>
      <c r="J437" s="151" t="b">
        <f xml:space="preserve"> _xlfn.IFNA(MATCH( ITSecondTable[[#This Row],[Tag]], StorageTable[Tag], 0)  &gt; -1, FALSE)</f>
        <v>0</v>
      </c>
      <c r="K437" s="168" t="b">
        <f>COUNTIFS(ITEquipmentTable[Serial], ITEquipmentTable[[#This Row],[Serial]], ITEquipmentTable[Serial], "&lt;&gt;N/A") &gt; 1</f>
        <v>0</v>
      </c>
      <c r="L437" s="168" t="b">
        <f>COUNTIFS(ITEquipmentTable[Name], ITEquipmentTable[[#This Row],[Name]], ITEquipmentTable[Name], "&lt;&gt;&lt;Unassigned&gt;",  ITEquipmentTable[Name], "&lt;&gt;N/A") &gt; 1</f>
        <v>0</v>
      </c>
      <c r="M437" s="168" t="b">
        <f>AND(COUNTIFS(ITEquipmentTable[IPv4 Address], ITEquipmentTable[[#This Row],[IPv4 Address]]) &gt; 1, ITEquipmentTable[[#This Row],[IPv4 Address]] &lt;&gt; "DHCP",  ITEquipmentTable[[#This Row],[IPv4 Address]] &lt;&gt; "N/A")</f>
        <v>0</v>
      </c>
    </row>
    <row r="438" spans="1:13" x14ac:dyDescent="0.2">
      <c r="A438" s="168">
        <f>IF(LEN(ITSecondTable[[#This Row],[Tag]]) &gt; 0, _xlfn.XLOOKUP(ITSecondTable[[#This Row],[Tag]],StorageTable[Tag], StorageTable[In Storage - Count Total], "Err", 0, 1), 0)</f>
        <v>0</v>
      </c>
      <c r="B438" s="1">
        <f>_xlfn.LET(_xlpm.loc, ITEquipmentTable[Storage Location],
COUNTIFS(ITSecondTable[Tag], ITSecondTable[[#This Row],[Tag]], _xlpm.loc, "&lt;&gt;In Use", _xlpm.loc, "&lt;&gt;",  _xlpm.loc, "&lt;&gt;E-Waste", _xlpm.loc, "&lt;&gt;Virtual",  _xlpm.loc, "&lt;&gt;Assigned to Employee", _xlpm.loc, "&lt;&gt;Decommisioned", _xlpm.loc, "&lt;&gt;Missing")
)</f>
        <v>1</v>
      </c>
      <c r="C438" s="1">
        <f>_xlfn.LET(_xlpm.loc, ITEquipmentTable[Storage Location],
COUNTIFS(ITSecondTable[Tag], ITSecondTable[[#This Row],[Tag]], _xlpm.loc, "&lt;&gt;E-Waste", _xlpm.loc, "&lt;&gt;Virtual", _xlpm.loc, "&lt;&gt;Decommisioned")
)</f>
        <v>2</v>
      </c>
      <c r="D438" s="168">
        <f>_xlfn.LET(_xlpm.loc, ITEquipmentTable[Storage Location],
COUNTIFS(ITSecondTable[Tag], ITSecondTable[[#This Row],[Tag]], _xlpm.loc, "Missing")
)</f>
        <v>0</v>
      </c>
      <c r="E438" s="168">
        <f>_xlfn.LET(_xlpm.loc, ITEquipmentTable[Storage Location],
COUNTIFS(ITSecondTable[Tag], ITSecondTable[[#This Row],[Tag]], _xlpm.loc, "In Use") + COUNTIFS(ITSecondTable[Tag], ITSecondTable[[#This Row],[Tag]], _xlpm.loc, "Assigned to Employee")
)</f>
        <v>1</v>
      </c>
      <c r="F438" s="168">
        <f>_xlfn.LET(_xlpm.loc, ITEquipmentTable[Storage Location],
COUNTIFS(ITSecondTable[Tag], ITSecondTable[[#This Row],[Tag]], _xlpm.loc, "")
)</f>
        <v>0</v>
      </c>
      <c r="G438" s="168">
        <f>MAX(ITSecondTable[[#This Row],[SQty]] - ITSecondTable[[#This Row],[IQty]], 0)</f>
        <v>1</v>
      </c>
      <c r="H438" s="168">
        <f>MAX(ITSecondTable[[#This Row],[IQty]]-ITSecondTable[[#This Row],[SQty]], 0)</f>
        <v>0</v>
      </c>
      <c r="I438" s="151" t="str">
        <f>IFERROR(_xlfn.TEXTJOIN("~", TRUE, ITEquipmentTable[[#This Row],[Type]],ITEquipmentTable[[#This Row],[Brand]],ITEquipmentTable[[#This Row],[Model]]), "")</f>
        <v>Desktop~Dell~OptiPlex 3070</v>
      </c>
      <c r="J438" s="151" t="b">
        <f xml:space="preserve"> _xlfn.IFNA(MATCH( ITSecondTable[[#This Row],[Tag]], StorageTable[Tag], 0)  &gt; -1, FALSE)</f>
        <v>0</v>
      </c>
      <c r="K438" s="168" t="b">
        <f>COUNTIFS(ITEquipmentTable[Serial], ITEquipmentTable[[#This Row],[Serial]], ITEquipmentTable[Serial], "&lt;&gt;N/A") &gt; 1</f>
        <v>0</v>
      </c>
      <c r="L438" s="168" t="b">
        <f>COUNTIFS(ITEquipmentTable[Name], ITEquipmentTable[[#This Row],[Name]], ITEquipmentTable[Name], "&lt;&gt;&lt;Unassigned&gt;",  ITEquipmentTable[Name], "&lt;&gt;N/A") &gt; 1</f>
        <v>0</v>
      </c>
      <c r="M438" s="168" t="b">
        <f>AND(COUNTIFS(ITEquipmentTable[IPv4 Address], ITEquipmentTable[[#This Row],[IPv4 Address]]) &gt; 1, ITEquipmentTable[[#This Row],[IPv4 Address]] &lt;&gt; "DHCP",  ITEquipmentTable[[#This Row],[IPv4 Address]] &lt;&gt; "N/A")</f>
        <v>0</v>
      </c>
    </row>
    <row r="439" spans="1:13" x14ac:dyDescent="0.2">
      <c r="A439" s="168">
        <f>IF(LEN(ITSecondTable[[#This Row],[Tag]]) &gt; 0, _xlfn.XLOOKUP(ITSecondTable[[#This Row],[Tag]],StorageTable[Tag], StorageTable[In Storage - Count Total], "Err", 0, 1), 0)</f>
        <v>10</v>
      </c>
      <c r="B439" s="1">
        <f>_xlfn.LET(_xlpm.loc, ITEquipmentTable[Storage Location],
COUNTIFS(ITSecondTable[Tag], ITSecondTable[[#This Row],[Tag]], _xlpm.loc, "&lt;&gt;In Use", _xlpm.loc, "&lt;&gt;",  _xlpm.loc, "&lt;&gt;E-Waste", _xlpm.loc, "&lt;&gt;Virtual",  _xlpm.loc, "&lt;&gt;Assigned to Employee", _xlpm.loc, "&lt;&gt;Decommisioned", _xlpm.loc, "&lt;&gt;Missing")
)</f>
        <v>16</v>
      </c>
      <c r="C439" s="1">
        <f>_xlfn.LET(_xlpm.loc, ITEquipmentTable[Storage Location],
COUNTIFS(ITSecondTable[Tag], ITSecondTable[[#This Row],[Tag]], _xlpm.loc, "&lt;&gt;E-Waste", _xlpm.loc, "&lt;&gt;Virtual", _xlpm.loc, "&lt;&gt;Decommisioned")
)</f>
        <v>48</v>
      </c>
      <c r="D439" s="168">
        <f>_xlfn.LET(_xlpm.loc, ITEquipmentTable[Storage Location],
COUNTIFS(ITSecondTable[Tag], ITSecondTable[[#This Row],[Tag]], _xlpm.loc, "Missing")
)</f>
        <v>0</v>
      </c>
      <c r="E439" s="168">
        <f>_xlfn.LET(_xlpm.loc, ITEquipmentTable[Storage Location],
COUNTIFS(ITSecondTable[Tag], ITSecondTable[[#This Row],[Tag]], _xlpm.loc, "In Use") + COUNTIFS(ITSecondTable[Tag], ITSecondTable[[#This Row],[Tag]], _xlpm.loc, "Assigned to Employee")
)</f>
        <v>29</v>
      </c>
      <c r="F439" s="168">
        <f>_xlfn.LET(_xlpm.loc, ITEquipmentTable[Storage Location],
COUNTIFS(ITSecondTable[Tag], ITSecondTable[[#This Row],[Tag]], _xlpm.loc, "")
)</f>
        <v>3</v>
      </c>
      <c r="G439" s="168">
        <f>MAX(ITSecondTable[[#This Row],[SQty]] - ITSecondTable[[#This Row],[IQty]], 0)</f>
        <v>6</v>
      </c>
      <c r="H439" s="168">
        <f>MAX(ITSecondTable[[#This Row],[IQty]]-ITSecondTable[[#This Row],[SQty]], 0)</f>
        <v>0</v>
      </c>
      <c r="I439" s="151" t="str">
        <f>IFERROR(_xlfn.TEXTJOIN("~", TRUE, ITEquipmentTable[[#This Row],[Type]],ITEquipmentTable[[#This Row],[Brand]],ITEquipmentTable[[#This Row],[Model]]), "")</f>
        <v>Desktop~HP~HP ProDesk 600 G5 DM</v>
      </c>
      <c r="J439" s="151" t="b">
        <f xml:space="preserve"> _xlfn.IFNA(MATCH( ITSecondTable[[#This Row],[Tag]], StorageTable[Tag], 0)  &gt; -1, FALSE)</f>
        <v>0</v>
      </c>
      <c r="K439" s="168" t="b">
        <f>COUNTIFS(ITEquipmentTable[Serial], ITEquipmentTable[[#This Row],[Serial]], ITEquipmentTable[Serial], "&lt;&gt;N/A") &gt; 1</f>
        <v>0</v>
      </c>
      <c r="L439" s="168" t="b">
        <f>COUNTIFS(ITEquipmentTable[Name], ITEquipmentTable[[#This Row],[Name]], ITEquipmentTable[Name], "&lt;&gt;&lt;Unassigned&gt;",  ITEquipmentTable[Name], "&lt;&gt;N/A") &gt; 1</f>
        <v>0</v>
      </c>
      <c r="M439" s="168" t="b">
        <f>AND(COUNTIFS(ITEquipmentTable[IPv4 Address], ITEquipmentTable[[#This Row],[IPv4 Address]]) &gt; 1, ITEquipmentTable[[#This Row],[IPv4 Address]] &lt;&gt; "DHCP",  ITEquipmentTable[[#This Row],[IPv4 Address]] &lt;&gt; "N/A")</f>
        <v>0</v>
      </c>
    </row>
    <row r="440" spans="1:13" x14ac:dyDescent="0.2">
      <c r="A440" s="168">
        <f>IF(LEN(ITSecondTable[[#This Row],[Tag]]) &gt; 0, _xlfn.XLOOKUP(ITSecondTable[[#This Row],[Tag]],StorageTable[Tag], StorageTable[In Storage - Count Total], "Err", 0, 1), 0)</f>
        <v>2</v>
      </c>
      <c r="B440" s="1">
        <f>_xlfn.LET(_xlpm.loc, ITEquipmentTable[Storage Location],
COUNTIFS(ITSecondTable[Tag], ITSecondTable[[#This Row],[Tag]], _xlpm.loc, "&lt;&gt;In Use", _xlpm.loc, "&lt;&gt;",  _xlpm.loc, "&lt;&gt;E-Waste", _xlpm.loc, "&lt;&gt;Virtual",  _xlpm.loc, "&lt;&gt;Assigned to Employee", _xlpm.loc, "&lt;&gt;Decommisioned", _xlpm.loc, "&lt;&gt;Missing")
)</f>
        <v>2</v>
      </c>
      <c r="C440" s="1">
        <f>_xlfn.LET(_xlpm.loc, ITEquipmentTable[Storage Location],
COUNTIFS(ITSecondTable[Tag], ITSecondTable[[#This Row],[Tag]], _xlpm.loc, "&lt;&gt;E-Waste", _xlpm.loc, "&lt;&gt;Virtual", _xlpm.loc, "&lt;&gt;Decommisioned")
)</f>
        <v>12</v>
      </c>
      <c r="D440" s="168">
        <f>_xlfn.LET(_xlpm.loc, ITEquipmentTable[Storage Location],
COUNTIFS(ITSecondTable[Tag], ITSecondTable[[#This Row],[Tag]], _xlpm.loc, "Missing")
)</f>
        <v>0</v>
      </c>
      <c r="E440" s="168">
        <f>_xlfn.LET(_xlpm.loc, ITEquipmentTable[Storage Location],
COUNTIFS(ITSecondTable[Tag], ITSecondTable[[#This Row],[Tag]], _xlpm.loc, "In Use") + COUNTIFS(ITSecondTable[Tag], ITSecondTable[[#This Row],[Tag]], _xlpm.loc, "Assigned to Employee")
)</f>
        <v>3</v>
      </c>
      <c r="F440" s="168">
        <f>_xlfn.LET(_xlpm.loc, ITEquipmentTable[Storage Location],
COUNTIFS(ITSecondTable[Tag], ITSecondTable[[#This Row],[Tag]], _xlpm.loc, "")
)</f>
        <v>7</v>
      </c>
      <c r="G440" s="168">
        <f>MAX(ITSecondTable[[#This Row],[SQty]] - ITSecondTable[[#This Row],[IQty]], 0)</f>
        <v>0</v>
      </c>
      <c r="H440" s="168">
        <f>MAX(ITSecondTable[[#This Row],[IQty]]-ITSecondTable[[#This Row],[SQty]], 0)</f>
        <v>0</v>
      </c>
      <c r="I440" s="151" t="str">
        <f>IFERROR(_xlfn.TEXTJOIN("~", TRUE, ITEquipmentTable[[#This Row],[Type]],ITEquipmentTable[[#This Row],[Brand]],ITEquipmentTable[[#This Row],[Model]]), "")</f>
        <v>Radio~Motorola~SL300</v>
      </c>
      <c r="J440" s="151" t="b">
        <f xml:space="preserve"> _xlfn.IFNA(MATCH( ITSecondTable[[#This Row],[Tag]], StorageTable[Tag], 0)  &gt; -1, FALSE)</f>
        <v>0</v>
      </c>
      <c r="K440" s="168" t="b">
        <f>COUNTIFS(ITEquipmentTable[Serial], ITEquipmentTable[[#This Row],[Serial]], ITEquipmentTable[Serial], "&lt;&gt;N/A") &gt; 1</f>
        <v>0</v>
      </c>
      <c r="L440" s="168" t="b">
        <f>COUNTIFS(ITEquipmentTable[Name], ITEquipmentTable[[#This Row],[Name]], ITEquipmentTable[Name], "&lt;&gt;&lt;Unassigned&gt;",  ITEquipmentTable[Name], "&lt;&gt;N/A") &gt; 1</f>
        <v>0</v>
      </c>
      <c r="M440" s="168" t="b">
        <f>AND(COUNTIFS(ITEquipmentTable[IPv4 Address], ITEquipmentTable[[#This Row],[IPv4 Address]]) &gt; 1, ITEquipmentTable[[#This Row],[IPv4 Address]] &lt;&gt; "DHCP",  ITEquipmentTable[[#This Row],[IPv4 Address]] &lt;&gt; "N/A")</f>
        <v>0</v>
      </c>
    </row>
    <row r="441" spans="1:13" x14ac:dyDescent="0.2">
      <c r="A441" s="168">
        <f>IF(LEN(ITSecondTable[[#This Row],[Tag]]) &gt; 0, _xlfn.XLOOKUP(ITSecondTable[[#This Row],[Tag]],StorageTable[Tag], StorageTable[In Storage - Count Total], "Err", 0, 1), 0)</f>
        <v>2</v>
      </c>
      <c r="B441" s="1">
        <f>_xlfn.LET(_xlpm.loc, ITEquipmentTable[Storage Location],
COUNTIFS(ITSecondTable[Tag], ITSecondTable[[#This Row],[Tag]], _xlpm.loc, "&lt;&gt;In Use", _xlpm.loc, "&lt;&gt;",  _xlpm.loc, "&lt;&gt;E-Waste", _xlpm.loc, "&lt;&gt;Virtual",  _xlpm.loc, "&lt;&gt;Assigned to Employee", _xlpm.loc, "&lt;&gt;Decommisioned", _xlpm.loc, "&lt;&gt;Missing")
)</f>
        <v>2</v>
      </c>
      <c r="C441" s="1">
        <f>_xlfn.LET(_xlpm.loc, ITEquipmentTable[Storage Location],
COUNTIFS(ITSecondTable[Tag], ITSecondTable[[#This Row],[Tag]], _xlpm.loc, "&lt;&gt;E-Waste", _xlpm.loc, "&lt;&gt;Virtual", _xlpm.loc, "&lt;&gt;Decommisioned")
)</f>
        <v>12</v>
      </c>
      <c r="D441" s="168">
        <f>_xlfn.LET(_xlpm.loc, ITEquipmentTable[Storage Location],
COUNTIFS(ITSecondTable[Tag], ITSecondTable[[#This Row],[Tag]], _xlpm.loc, "Missing")
)</f>
        <v>0</v>
      </c>
      <c r="E441" s="168">
        <f>_xlfn.LET(_xlpm.loc, ITEquipmentTable[Storage Location],
COUNTIFS(ITSecondTable[Tag], ITSecondTable[[#This Row],[Tag]], _xlpm.loc, "In Use") + COUNTIFS(ITSecondTable[Tag], ITSecondTable[[#This Row],[Tag]], _xlpm.loc, "Assigned to Employee")
)</f>
        <v>3</v>
      </c>
      <c r="F441" s="168">
        <f>_xlfn.LET(_xlpm.loc, ITEquipmentTable[Storage Location],
COUNTIFS(ITSecondTable[Tag], ITSecondTable[[#This Row],[Tag]], _xlpm.loc, "")
)</f>
        <v>7</v>
      </c>
      <c r="G441" s="168">
        <f>MAX(ITSecondTable[[#This Row],[SQty]] - ITSecondTable[[#This Row],[IQty]], 0)</f>
        <v>0</v>
      </c>
      <c r="H441" s="168">
        <f>MAX(ITSecondTable[[#This Row],[IQty]]-ITSecondTable[[#This Row],[SQty]], 0)</f>
        <v>0</v>
      </c>
      <c r="I441" s="151" t="str">
        <f>IFERROR(_xlfn.TEXTJOIN("~", TRUE, ITEquipmentTable[[#This Row],[Type]],ITEquipmentTable[[#This Row],[Brand]],ITEquipmentTable[[#This Row],[Model]]), "")</f>
        <v>Radio~Motorola~SL300</v>
      </c>
      <c r="J441" s="151" t="b">
        <f xml:space="preserve"> _xlfn.IFNA(MATCH( ITSecondTable[[#This Row],[Tag]], StorageTable[Tag], 0)  &gt; -1, FALSE)</f>
        <v>0</v>
      </c>
      <c r="K441" s="168" t="b">
        <f>COUNTIFS(ITEquipmentTable[Serial], ITEquipmentTable[[#This Row],[Serial]], ITEquipmentTable[Serial], "&lt;&gt;N/A") &gt; 1</f>
        <v>0</v>
      </c>
      <c r="L441" s="168" t="b">
        <f>COUNTIFS(ITEquipmentTable[Name], ITEquipmentTable[[#This Row],[Name]], ITEquipmentTable[Name], "&lt;&gt;&lt;Unassigned&gt;",  ITEquipmentTable[Name], "&lt;&gt;N/A") &gt; 1</f>
        <v>0</v>
      </c>
      <c r="M441" s="168" t="b">
        <f>AND(COUNTIFS(ITEquipmentTable[IPv4 Address], ITEquipmentTable[[#This Row],[IPv4 Address]]) &gt; 1, ITEquipmentTable[[#This Row],[IPv4 Address]] &lt;&gt; "DHCP",  ITEquipmentTable[[#This Row],[IPv4 Address]] &lt;&gt; "N/A")</f>
        <v>0</v>
      </c>
    </row>
    <row r="442" spans="1:13" x14ac:dyDescent="0.2">
      <c r="A442" s="168">
        <f>IF(LEN(ITSecondTable[[#This Row],[Tag]]) &gt; 0, _xlfn.XLOOKUP(ITSecondTable[[#This Row],[Tag]],StorageTable[Tag], StorageTable[In Storage - Count Total], "Err", 0, 1), 0)</f>
        <v>2</v>
      </c>
      <c r="B442" s="1">
        <f>_xlfn.LET(_xlpm.loc, ITEquipmentTable[Storage Location],
COUNTIFS(ITSecondTable[Tag], ITSecondTable[[#This Row],[Tag]], _xlpm.loc, "&lt;&gt;In Use", _xlpm.loc, "&lt;&gt;",  _xlpm.loc, "&lt;&gt;E-Waste", _xlpm.loc, "&lt;&gt;Virtual",  _xlpm.loc, "&lt;&gt;Assigned to Employee", _xlpm.loc, "&lt;&gt;Decommisioned", _xlpm.loc, "&lt;&gt;Missing")
)</f>
        <v>2</v>
      </c>
      <c r="C442" s="1">
        <f>_xlfn.LET(_xlpm.loc, ITEquipmentTable[Storage Location],
COUNTIFS(ITSecondTable[Tag], ITSecondTable[[#This Row],[Tag]], _xlpm.loc, "&lt;&gt;E-Waste", _xlpm.loc, "&lt;&gt;Virtual", _xlpm.loc, "&lt;&gt;Decommisioned")
)</f>
        <v>12</v>
      </c>
      <c r="D442" s="168">
        <f>_xlfn.LET(_xlpm.loc, ITEquipmentTable[Storage Location],
COUNTIFS(ITSecondTable[Tag], ITSecondTable[[#This Row],[Tag]], _xlpm.loc, "Missing")
)</f>
        <v>0</v>
      </c>
      <c r="E442" s="168">
        <f>_xlfn.LET(_xlpm.loc, ITEquipmentTable[Storage Location],
COUNTIFS(ITSecondTable[Tag], ITSecondTable[[#This Row],[Tag]], _xlpm.loc, "In Use") + COUNTIFS(ITSecondTable[Tag], ITSecondTable[[#This Row],[Tag]], _xlpm.loc, "Assigned to Employee")
)</f>
        <v>3</v>
      </c>
      <c r="F442" s="168">
        <f>_xlfn.LET(_xlpm.loc, ITEquipmentTable[Storage Location],
COUNTIFS(ITSecondTable[Tag], ITSecondTable[[#This Row],[Tag]], _xlpm.loc, "")
)</f>
        <v>7</v>
      </c>
      <c r="G442" s="168">
        <f>MAX(ITSecondTable[[#This Row],[SQty]] - ITSecondTable[[#This Row],[IQty]], 0)</f>
        <v>0</v>
      </c>
      <c r="H442" s="168">
        <f>MAX(ITSecondTable[[#This Row],[IQty]]-ITSecondTable[[#This Row],[SQty]], 0)</f>
        <v>0</v>
      </c>
      <c r="I442" s="151" t="str">
        <f>IFERROR(_xlfn.TEXTJOIN("~", TRUE, ITEquipmentTable[[#This Row],[Type]],ITEquipmentTable[[#This Row],[Brand]],ITEquipmentTable[[#This Row],[Model]]), "")</f>
        <v>Radio~Motorola~SL300</v>
      </c>
      <c r="J442" s="151" t="b">
        <f xml:space="preserve"> _xlfn.IFNA(MATCH( ITSecondTable[[#This Row],[Tag]], StorageTable[Tag], 0)  &gt; -1, FALSE)</f>
        <v>0</v>
      </c>
      <c r="K442" s="168" t="b">
        <f>COUNTIFS(ITEquipmentTable[Serial], ITEquipmentTable[[#This Row],[Serial]], ITEquipmentTable[Serial], "&lt;&gt;N/A") &gt; 1</f>
        <v>0</v>
      </c>
      <c r="L442" s="168" t="b">
        <f>COUNTIFS(ITEquipmentTable[Name], ITEquipmentTable[[#This Row],[Name]], ITEquipmentTable[Name], "&lt;&gt;&lt;Unassigned&gt;",  ITEquipmentTable[Name], "&lt;&gt;N/A") &gt; 1</f>
        <v>0</v>
      </c>
      <c r="M442" s="168" t="b">
        <f>AND(COUNTIFS(ITEquipmentTable[IPv4 Address], ITEquipmentTable[[#This Row],[IPv4 Address]]) &gt; 1, ITEquipmentTable[[#This Row],[IPv4 Address]] &lt;&gt; "DHCP",  ITEquipmentTable[[#This Row],[IPv4 Address]] &lt;&gt; "N/A")</f>
        <v>0</v>
      </c>
    </row>
    <row r="443" spans="1:13" x14ac:dyDescent="0.2">
      <c r="A443" s="168">
        <f>IF(LEN(ITSecondTable[[#This Row],[Tag]]) &gt; 0, _xlfn.XLOOKUP(ITSecondTable[[#This Row],[Tag]],StorageTable[Tag], StorageTable[In Storage - Count Total], "Err", 0, 1), 0)</f>
        <v>18</v>
      </c>
      <c r="B443" s="1">
        <f>_xlfn.LET(_xlpm.loc, ITEquipmentTable[Storage Location],
COUNTIFS(ITSecondTable[Tag], ITSecondTable[[#This Row],[Tag]], _xlpm.loc, "&lt;&gt;In Use", _xlpm.loc, "&lt;&gt;",  _xlpm.loc, "&lt;&gt;E-Waste", _xlpm.loc, "&lt;&gt;Virtual",  _xlpm.loc, "&lt;&gt;Assigned to Employee", _xlpm.loc, "&lt;&gt;Decommisioned", _xlpm.loc, "&lt;&gt;Missing")
)</f>
        <v>11</v>
      </c>
      <c r="C443" s="1">
        <f>_xlfn.LET(_xlpm.loc, ITEquipmentTable[Storage Location],
COUNTIFS(ITSecondTable[Tag], ITSecondTable[[#This Row],[Tag]], _xlpm.loc, "&lt;&gt;E-Waste", _xlpm.loc, "&lt;&gt;Virtual", _xlpm.loc, "&lt;&gt;Decommisioned")
)</f>
        <v>38</v>
      </c>
      <c r="D443" s="168">
        <f>_xlfn.LET(_xlpm.loc, ITEquipmentTable[Storage Location],
COUNTIFS(ITSecondTable[Tag], ITSecondTable[[#This Row],[Tag]], _xlpm.loc, "Missing")
)</f>
        <v>0</v>
      </c>
      <c r="E443" s="168">
        <f>_xlfn.LET(_xlpm.loc, ITEquipmentTable[Storage Location],
COUNTIFS(ITSecondTable[Tag], ITSecondTable[[#This Row],[Tag]], _xlpm.loc, "In Use") + COUNTIFS(ITSecondTable[Tag], ITSecondTable[[#This Row],[Tag]], _xlpm.loc, "Assigned to Employee")
)</f>
        <v>13</v>
      </c>
      <c r="F443" s="168">
        <f>_xlfn.LET(_xlpm.loc, ITEquipmentTable[Storage Location],
COUNTIFS(ITSecondTable[Tag], ITSecondTable[[#This Row],[Tag]], _xlpm.loc, "")
)</f>
        <v>14</v>
      </c>
      <c r="G443" s="168">
        <f>MAX(ITSecondTable[[#This Row],[SQty]] - ITSecondTable[[#This Row],[IQty]], 0)</f>
        <v>0</v>
      </c>
      <c r="H443" s="168">
        <f>MAX(ITSecondTable[[#This Row],[IQty]]-ITSecondTable[[#This Row],[SQty]], 0)</f>
        <v>7</v>
      </c>
      <c r="I443" s="151" t="str">
        <f>IFERROR(_xlfn.TEXTJOIN("~", TRUE, ITEquipmentTable[[#This Row],[Type]],ITEquipmentTable[[#This Row],[Brand]],ITEquipmentTable[[#This Row],[Model]]), "")</f>
        <v>Scanner~Honeywell~1911i</v>
      </c>
      <c r="J443" s="151" t="b">
        <f xml:space="preserve"> _xlfn.IFNA(MATCH( ITSecondTable[[#This Row],[Tag]], StorageTable[Tag], 0)  &gt; -1, FALSE)</f>
        <v>0</v>
      </c>
      <c r="K443" s="168" t="b">
        <f>COUNTIFS(ITEquipmentTable[Serial], ITEquipmentTable[[#This Row],[Serial]], ITEquipmentTable[Serial], "&lt;&gt;N/A") &gt; 1</f>
        <v>0</v>
      </c>
      <c r="L443" s="168" t="b">
        <f>COUNTIFS(ITEquipmentTable[Name], ITEquipmentTable[[#This Row],[Name]], ITEquipmentTable[Name], "&lt;&gt;&lt;Unassigned&gt;",  ITEquipmentTable[Name], "&lt;&gt;N/A") &gt; 1</f>
        <v>0</v>
      </c>
      <c r="M443" s="168" t="b">
        <f>AND(COUNTIFS(ITEquipmentTable[IPv4 Address], ITEquipmentTable[[#This Row],[IPv4 Address]]) &gt; 1, ITEquipmentTable[[#This Row],[IPv4 Address]] &lt;&gt; "DHCP",  ITEquipmentTable[[#This Row],[IPv4 Address]] &lt;&gt; "N/A")</f>
        <v>0</v>
      </c>
    </row>
    <row r="444" spans="1:13" x14ac:dyDescent="0.2">
      <c r="A444" s="168">
        <f>IF(LEN(ITSecondTable[[#This Row],[Tag]]) &gt; 0, _xlfn.XLOOKUP(ITSecondTable[[#This Row],[Tag]],StorageTable[Tag], StorageTable[In Storage - Count Total], "Err", 0, 1), 0)</f>
        <v>18</v>
      </c>
      <c r="B444" s="1">
        <f>_xlfn.LET(_xlpm.loc, ITEquipmentTable[Storage Location],
COUNTIFS(ITSecondTable[Tag], ITSecondTable[[#This Row],[Tag]], _xlpm.loc, "&lt;&gt;In Use", _xlpm.loc, "&lt;&gt;",  _xlpm.loc, "&lt;&gt;E-Waste", _xlpm.loc, "&lt;&gt;Virtual",  _xlpm.loc, "&lt;&gt;Assigned to Employee", _xlpm.loc, "&lt;&gt;Decommisioned", _xlpm.loc, "&lt;&gt;Missing")
)</f>
        <v>11</v>
      </c>
      <c r="C444" s="1">
        <f>_xlfn.LET(_xlpm.loc, ITEquipmentTable[Storage Location],
COUNTIFS(ITSecondTable[Tag], ITSecondTable[[#This Row],[Tag]], _xlpm.loc, "&lt;&gt;E-Waste", _xlpm.loc, "&lt;&gt;Virtual", _xlpm.loc, "&lt;&gt;Decommisioned")
)</f>
        <v>38</v>
      </c>
      <c r="D444" s="168">
        <f>_xlfn.LET(_xlpm.loc, ITEquipmentTable[Storage Location],
COUNTIFS(ITSecondTable[Tag], ITSecondTable[[#This Row],[Tag]], _xlpm.loc, "Missing")
)</f>
        <v>0</v>
      </c>
      <c r="E444" s="168">
        <f>_xlfn.LET(_xlpm.loc, ITEquipmentTable[Storage Location],
COUNTIFS(ITSecondTable[Tag], ITSecondTable[[#This Row],[Tag]], _xlpm.loc, "In Use") + COUNTIFS(ITSecondTable[Tag], ITSecondTable[[#This Row],[Tag]], _xlpm.loc, "Assigned to Employee")
)</f>
        <v>13</v>
      </c>
      <c r="F444" s="168">
        <f>_xlfn.LET(_xlpm.loc, ITEquipmentTable[Storage Location],
COUNTIFS(ITSecondTable[Tag], ITSecondTable[[#This Row],[Tag]], _xlpm.loc, "")
)</f>
        <v>14</v>
      </c>
      <c r="G444" s="168">
        <f>MAX(ITSecondTable[[#This Row],[SQty]] - ITSecondTable[[#This Row],[IQty]], 0)</f>
        <v>0</v>
      </c>
      <c r="H444" s="168">
        <f>MAX(ITSecondTable[[#This Row],[IQty]]-ITSecondTable[[#This Row],[SQty]], 0)</f>
        <v>7</v>
      </c>
      <c r="I444" s="151" t="str">
        <f>IFERROR(_xlfn.TEXTJOIN("~", TRUE, ITEquipmentTable[[#This Row],[Type]],ITEquipmentTable[[#This Row],[Brand]],ITEquipmentTable[[#This Row],[Model]]), "")</f>
        <v>Scanner~Honeywell~1911i</v>
      </c>
      <c r="J444" s="151" t="b">
        <f xml:space="preserve"> _xlfn.IFNA(MATCH( ITSecondTable[[#This Row],[Tag]], StorageTable[Tag], 0)  &gt; -1, FALSE)</f>
        <v>0</v>
      </c>
      <c r="K444" s="168" t="b">
        <f>COUNTIFS(ITEquipmentTable[Serial], ITEquipmentTable[[#This Row],[Serial]], ITEquipmentTable[Serial], "&lt;&gt;N/A") &gt; 1</f>
        <v>0</v>
      </c>
      <c r="L444" s="168" t="b">
        <f>COUNTIFS(ITEquipmentTable[Name], ITEquipmentTable[[#This Row],[Name]], ITEquipmentTable[Name], "&lt;&gt;&lt;Unassigned&gt;",  ITEquipmentTable[Name], "&lt;&gt;N/A") &gt; 1</f>
        <v>0</v>
      </c>
      <c r="M444" s="168" t="b">
        <f>AND(COUNTIFS(ITEquipmentTable[IPv4 Address], ITEquipmentTable[[#This Row],[IPv4 Address]]) &gt; 1, ITEquipmentTable[[#This Row],[IPv4 Address]] &lt;&gt; "DHCP",  ITEquipmentTable[[#This Row],[IPv4 Address]] &lt;&gt; "N/A")</f>
        <v>0</v>
      </c>
    </row>
    <row r="445" spans="1:13" x14ac:dyDescent="0.2">
      <c r="A445" s="168">
        <f>IF(LEN(ITSecondTable[[#This Row],[Tag]]) &gt; 0, _xlfn.XLOOKUP(ITSecondTable[[#This Row],[Tag]],StorageTable[Tag], StorageTable[In Storage - Count Total], "Err", 0, 1), 0)</f>
        <v>18</v>
      </c>
      <c r="B445" s="1">
        <f>_xlfn.LET(_xlpm.loc, ITEquipmentTable[Storage Location],
COUNTIFS(ITSecondTable[Tag], ITSecondTable[[#This Row],[Tag]], _xlpm.loc, "&lt;&gt;In Use", _xlpm.loc, "&lt;&gt;",  _xlpm.loc, "&lt;&gt;E-Waste", _xlpm.loc, "&lt;&gt;Virtual",  _xlpm.loc, "&lt;&gt;Assigned to Employee", _xlpm.loc, "&lt;&gt;Decommisioned", _xlpm.loc, "&lt;&gt;Missing")
)</f>
        <v>11</v>
      </c>
      <c r="C445" s="1">
        <f>_xlfn.LET(_xlpm.loc, ITEquipmentTable[Storage Location],
COUNTIFS(ITSecondTable[Tag], ITSecondTable[[#This Row],[Tag]], _xlpm.loc, "&lt;&gt;E-Waste", _xlpm.loc, "&lt;&gt;Virtual", _xlpm.loc, "&lt;&gt;Decommisioned")
)</f>
        <v>38</v>
      </c>
      <c r="D445" s="168">
        <f>_xlfn.LET(_xlpm.loc, ITEquipmentTable[Storage Location],
COUNTIFS(ITSecondTable[Tag], ITSecondTable[[#This Row],[Tag]], _xlpm.loc, "Missing")
)</f>
        <v>0</v>
      </c>
      <c r="E445" s="168">
        <f>_xlfn.LET(_xlpm.loc, ITEquipmentTable[Storage Location],
COUNTIFS(ITSecondTable[Tag], ITSecondTable[[#This Row],[Tag]], _xlpm.loc, "In Use") + COUNTIFS(ITSecondTable[Tag], ITSecondTable[[#This Row],[Tag]], _xlpm.loc, "Assigned to Employee")
)</f>
        <v>13</v>
      </c>
      <c r="F445" s="168">
        <f>_xlfn.LET(_xlpm.loc, ITEquipmentTable[Storage Location],
COUNTIFS(ITSecondTable[Tag], ITSecondTable[[#This Row],[Tag]], _xlpm.loc, "")
)</f>
        <v>14</v>
      </c>
      <c r="G445" s="168">
        <f>MAX(ITSecondTable[[#This Row],[SQty]] - ITSecondTable[[#This Row],[IQty]], 0)</f>
        <v>0</v>
      </c>
      <c r="H445" s="168">
        <f>MAX(ITSecondTable[[#This Row],[IQty]]-ITSecondTable[[#This Row],[SQty]], 0)</f>
        <v>7</v>
      </c>
      <c r="I445" s="151" t="str">
        <f>IFERROR(_xlfn.TEXTJOIN("~", TRUE, ITEquipmentTable[[#This Row],[Type]],ITEquipmentTable[[#This Row],[Brand]],ITEquipmentTable[[#This Row],[Model]]), "")</f>
        <v>Scanner~Honeywell~1911i</v>
      </c>
      <c r="J445" s="151" t="b">
        <f xml:space="preserve"> _xlfn.IFNA(MATCH( ITSecondTable[[#This Row],[Tag]], StorageTable[Tag], 0)  &gt; -1, FALSE)</f>
        <v>0</v>
      </c>
      <c r="K445" s="168" t="b">
        <f>COUNTIFS(ITEquipmentTable[Serial], ITEquipmentTable[[#This Row],[Serial]], ITEquipmentTable[Serial], "&lt;&gt;N/A") &gt; 1</f>
        <v>0</v>
      </c>
      <c r="L445" s="168" t="b">
        <f>COUNTIFS(ITEquipmentTable[Name], ITEquipmentTable[[#This Row],[Name]], ITEquipmentTable[Name], "&lt;&gt;&lt;Unassigned&gt;",  ITEquipmentTable[Name], "&lt;&gt;N/A") &gt; 1</f>
        <v>0</v>
      </c>
      <c r="M445" s="168" t="b">
        <f>AND(COUNTIFS(ITEquipmentTable[IPv4 Address], ITEquipmentTable[[#This Row],[IPv4 Address]]) &gt; 1, ITEquipmentTable[[#This Row],[IPv4 Address]] &lt;&gt; "DHCP",  ITEquipmentTable[[#This Row],[IPv4 Address]] &lt;&gt; "N/A")</f>
        <v>0</v>
      </c>
    </row>
    <row r="446" spans="1:13" x14ac:dyDescent="0.2">
      <c r="A446" s="168">
        <f>IF(LEN(ITSecondTable[[#This Row],[Tag]]) &gt; 0, _xlfn.XLOOKUP(ITSecondTable[[#This Row],[Tag]],StorageTable[Tag], StorageTable[In Storage - Count Total], "Err", 0, 1), 0)</f>
        <v>18</v>
      </c>
      <c r="B446" s="1">
        <f>_xlfn.LET(_xlpm.loc, ITEquipmentTable[Storage Location],
COUNTIFS(ITSecondTable[Tag], ITSecondTable[[#This Row],[Tag]], _xlpm.loc, "&lt;&gt;In Use", _xlpm.loc, "&lt;&gt;",  _xlpm.loc, "&lt;&gt;E-Waste", _xlpm.loc, "&lt;&gt;Virtual",  _xlpm.loc, "&lt;&gt;Assigned to Employee", _xlpm.loc, "&lt;&gt;Decommisioned", _xlpm.loc, "&lt;&gt;Missing")
)</f>
        <v>11</v>
      </c>
      <c r="C446" s="1">
        <f>_xlfn.LET(_xlpm.loc, ITEquipmentTable[Storage Location],
COUNTIFS(ITSecondTable[Tag], ITSecondTable[[#This Row],[Tag]], _xlpm.loc, "&lt;&gt;E-Waste", _xlpm.loc, "&lt;&gt;Virtual", _xlpm.loc, "&lt;&gt;Decommisioned")
)</f>
        <v>38</v>
      </c>
      <c r="D446" s="168">
        <f>_xlfn.LET(_xlpm.loc, ITEquipmentTable[Storage Location],
COUNTIFS(ITSecondTable[Tag], ITSecondTable[[#This Row],[Tag]], _xlpm.loc, "Missing")
)</f>
        <v>0</v>
      </c>
      <c r="E446" s="168">
        <f>_xlfn.LET(_xlpm.loc, ITEquipmentTable[Storage Location],
COUNTIFS(ITSecondTable[Tag], ITSecondTable[[#This Row],[Tag]], _xlpm.loc, "In Use") + COUNTIFS(ITSecondTable[Tag], ITSecondTable[[#This Row],[Tag]], _xlpm.loc, "Assigned to Employee")
)</f>
        <v>13</v>
      </c>
      <c r="F446" s="168">
        <f>_xlfn.LET(_xlpm.loc, ITEquipmentTable[Storage Location],
COUNTIFS(ITSecondTable[Tag], ITSecondTable[[#This Row],[Tag]], _xlpm.loc, "")
)</f>
        <v>14</v>
      </c>
      <c r="G446" s="168">
        <f>MAX(ITSecondTable[[#This Row],[SQty]] - ITSecondTable[[#This Row],[IQty]], 0)</f>
        <v>0</v>
      </c>
      <c r="H446" s="168">
        <f>MAX(ITSecondTable[[#This Row],[IQty]]-ITSecondTable[[#This Row],[SQty]], 0)</f>
        <v>7</v>
      </c>
      <c r="I446" s="151" t="str">
        <f>IFERROR(_xlfn.TEXTJOIN("~", TRUE, ITEquipmentTable[[#This Row],[Type]],ITEquipmentTable[[#This Row],[Brand]],ITEquipmentTable[[#This Row],[Model]]), "")</f>
        <v>Scanner~Honeywell~1911i</v>
      </c>
      <c r="J446" s="151" t="b">
        <f xml:space="preserve"> _xlfn.IFNA(MATCH( ITSecondTable[[#This Row],[Tag]], StorageTable[Tag], 0)  &gt; -1, FALSE)</f>
        <v>0</v>
      </c>
      <c r="K446" s="168" t="b">
        <f>COUNTIFS(ITEquipmentTable[Serial], ITEquipmentTable[[#This Row],[Serial]], ITEquipmentTable[Serial], "&lt;&gt;N/A") &gt; 1</f>
        <v>0</v>
      </c>
      <c r="L446" s="168" t="b">
        <f>COUNTIFS(ITEquipmentTable[Name], ITEquipmentTable[[#This Row],[Name]], ITEquipmentTable[Name], "&lt;&gt;&lt;Unassigned&gt;",  ITEquipmentTable[Name], "&lt;&gt;N/A") &gt; 1</f>
        <v>0</v>
      </c>
      <c r="M446" s="168" t="b">
        <f>AND(COUNTIFS(ITEquipmentTable[IPv4 Address], ITEquipmentTable[[#This Row],[IPv4 Address]]) &gt; 1, ITEquipmentTable[[#This Row],[IPv4 Address]] &lt;&gt; "DHCP",  ITEquipmentTable[[#This Row],[IPv4 Address]] &lt;&gt; "N/A")</f>
        <v>0</v>
      </c>
    </row>
    <row r="447" spans="1:13" x14ac:dyDescent="0.2">
      <c r="A447" s="168">
        <f>IF(LEN(ITSecondTable[[#This Row],[Tag]]) &gt; 0, _xlfn.XLOOKUP(ITSecondTable[[#This Row],[Tag]],StorageTable[Tag], StorageTable[In Storage - Count Total], "Err", 0, 1), 0)</f>
        <v>18</v>
      </c>
      <c r="B447" s="1">
        <f>_xlfn.LET(_xlpm.loc, ITEquipmentTable[Storage Location],
COUNTIFS(ITSecondTable[Tag], ITSecondTable[[#This Row],[Tag]], _xlpm.loc, "&lt;&gt;In Use", _xlpm.loc, "&lt;&gt;",  _xlpm.loc, "&lt;&gt;E-Waste", _xlpm.loc, "&lt;&gt;Virtual",  _xlpm.loc, "&lt;&gt;Assigned to Employee", _xlpm.loc, "&lt;&gt;Decommisioned", _xlpm.loc, "&lt;&gt;Missing")
)</f>
        <v>11</v>
      </c>
      <c r="C447" s="1">
        <f>_xlfn.LET(_xlpm.loc, ITEquipmentTable[Storage Location],
COUNTIFS(ITSecondTable[Tag], ITSecondTable[[#This Row],[Tag]], _xlpm.loc, "&lt;&gt;E-Waste", _xlpm.loc, "&lt;&gt;Virtual", _xlpm.loc, "&lt;&gt;Decommisioned")
)</f>
        <v>38</v>
      </c>
      <c r="D447" s="168">
        <f>_xlfn.LET(_xlpm.loc, ITEquipmentTable[Storage Location],
COUNTIFS(ITSecondTable[Tag], ITSecondTable[[#This Row],[Tag]], _xlpm.loc, "Missing")
)</f>
        <v>0</v>
      </c>
      <c r="E447" s="168">
        <f>_xlfn.LET(_xlpm.loc, ITEquipmentTable[Storage Location],
COUNTIFS(ITSecondTable[Tag], ITSecondTable[[#This Row],[Tag]], _xlpm.loc, "In Use") + COUNTIFS(ITSecondTable[Tag], ITSecondTable[[#This Row],[Tag]], _xlpm.loc, "Assigned to Employee")
)</f>
        <v>13</v>
      </c>
      <c r="F447" s="168">
        <f>_xlfn.LET(_xlpm.loc, ITEquipmentTable[Storage Location],
COUNTIFS(ITSecondTable[Tag], ITSecondTable[[#This Row],[Tag]], _xlpm.loc, "")
)</f>
        <v>14</v>
      </c>
      <c r="G447" s="168">
        <f>MAX(ITSecondTable[[#This Row],[SQty]] - ITSecondTable[[#This Row],[IQty]], 0)</f>
        <v>0</v>
      </c>
      <c r="H447" s="168">
        <f>MAX(ITSecondTable[[#This Row],[IQty]]-ITSecondTable[[#This Row],[SQty]], 0)</f>
        <v>7</v>
      </c>
      <c r="I447" s="151" t="str">
        <f>IFERROR(_xlfn.TEXTJOIN("~", TRUE, ITEquipmentTable[[#This Row],[Type]],ITEquipmentTable[[#This Row],[Brand]],ITEquipmentTable[[#This Row],[Model]]), "")</f>
        <v>Scanner~Honeywell~1911i</v>
      </c>
      <c r="J447" s="151" t="b">
        <f xml:space="preserve"> _xlfn.IFNA(MATCH( ITSecondTable[[#This Row],[Tag]], StorageTable[Tag], 0)  &gt; -1, FALSE)</f>
        <v>0</v>
      </c>
      <c r="K447" s="168" t="b">
        <f>COUNTIFS(ITEquipmentTable[Serial], ITEquipmentTable[[#This Row],[Serial]], ITEquipmentTable[Serial], "&lt;&gt;N/A") &gt; 1</f>
        <v>0</v>
      </c>
      <c r="L447" s="168" t="b">
        <f>COUNTIFS(ITEquipmentTable[Name], ITEquipmentTable[[#This Row],[Name]], ITEquipmentTable[Name], "&lt;&gt;&lt;Unassigned&gt;",  ITEquipmentTable[Name], "&lt;&gt;N/A") &gt; 1</f>
        <v>0</v>
      </c>
      <c r="M447" s="168" t="b">
        <f>AND(COUNTIFS(ITEquipmentTable[IPv4 Address], ITEquipmentTable[[#This Row],[IPv4 Address]]) &gt; 1, ITEquipmentTable[[#This Row],[IPv4 Address]] &lt;&gt; "DHCP",  ITEquipmentTable[[#This Row],[IPv4 Address]] &lt;&gt; "N/A")</f>
        <v>0</v>
      </c>
    </row>
    <row r="448" spans="1:13" x14ac:dyDescent="0.2">
      <c r="A448" s="168">
        <f>IF(LEN(ITSecondTable[[#This Row],[Tag]]) &gt; 0, _xlfn.XLOOKUP(ITSecondTable[[#This Row],[Tag]],StorageTable[Tag], StorageTable[In Storage - Count Total], "Err", 0, 1), 0)</f>
        <v>18</v>
      </c>
      <c r="B448" s="1">
        <f>_xlfn.LET(_xlpm.loc, ITEquipmentTable[Storage Location],
COUNTIFS(ITSecondTable[Tag], ITSecondTable[[#This Row],[Tag]], _xlpm.loc, "&lt;&gt;In Use", _xlpm.loc, "&lt;&gt;",  _xlpm.loc, "&lt;&gt;E-Waste", _xlpm.loc, "&lt;&gt;Virtual",  _xlpm.loc, "&lt;&gt;Assigned to Employee", _xlpm.loc, "&lt;&gt;Decommisioned", _xlpm.loc, "&lt;&gt;Missing")
)</f>
        <v>11</v>
      </c>
      <c r="C448" s="1">
        <f>_xlfn.LET(_xlpm.loc, ITEquipmentTable[Storage Location],
COUNTIFS(ITSecondTable[Tag], ITSecondTable[[#This Row],[Tag]], _xlpm.loc, "&lt;&gt;E-Waste", _xlpm.loc, "&lt;&gt;Virtual", _xlpm.loc, "&lt;&gt;Decommisioned")
)</f>
        <v>38</v>
      </c>
      <c r="D448" s="168">
        <f>_xlfn.LET(_xlpm.loc, ITEquipmentTable[Storage Location],
COUNTIFS(ITSecondTable[Tag], ITSecondTable[[#This Row],[Tag]], _xlpm.loc, "Missing")
)</f>
        <v>0</v>
      </c>
      <c r="E448" s="168">
        <f>_xlfn.LET(_xlpm.loc, ITEquipmentTable[Storage Location],
COUNTIFS(ITSecondTable[Tag], ITSecondTable[[#This Row],[Tag]], _xlpm.loc, "In Use") + COUNTIFS(ITSecondTable[Tag], ITSecondTable[[#This Row],[Tag]], _xlpm.loc, "Assigned to Employee")
)</f>
        <v>13</v>
      </c>
      <c r="F448" s="168">
        <f>_xlfn.LET(_xlpm.loc, ITEquipmentTable[Storage Location],
COUNTIFS(ITSecondTable[Tag], ITSecondTable[[#This Row],[Tag]], _xlpm.loc, "")
)</f>
        <v>14</v>
      </c>
      <c r="G448" s="168">
        <f>MAX(ITSecondTable[[#This Row],[SQty]] - ITSecondTable[[#This Row],[IQty]], 0)</f>
        <v>0</v>
      </c>
      <c r="H448" s="168">
        <f>MAX(ITSecondTable[[#This Row],[IQty]]-ITSecondTable[[#This Row],[SQty]], 0)</f>
        <v>7</v>
      </c>
      <c r="I448" s="151" t="str">
        <f>IFERROR(_xlfn.TEXTJOIN("~", TRUE, ITEquipmentTable[[#This Row],[Type]],ITEquipmentTable[[#This Row],[Brand]],ITEquipmentTable[[#This Row],[Model]]), "")</f>
        <v>Scanner~Honeywell~1911i</v>
      </c>
      <c r="J448" s="151" t="b">
        <f xml:space="preserve"> _xlfn.IFNA(MATCH( ITSecondTable[[#This Row],[Tag]], StorageTable[Tag], 0)  &gt; -1, FALSE)</f>
        <v>0</v>
      </c>
      <c r="K448" s="168" t="b">
        <f>COUNTIFS(ITEquipmentTable[Serial], ITEquipmentTable[[#This Row],[Serial]], ITEquipmentTable[Serial], "&lt;&gt;N/A") &gt; 1</f>
        <v>0</v>
      </c>
      <c r="L448" s="168" t="b">
        <f>COUNTIFS(ITEquipmentTable[Name], ITEquipmentTable[[#This Row],[Name]], ITEquipmentTable[Name], "&lt;&gt;&lt;Unassigned&gt;",  ITEquipmentTable[Name], "&lt;&gt;N/A") &gt; 1</f>
        <v>0</v>
      </c>
      <c r="M448" s="168" t="b">
        <f>AND(COUNTIFS(ITEquipmentTable[IPv4 Address], ITEquipmentTable[[#This Row],[IPv4 Address]]) &gt; 1, ITEquipmentTable[[#This Row],[IPv4 Address]] &lt;&gt; "DHCP",  ITEquipmentTable[[#This Row],[IPv4 Address]] &lt;&gt; "N/A")</f>
        <v>0</v>
      </c>
    </row>
    <row r="449" spans="1:13" x14ac:dyDescent="0.2">
      <c r="A449" s="168">
        <f>IF(LEN(ITSecondTable[[#This Row],[Tag]]) &gt; 0, _xlfn.XLOOKUP(ITSecondTable[[#This Row],[Tag]],StorageTable[Tag], StorageTable[In Storage - Count Total], "Err", 0, 1), 0)</f>
        <v>18</v>
      </c>
      <c r="B449" s="1">
        <f>_xlfn.LET(_xlpm.loc, ITEquipmentTable[Storage Location],
COUNTIFS(ITSecondTable[Tag], ITSecondTable[[#This Row],[Tag]], _xlpm.loc, "&lt;&gt;In Use", _xlpm.loc, "&lt;&gt;",  _xlpm.loc, "&lt;&gt;E-Waste", _xlpm.loc, "&lt;&gt;Virtual",  _xlpm.loc, "&lt;&gt;Assigned to Employee", _xlpm.loc, "&lt;&gt;Decommisioned", _xlpm.loc, "&lt;&gt;Missing")
)</f>
        <v>11</v>
      </c>
      <c r="C449" s="1">
        <f>_xlfn.LET(_xlpm.loc, ITEquipmentTable[Storage Location],
COUNTIFS(ITSecondTable[Tag], ITSecondTable[[#This Row],[Tag]], _xlpm.loc, "&lt;&gt;E-Waste", _xlpm.loc, "&lt;&gt;Virtual", _xlpm.loc, "&lt;&gt;Decommisioned")
)</f>
        <v>38</v>
      </c>
      <c r="D449" s="168">
        <f>_xlfn.LET(_xlpm.loc, ITEquipmentTable[Storage Location],
COUNTIFS(ITSecondTable[Tag], ITSecondTable[[#This Row],[Tag]], _xlpm.loc, "Missing")
)</f>
        <v>0</v>
      </c>
      <c r="E449" s="168">
        <f>_xlfn.LET(_xlpm.loc, ITEquipmentTable[Storage Location],
COUNTIFS(ITSecondTable[Tag], ITSecondTable[[#This Row],[Tag]], _xlpm.loc, "In Use") + COUNTIFS(ITSecondTable[Tag], ITSecondTable[[#This Row],[Tag]], _xlpm.loc, "Assigned to Employee")
)</f>
        <v>13</v>
      </c>
      <c r="F449" s="168">
        <f>_xlfn.LET(_xlpm.loc, ITEquipmentTable[Storage Location],
COUNTIFS(ITSecondTable[Tag], ITSecondTable[[#This Row],[Tag]], _xlpm.loc, "")
)</f>
        <v>14</v>
      </c>
      <c r="G449" s="168">
        <f>MAX(ITSecondTable[[#This Row],[SQty]] - ITSecondTable[[#This Row],[IQty]], 0)</f>
        <v>0</v>
      </c>
      <c r="H449" s="168">
        <f>MAX(ITSecondTable[[#This Row],[IQty]]-ITSecondTable[[#This Row],[SQty]], 0)</f>
        <v>7</v>
      </c>
      <c r="I449" s="151" t="str">
        <f>IFERROR(_xlfn.TEXTJOIN("~", TRUE, ITEquipmentTable[[#This Row],[Type]],ITEquipmentTable[[#This Row],[Brand]],ITEquipmentTable[[#This Row],[Model]]), "")</f>
        <v>Scanner~Honeywell~1911i</v>
      </c>
      <c r="J449" s="151" t="b">
        <f xml:space="preserve"> _xlfn.IFNA(MATCH( ITSecondTable[[#This Row],[Tag]], StorageTable[Tag], 0)  &gt; -1, FALSE)</f>
        <v>0</v>
      </c>
      <c r="K449" s="168" t="b">
        <f>COUNTIFS(ITEquipmentTable[Serial], ITEquipmentTable[[#This Row],[Serial]], ITEquipmentTable[Serial], "&lt;&gt;N/A") &gt; 1</f>
        <v>0</v>
      </c>
      <c r="L449" s="168" t="b">
        <f>COUNTIFS(ITEquipmentTable[Name], ITEquipmentTable[[#This Row],[Name]], ITEquipmentTable[Name], "&lt;&gt;&lt;Unassigned&gt;",  ITEquipmentTable[Name], "&lt;&gt;N/A") &gt; 1</f>
        <v>0</v>
      </c>
      <c r="M449" s="168" t="b">
        <f>AND(COUNTIFS(ITEquipmentTable[IPv4 Address], ITEquipmentTable[[#This Row],[IPv4 Address]]) &gt; 1, ITEquipmentTable[[#This Row],[IPv4 Address]] &lt;&gt; "DHCP",  ITEquipmentTable[[#This Row],[IPv4 Address]] &lt;&gt; "N/A")</f>
        <v>0</v>
      </c>
    </row>
    <row r="450" spans="1:13" x14ac:dyDescent="0.2">
      <c r="A450" s="168">
        <f>IF(LEN(ITSecondTable[[#This Row],[Tag]]) &gt; 0, _xlfn.XLOOKUP(ITSecondTable[[#This Row],[Tag]],StorageTable[Tag], StorageTable[In Storage - Count Total], "Err", 0, 1), 0)</f>
        <v>18</v>
      </c>
      <c r="B450" s="1">
        <f>_xlfn.LET(_xlpm.loc, ITEquipmentTable[Storage Location],
COUNTIFS(ITSecondTable[Tag], ITSecondTable[[#This Row],[Tag]], _xlpm.loc, "&lt;&gt;In Use", _xlpm.loc, "&lt;&gt;",  _xlpm.loc, "&lt;&gt;E-Waste", _xlpm.loc, "&lt;&gt;Virtual",  _xlpm.loc, "&lt;&gt;Assigned to Employee", _xlpm.loc, "&lt;&gt;Decommisioned", _xlpm.loc, "&lt;&gt;Missing")
)</f>
        <v>11</v>
      </c>
      <c r="C450" s="1">
        <f>_xlfn.LET(_xlpm.loc, ITEquipmentTable[Storage Location],
COUNTIFS(ITSecondTable[Tag], ITSecondTable[[#This Row],[Tag]], _xlpm.loc, "&lt;&gt;E-Waste", _xlpm.loc, "&lt;&gt;Virtual", _xlpm.loc, "&lt;&gt;Decommisioned")
)</f>
        <v>38</v>
      </c>
      <c r="D450" s="168">
        <f>_xlfn.LET(_xlpm.loc, ITEquipmentTable[Storage Location],
COUNTIFS(ITSecondTable[Tag], ITSecondTable[[#This Row],[Tag]], _xlpm.loc, "Missing")
)</f>
        <v>0</v>
      </c>
      <c r="E450" s="168">
        <f>_xlfn.LET(_xlpm.loc, ITEquipmentTable[Storage Location],
COUNTIFS(ITSecondTable[Tag], ITSecondTable[[#This Row],[Tag]], _xlpm.loc, "In Use") + COUNTIFS(ITSecondTable[Tag], ITSecondTable[[#This Row],[Tag]], _xlpm.loc, "Assigned to Employee")
)</f>
        <v>13</v>
      </c>
      <c r="F450" s="168">
        <f>_xlfn.LET(_xlpm.loc, ITEquipmentTable[Storage Location],
COUNTIFS(ITSecondTable[Tag], ITSecondTable[[#This Row],[Tag]], _xlpm.loc, "")
)</f>
        <v>14</v>
      </c>
      <c r="G450" s="168">
        <f>MAX(ITSecondTable[[#This Row],[SQty]] - ITSecondTable[[#This Row],[IQty]], 0)</f>
        <v>0</v>
      </c>
      <c r="H450" s="168">
        <f>MAX(ITSecondTable[[#This Row],[IQty]]-ITSecondTable[[#This Row],[SQty]], 0)</f>
        <v>7</v>
      </c>
      <c r="I450" s="151" t="str">
        <f>IFERROR(_xlfn.TEXTJOIN("~", TRUE, ITEquipmentTable[[#This Row],[Type]],ITEquipmentTable[[#This Row],[Brand]],ITEquipmentTable[[#This Row],[Model]]), "")</f>
        <v>Scanner~Honeywell~1911i</v>
      </c>
      <c r="J450" s="151" t="b">
        <f xml:space="preserve"> _xlfn.IFNA(MATCH( ITSecondTable[[#This Row],[Tag]], StorageTable[Tag], 0)  &gt; -1, FALSE)</f>
        <v>0</v>
      </c>
      <c r="K450" s="168" t="b">
        <f>COUNTIFS(ITEquipmentTable[Serial], ITEquipmentTable[[#This Row],[Serial]], ITEquipmentTable[Serial], "&lt;&gt;N/A") &gt; 1</f>
        <v>0</v>
      </c>
      <c r="L450" s="168" t="b">
        <f>COUNTIFS(ITEquipmentTable[Name], ITEquipmentTable[[#This Row],[Name]], ITEquipmentTable[Name], "&lt;&gt;&lt;Unassigned&gt;",  ITEquipmentTable[Name], "&lt;&gt;N/A") &gt; 1</f>
        <v>0</v>
      </c>
      <c r="M450" s="168" t="b">
        <f>AND(COUNTIFS(ITEquipmentTable[IPv4 Address], ITEquipmentTable[[#This Row],[IPv4 Address]]) &gt; 1, ITEquipmentTable[[#This Row],[IPv4 Address]] &lt;&gt; "DHCP",  ITEquipmentTable[[#This Row],[IPv4 Address]] &lt;&gt; "N/A")</f>
        <v>0</v>
      </c>
    </row>
    <row r="451" spans="1:13" x14ac:dyDescent="0.2">
      <c r="A451" s="168">
        <f>IF(LEN(ITSecondTable[[#This Row],[Tag]]) &gt; 0, _xlfn.XLOOKUP(ITSecondTable[[#This Row],[Tag]],StorageTable[Tag], StorageTable[In Storage - Count Total], "Err", 0, 1), 0)</f>
        <v>18</v>
      </c>
      <c r="B451" s="1">
        <f>_xlfn.LET(_xlpm.loc, ITEquipmentTable[Storage Location],
COUNTIFS(ITSecondTable[Tag], ITSecondTable[[#This Row],[Tag]], _xlpm.loc, "&lt;&gt;In Use", _xlpm.loc, "&lt;&gt;",  _xlpm.loc, "&lt;&gt;E-Waste", _xlpm.loc, "&lt;&gt;Virtual",  _xlpm.loc, "&lt;&gt;Assigned to Employee", _xlpm.loc, "&lt;&gt;Decommisioned", _xlpm.loc, "&lt;&gt;Missing")
)</f>
        <v>11</v>
      </c>
      <c r="C451" s="1">
        <f>_xlfn.LET(_xlpm.loc, ITEquipmentTable[Storage Location],
COUNTIFS(ITSecondTable[Tag], ITSecondTable[[#This Row],[Tag]], _xlpm.loc, "&lt;&gt;E-Waste", _xlpm.loc, "&lt;&gt;Virtual", _xlpm.loc, "&lt;&gt;Decommisioned")
)</f>
        <v>38</v>
      </c>
      <c r="D451" s="168">
        <f>_xlfn.LET(_xlpm.loc, ITEquipmentTable[Storage Location],
COUNTIFS(ITSecondTable[Tag], ITSecondTable[[#This Row],[Tag]], _xlpm.loc, "Missing")
)</f>
        <v>0</v>
      </c>
      <c r="E451" s="168">
        <f>_xlfn.LET(_xlpm.loc, ITEquipmentTable[Storage Location],
COUNTIFS(ITSecondTable[Tag], ITSecondTable[[#This Row],[Tag]], _xlpm.loc, "In Use") + COUNTIFS(ITSecondTable[Tag], ITSecondTable[[#This Row],[Tag]], _xlpm.loc, "Assigned to Employee")
)</f>
        <v>13</v>
      </c>
      <c r="F451" s="168">
        <f>_xlfn.LET(_xlpm.loc, ITEquipmentTable[Storage Location],
COUNTIFS(ITSecondTable[Tag], ITSecondTable[[#This Row],[Tag]], _xlpm.loc, "")
)</f>
        <v>14</v>
      </c>
      <c r="G451" s="168">
        <f>MAX(ITSecondTable[[#This Row],[SQty]] - ITSecondTable[[#This Row],[IQty]], 0)</f>
        <v>0</v>
      </c>
      <c r="H451" s="168">
        <f>MAX(ITSecondTable[[#This Row],[IQty]]-ITSecondTable[[#This Row],[SQty]], 0)</f>
        <v>7</v>
      </c>
      <c r="I451" s="151" t="str">
        <f>IFERROR(_xlfn.TEXTJOIN("~", TRUE, ITEquipmentTable[[#This Row],[Type]],ITEquipmentTable[[#This Row],[Brand]],ITEquipmentTable[[#This Row],[Model]]), "")</f>
        <v>Scanner~Honeywell~1911i</v>
      </c>
      <c r="J451" s="151" t="b">
        <f xml:space="preserve"> _xlfn.IFNA(MATCH( ITSecondTable[[#This Row],[Tag]], StorageTable[Tag], 0)  &gt; -1, FALSE)</f>
        <v>0</v>
      </c>
      <c r="K451" s="168" t="b">
        <f>COUNTIFS(ITEquipmentTable[Serial], ITEquipmentTable[[#This Row],[Serial]], ITEquipmentTable[Serial], "&lt;&gt;N/A") &gt; 1</f>
        <v>0</v>
      </c>
      <c r="L451" s="168" t="b">
        <f>COUNTIFS(ITEquipmentTable[Name], ITEquipmentTable[[#This Row],[Name]], ITEquipmentTable[Name], "&lt;&gt;&lt;Unassigned&gt;",  ITEquipmentTable[Name], "&lt;&gt;N/A") &gt; 1</f>
        <v>0</v>
      </c>
      <c r="M451" s="168" t="b">
        <f>AND(COUNTIFS(ITEquipmentTable[IPv4 Address], ITEquipmentTable[[#This Row],[IPv4 Address]]) &gt; 1, ITEquipmentTable[[#This Row],[IPv4 Address]] &lt;&gt; "DHCP",  ITEquipmentTable[[#This Row],[IPv4 Address]] &lt;&gt; "N/A")</f>
        <v>0</v>
      </c>
    </row>
    <row r="452" spans="1:13" x14ac:dyDescent="0.2">
      <c r="A452" s="168">
        <f>IF(LEN(ITSecondTable[[#This Row],[Tag]]) &gt; 0, _xlfn.XLOOKUP(ITSecondTable[[#This Row],[Tag]],StorageTable[Tag], StorageTable[In Storage - Count Total], "Err", 0, 1), 0)</f>
        <v>18</v>
      </c>
      <c r="B452" s="1">
        <f>_xlfn.LET(_xlpm.loc, ITEquipmentTable[Storage Location],
COUNTIFS(ITSecondTable[Tag], ITSecondTable[[#This Row],[Tag]], _xlpm.loc, "&lt;&gt;In Use", _xlpm.loc, "&lt;&gt;",  _xlpm.loc, "&lt;&gt;E-Waste", _xlpm.loc, "&lt;&gt;Virtual",  _xlpm.loc, "&lt;&gt;Assigned to Employee", _xlpm.loc, "&lt;&gt;Decommisioned", _xlpm.loc, "&lt;&gt;Missing")
)</f>
        <v>11</v>
      </c>
      <c r="C452" s="1">
        <f>_xlfn.LET(_xlpm.loc, ITEquipmentTable[Storage Location],
COUNTIFS(ITSecondTable[Tag], ITSecondTable[[#This Row],[Tag]], _xlpm.loc, "&lt;&gt;E-Waste", _xlpm.loc, "&lt;&gt;Virtual", _xlpm.loc, "&lt;&gt;Decommisioned")
)</f>
        <v>38</v>
      </c>
      <c r="D452" s="168">
        <f>_xlfn.LET(_xlpm.loc, ITEquipmentTable[Storage Location],
COUNTIFS(ITSecondTable[Tag], ITSecondTable[[#This Row],[Tag]], _xlpm.loc, "Missing")
)</f>
        <v>0</v>
      </c>
      <c r="E452" s="168">
        <f>_xlfn.LET(_xlpm.loc, ITEquipmentTable[Storage Location],
COUNTIFS(ITSecondTable[Tag], ITSecondTable[[#This Row],[Tag]], _xlpm.loc, "In Use") + COUNTIFS(ITSecondTable[Tag], ITSecondTable[[#This Row],[Tag]], _xlpm.loc, "Assigned to Employee")
)</f>
        <v>13</v>
      </c>
      <c r="F452" s="168">
        <f>_xlfn.LET(_xlpm.loc, ITEquipmentTable[Storage Location],
COUNTIFS(ITSecondTable[Tag], ITSecondTable[[#This Row],[Tag]], _xlpm.loc, "")
)</f>
        <v>14</v>
      </c>
      <c r="G452" s="168">
        <f>MAX(ITSecondTable[[#This Row],[SQty]] - ITSecondTable[[#This Row],[IQty]], 0)</f>
        <v>0</v>
      </c>
      <c r="H452" s="168">
        <f>MAX(ITSecondTable[[#This Row],[IQty]]-ITSecondTable[[#This Row],[SQty]], 0)</f>
        <v>7</v>
      </c>
      <c r="I452" s="151" t="str">
        <f>IFERROR(_xlfn.TEXTJOIN("~", TRUE, ITEquipmentTable[[#This Row],[Type]],ITEquipmentTable[[#This Row],[Brand]],ITEquipmentTable[[#This Row],[Model]]), "")</f>
        <v>Scanner~Honeywell~1911i</v>
      </c>
      <c r="J452" s="151" t="b">
        <f xml:space="preserve"> _xlfn.IFNA(MATCH( ITSecondTable[[#This Row],[Tag]], StorageTable[Tag], 0)  &gt; -1, FALSE)</f>
        <v>0</v>
      </c>
      <c r="K452" s="168" t="b">
        <f>COUNTIFS(ITEquipmentTable[Serial], ITEquipmentTable[[#This Row],[Serial]], ITEquipmentTable[Serial], "&lt;&gt;N/A") &gt; 1</f>
        <v>0</v>
      </c>
      <c r="L452" s="168" t="b">
        <f>COUNTIFS(ITEquipmentTable[Name], ITEquipmentTable[[#This Row],[Name]], ITEquipmentTable[Name], "&lt;&gt;&lt;Unassigned&gt;",  ITEquipmentTable[Name], "&lt;&gt;N/A") &gt; 1</f>
        <v>0</v>
      </c>
      <c r="M452" s="168" t="b">
        <f>AND(COUNTIFS(ITEquipmentTable[IPv4 Address], ITEquipmentTable[[#This Row],[IPv4 Address]]) &gt; 1, ITEquipmentTable[[#This Row],[IPv4 Address]] &lt;&gt; "DHCP",  ITEquipmentTable[[#This Row],[IPv4 Address]] &lt;&gt; "N/A")</f>
        <v>0</v>
      </c>
    </row>
    <row r="453" spans="1:13" x14ac:dyDescent="0.2">
      <c r="A453" s="168">
        <f>IF(LEN(ITSecondTable[[#This Row],[Tag]]) &gt; 0, _xlfn.XLOOKUP(ITSecondTable[[#This Row],[Tag]],StorageTable[Tag], StorageTable[In Storage - Count Total], "Err", 0, 1), 0)</f>
        <v>18</v>
      </c>
      <c r="B453" s="1">
        <f>_xlfn.LET(_xlpm.loc, ITEquipmentTable[Storage Location],
COUNTIFS(ITSecondTable[Tag], ITSecondTable[[#This Row],[Tag]], _xlpm.loc, "&lt;&gt;In Use", _xlpm.loc, "&lt;&gt;",  _xlpm.loc, "&lt;&gt;E-Waste", _xlpm.loc, "&lt;&gt;Virtual",  _xlpm.loc, "&lt;&gt;Assigned to Employee", _xlpm.loc, "&lt;&gt;Decommisioned", _xlpm.loc, "&lt;&gt;Missing")
)</f>
        <v>11</v>
      </c>
      <c r="C453" s="1">
        <f>_xlfn.LET(_xlpm.loc, ITEquipmentTable[Storage Location],
COUNTIFS(ITSecondTable[Tag], ITSecondTable[[#This Row],[Tag]], _xlpm.loc, "&lt;&gt;E-Waste", _xlpm.loc, "&lt;&gt;Virtual", _xlpm.loc, "&lt;&gt;Decommisioned")
)</f>
        <v>38</v>
      </c>
      <c r="D453" s="168">
        <f>_xlfn.LET(_xlpm.loc, ITEquipmentTable[Storage Location],
COUNTIFS(ITSecondTable[Tag], ITSecondTable[[#This Row],[Tag]], _xlpm.loc, "Missing")
)</f>
        <v>0</v>
      </c>
      <c r="E453" s="168">
        <f>_xlfn.LET(_xlpm.loc, ITEquipmentTable[Storage Location],
COUNTIFS(ITSecondTable[Tag], ITSecondTable[[#This Row],[Tag]], _xlpm.loc, "In Use") + COUNTIFS(ITSecondTable[Tag], ITSecondTable[[#This Row],[Tag]], _xlpm.loc, "Assigned to Employee")
)</f>
        <v>13</v>
      </c>
      <c r="F453" s="168">
        <f>_xlfn.LET(_xlpm.loc, ITEquipmentTable[Storage Location],
COUNTIFS(ITSecondTable[Tag], ITSecondTable[[#This Row],[Tag]], _xlpm.loc, "")
)</f>
        <v>14</v>
      </c>
      <c r="G453" s="168">
        <f>MAX(ITSecondTable[[#This Row],[SQty]] - ITSecondTable[[#This Row],[IQty]], 0)</f>
        <v>0</v>
      </c>
      <c r="H453" s="168">
        <f>MAX(ITSecondTable[[#This Row],[IQty]]-ITSecondTable[[#This Row],[SQty]], 0)</f>
        <v>7</v>
      </c>
      <c r="I453" s="151" t="str">
        <f>IFERROR(_xlfn.TEXTJOIN("~", TRUE, ITEquipmentTable[[#This Row],[Type]],ITEquipmentTable[[#This Row],[Brand]],ITEquipmentTable[[#This Row],[Model]]), "")</f>
        <v>Scanner~Honeywell~1911i</v>
      </c>
      <c r="J453" s="151" t="b">
        <f xml:space="preserve"> _xlfn.IFNA(MATCH( ITSecondTable[[#This Row],[Tag]], StorageTable[Tag], 0)  &gt; -1, FALSE)</f>
        <v>0</v>
      </c>
      <c r="K453" s="168" t="b">
        <f>COUNTIFS(ITEquipmentTable[Serial], ITEquipmentTable[[#This Row],[Serial]], ITEquipmentTable[Serial], "&lt;&gt;N/A") &gt; 1</f>
        <v>0</v>
      </c>
      <c r="L453" s="168" t="b">
        <f>COUNTIFS(ITEquipmentTable[Name], ITEquipmentTable[[#This Row],[Name]], ITEquipmentTable[Name], "&lt;&gt;&lt;Unassigned&gt;",  ITEquipmentTable[Name], "&lt;&gt;N/A") &gt; 1</f>
        <v>0</v>
      </c>
      <c r="M453" s="168" t="b">
        <f>AND(COUNTIFS(ITEquipmentTable[IPv4 Address], ITEquipmentTable[[#This Row],[IPv4 Address]]) &gt; 1, ITEquipmentTable[[#This Row],[IPv4 Address]] &lt;&gt; "DHCP",  ITEquipmentTable[[#This Row],[IPv4 Address]] &lt;&gt; "N/A")</f>
        <v>0</v>
      </c>
    </row>
    <row r="454" spans="1:13" x14ac:dyDescent="0.2">
      <c r="A454" s="168">
        <f>IF(LEN(ITSecondTable[[#This Row],[Tag]]) &gt; 0, _xlfn.XLOOKUP(ITSecondTable[[#This Row],[Tag]],StorageTable[Tag], StorageTable[In Storage - Count Total], "Err", 0, 1), 0)</f>
        <v>18</v>
      </c>
      <c r="B454" s="1">
        <f>_xlfn.LET(_xlpm.loc, ITEquipmentTable[Storage Location],
COUNTIFS(ITSecondTable[Tag], ITSecondTable[[#This Row],[Tag]], _xlpm.loc, "&lt;&gt;In Use", _xlpm.loc, "&lt;&gt;",  _xlpm.loc, "&lt;&gt;E-Waste", _xlpm.loc, "&lt;&gt;Virtual",  _xlpm.loc, "&lt;&gt;Assigned to Employee", _xlpm.loc, "&lt;&gt;Decommisioned", _xlpm.loc, "&lt;&gt;Missing")
)</f>
        <v>11</v>
      </c>
      <c r="C454" s="1">
        <f>_xlfn.LET(_xlpm.loc, ITEquipmentTable[Storage Location],
COUNTIFS(ITSecondTable[Tag], ITSecondTable[[#This Row],[Tag]], _xlpm.loc, "&lt;&gt;E-Waste", _xlpm.loc, "&lt;&gt;Virtual", _xlpm.loc, "&lt;&gt;Decommisioned")
)</f>
        <v>38</v>
      </c>
      <c r="D454" s="168">
        <f>_xlfn.LET(_xlpm.loc, ITEquipmentTable[Storage Location],
COUNTIFS(ITSecondTable[Tag], ITSecondTable[[#This Row],[Tag]], _xlpm.loc, "Missing")
)</f>
        <v>0</v>
      </c>
      <c r="E454" s="168">
        <f>_xlfn.LET(_xlpm.loc, ITEquipmentTable[Storage Location],
COUNTIFS(ITSecondTable[Tag], ITSecondTable[[#This Row],[Tag]], _xlpm.loc, "In Use") + COUNTIFS(ITSecondTable[Tag], ITSecondTable[[#This Row],[Tag]], _xlpm.loc, "Assigned to Employee")
)</f>
        <v>13</v>
      </c>
      <c r="F454" s="168">
        <f>_xlfn.LET(_xlpm.loc, ITEquipmentTable[Storage Location],
COUNTIFS(ITSecondTable[Tag], ITSecondTable[[#This Row],[Tag]], _xlpm.loc, "")
)</f>
        <v>14</v>
      </c>
      <c r="G454" s="168">
        <f>MAX(ITSecondTable[[#This Row],[SQty]] - ITSecondTable[[#This Row],[IQty]], 0)</f>
        <v>0</v>
      </c>
      <c r="H454" s="168">
        <f>MAX(ITSecondTable[[#This Row],[IQty]]-ITSecondTable[[#This Row],[SQty]], 0)</f>
        <v>7</v>
      </c>
      <c r="I454" s="151" t="str">
        <f>IFERROR(_xlfn.TEXTJOIN("~", TRUE, ITEquipmentTable[[#This Row],[Type]],ITEquipmentTable[[#This Row],[Brand]],ITEquipmentTable[[#This Row],[Model]]), "")</f>
        <v>Scanner~Honeywell~1911i</v>
      </c>
      <c r="J454" s="151" t="b">
        <f xml:space="preserve"> _xlfn.IFNA(MATCH( ITSecondTable[[#This Row],[Tag]], StorageTable[Tag], 0)  &gt; -1, FALSE)</f>
        <v>0</v>
      </c>
      <c r="K454" s="168" t="b">
        <f>COUNTIFS(ITEquipmentTable[Serial], ITEquipmentTable[[#This Row],[Serial]], ITEquipmentTable[Serial], "&lt;&gt;N/A") &gt; 1</f>
        <v>0</v>
      </c>
      <c r="L454" s="168" t="b">
        <f>COUNTIFS(ITEquipmentTable[Name], ITEquipmentTable[[#This Row],[Name]], ITEquipmentTable[Name], "&lt;&gt;&lt;Unassigned&gt;",  ITEquipmentTable[Name], "&lt;&gt;N/A") &gt; 1</f>
        <v>0</v>
      </c>
      <c r="M454" s="168" t="b">
        <f>AND(COUNTIFS(ITEquipmentTable[IPv4 Address], ITEquipmentTable[[#This Row],[IPv4 Address]]) &gt; 1, ITEquipmentTable[[#This Row],[IPv4 Address]] &lt;&gt; "DHCP",  ITEquipmentTable[[#This Row],[IPv4 Address]] &lt;&gt; "N/A")</f>
        <v>0</v>
      </c>
    </row>
    <row r="455" spans="1:13" x14ac:dyDescent="0.2">
      <c r="A455" s="168">
        <f>IF(LEN(ITSecondTable[[#This Row],[Tag]]) &gt; 0, _xlfn.XLOOKUP(ITSecondTable[[#This Row],[Tag]],StorageTable[Tag], StorageTable[In Storage - Count Total], "Err", 0, 1), 0)</f>
        <v>18</v>
      </c>
      <c r="B455" s="1">
        <f>_xlfn.LET(_xlpm.loc, ITEquipmentTable[Storage Location],
COUNTIFS(ITSecondTable[Tag], ITSecondTable[[#This Row],[Tag]], _xlpm.loc, "&lt;&gt;In Use", _xlpm.loc, "&lt;&gt;",  _xlpm.loc, "&lt;&gt;E-Waste", _xlpm.loc, "&lt;&gt;Virtual",  _xlpm.loc, "&lt;&gt;Assigned to Employee", _xlpm.loc, "&lt;&gt;Decommisioned", _xlpm.loc, "&lt;&gt;Missing")
)</f>
        <v>11</v>
      </c>
      <c r="C455" s="1">
        <f>_xlfn.LET(_xlpm.loc, ITEquipmentTable[Storage Location],
COUNTIFS(ITSecondTable[Tag], ITSecondTable[[#This Row],[Tag]], _xlpm.loc, "&lt;&gt;E-Waste", _xlpm.loc, "&lt;&gt;Virtual", _xlpm.loc, "&lt;&gt;Decommisioned")
)</f>
        <v>38</v>
      </c>
      <c r="D455" s="168">
        <f>_xlfn.LET(_xlpm.loc, ITEquipmentTable[Storage Location],
COUNTIFS(ITSecondTable[Tag], ITSecondTable[[#This Row],[Tag]], _xlpm.loc, "Missing")
)</f>
        <v>0</v>
      </c>
      <c r="E455" s="168">
        <f>_xlfn.LET(_xlpm.loc, ITEquipmentTable[Storage Location],
COUNTIFS(ITSecondTable[Tag], ITSecondTable[[#This Row],[Tag]], _xlpm.loc, "In Use") + COUNTIFS(ITSecondTable[Tag], ITSecondTable[[#This Row],[Tag]], _xlpm.loc, "Assigned to Employee")
)</f>
        <v>13</v>
      </c>
      <c r="F455" s="168">
        <f>_xlfn.LET(_xlpm.loc, ITEquipmentTable[Storage Location],
COUNTIFS(ITSecondTable[Tag], ITSecondTable[[#This Row],[Tag]], _xlpm.loc, "")
)</f>
        <v>14</v>
      </c>
      <c r="G455" s="168">
        <f>MAX(ITSecondTable[[#This Row],[SQty]] - ITSecondTable[[#This Row],[IQty]], 0)</f>
        <v>0</v>
      </c>
      <c r="H455" s="168">
        <f>MAX(ITSecondTable[[#This Row],[IQty]]-ITSecondTable[[#This Row],[SQty]], 0)</f>
        <v>7</v>
      </c>
      <c r="I455" s="151" t="str">
        <f>IFERROR(_xlfn.TEXTJOIN("~", TRUE, ITEquipmentTable[[#This Row],[Type]],ITEquipmentTable[[#This Row],[Brand]],ITEquipmentTable[[#This Row],[Model]]), "")</f>
        <v>Scanner~Honeywell~1911i</v>
      </c>
      <c r="J455" s="151" t="b">
        <f xml:space="preserve"> _xlfn.IFNA(MATCH( ITSecondTable[[#This Row],[Tag]], StorageTable[Tag], 0)  &gt; -1, FALSE)</f>
        <v>0</v>
      </c>
      <c r="K455" s="168" t="b">
        <f>COUNTIFS(ITEquipmentTable[Serial], ITEquipmentTable[[#This Row],[Serial]], ITEquipmentTable[Serial], "&lt;&gt;N/A") &gt; 1</f>
        <v>0</v>
      </c>
      <c r="L455" s="168" t="b">
        <f>COUNTIFS(ITEquipmentTable[Name], ITEquipmentTable[[#This Row],[Name]], ITEquipmentTable[Name], "&lt;&gt;&lt;Unassigned&gt;",  ITEquipmentTable[Name], "&lt;&gt;N/A") &gt; 1</f>
        <v>0</v>
      </c>
      <c r="M455" s="168" t="b">
        <f>AND(COUNTIFS(ITEquipmentTable[IPv4 Address], ITEquipmentTable[[#This Row],[IPv4 Address]]) &gt; 1, ITEquipmentTable[[#This Row],[IPv4 Address]] &lt;&gt; "DHCP",  ITEquipmentTable[[#This Row],[IPv4 Address]] &lt;&gt; "N/A")</f>
        <v>0</v>
      </c>
    </row>
    <row r="456" spans="1:13" x14ac:dyDescent="0.2">
      <c r="A456" s="168">
        <f>IF(LEN(ITSecondTable[[#This Row],[Tag]]) &gt; 0, _xlfn.XLOOKUP(ITSecondTable[[#This Row],[Tag]],StorageTable[Tag], StorageTable[In Storage - Count Total], "Err", 0, 1), 0)</f>
        <v>18</v>
      </c>
      <c r="B456" s="1">
        <f>_xlfn.LET(_xlpm.loc, ITEquipmentTable[Storage Location],
COUNTIFS(ITSecondTable[Tag], ITSecondTable[[#This Row],[Tag]], _xlpm.loc, "&lt;&gt;In Use", _xlpm.loc, "&lt;&gt;",  _xlpm.loc, "&lt;&gt;E-Waste", _xlpm.loc, "&lt;&gt;Virtual",  _xlpm.loc, "&lt;&gt;Assigned to Employee", _xlpm.loc, "&lt;&gt;Decommisioned", _xlpm.loc, "&lt;&gt;Missing")
)</f>
        <v>11</v>
      </c>
      <c r="C456" s="1">
        <f>_xlfn.LET(_xlpm.loc, ITEquipmentTable[Storage Location],
COUNTIFS(ITSecondTable[Tag], ITSecondTable[[#This Row],[Tag]], _xlpm.loc, "&lt;&gt;E-Waste", _xlpm.loc, "&lt;&gt;Virtual", _xlpm.loc, "&lt;&gt;Decommisioned")
)</f>
        <v>38</v>
      </c>
      <c r="D456" s="168">
        <f>_xlfn.LET(_xlpm.loc, ITEquipmentTable[Storage Location],
COUNTIFS(ITSecondTable[Tag], ITSecondTable[[#This Row],[Tag]], _xlpm.loc, "Missing")
)</f>
        <v>0</v>
      </c>
      <c r="E456" s="168">
        <f>_xlfn.LET(_xlpm.loc, ITEquipmentTable[Storage Location],
COUNTIFS(ITSecondTable[Tag], ITSecondTable[[#This Row],[Tag]], _xlpm.loc, "In Use") + COUNTIFS(ITSecondTable[Tag], ITSecondTable[[#This Row],[Tag]], _xlpm.loc, "Assigned to Employee")
)</f>
        <v>13</v>
      </c>
      <c r="F456" s="168">
        <f>_xlfn.LET(_xlpm.loc, ITEquipmentTable[Storage Location],
COUNTIFS(ITSecondTable[Tag], ITSecondTable[[#This Row],[Tag]], _xlpm.loc, "")
)</f>
        <v>14</v>
      </c>
      <c r="G456" s="168">
        <f>MAX(ITSecondTable[[#This Row],[SQty]] - ITSecondTable[[#This Row],[IQty]], 0)</f>
        <v>0</v>
      </c>
      <c r="H456" s="168">
        <f>MAX(ITSecondTable[[#This Row],[IQty]]-ITSecondTable[[#This Row],[SQty]], 0)</f>
        <v>7</v>
      </c>
      <c r="I456" s="151" t="str">
        <f>IFERROR(_xlfn.TEXTJOIN("~", TRUE, ITEquipmentTable[[#This Row],[Type]],ITEquipmentTable[[#This Row],[Brand]],ITEquipmentTable[[#This Row],[Model]]), "")</f>
        <v>Scanner~Honeywell~1911i</v>
      </c>
      <c r="J456" s="151" t="b">
        <f xml:space="preserve"> _xlfn.IFNA(MATCH( ITSecondTable[[#This Row],[Tag]], StorageTable[Tag], 0)  &gt; -1, FALSE)</f>
        <v>0</v>
      </c>
      <c r="K456" s="168" t="b">
        <f>COUNTIFS(ITEquipmentTable[Serial], ITEquipmentTable[[#This Row],[Serial]], ITEquipmentTable[Serial], "&lt;&gt;N/A") &gt; 1</f>
        <v>0</v>
      </c>
      <c r="L456" s="168" t="b">
        <f>COUNTIFS(ITEquipmentTable[Name], ITEquipmentTable[[#This Row],[Name]], ITEquipmentTable[Name], "&lt;&gt;&lt;Unassigned&gt;",  ITEquipmentTable[Name], "&lt;&gt;N/A") &gt; 1</f>
        <v>0</v>
      </c>
      <c r="M456" s="168" t="b">
        <f>AND(COUNTIFS(ITEquipmentTable[IPv4 Address], ITEquipmentTable[[#This Row],[IPv4 Address]]) &gt; 1, ITEquipmentTable[[#This Row],[IPv4 Address]] &lt;&gt; "DHCP",  ITEquipmentTable[[#This Row],[IPv4 Address]] &lt;&gt; "N/A")</f>
        <v>0</v>
      </c>
    </row>
    <row r="457" spans="1:13" x14ac:dyDescent="0.2">
      <c r="A457" s="168">
        <f>IF(LEN(ITSecondTable[[#This Row],[Tag]]) &gt; 0, _xlfn.XLOOKUP(ITSecondTable[[#This Row],[Tag]],StorageTable[Tag], StorageTable[In Storage - Count Total], "Err", 0, 1), 0)</f>
        <v>18</v>
      </c>
      <c r="B457" s="1">
        <f>_xlfn.LET(_xlpm.loc, ITEquipmentTable[Storage Location],
COUNTIFS(ITSecondTable[Tag], ITSecondTable[[#This Row],[Tag]], _xlpm.loc, "&lt;&gt;In Use", _xlpm.loc, "&lt;&gt;",  _xlpm.loc, "&lt;&gt;E-Waste", _xlpm.loc, "&lt;&gt;Virtual",  _xlpm.loc, "&lt;&gt;Assigned to Employee", _xlpm.loc, "&lt;&gt;Decommisioned", _xlpm.loc, "&lt;&gt;Missing")
)</f>
        <v>11</v>
      </c>
      <c r="C457" s="1">
        <f>_xlfn.LET(_xlpm.loc, ITEquipmentTable[Storage Location],
COUNTIFS(ITSecondTable[Tag], ITSecondTable[[#This Row],[Tag]], _xlpm.loc, "&lt;&gt;E-Waste", _xlpm.loc, "&lt;&gt;Virtual", _xlpm.loc, "&lt;&gt;Decommisioned")
)</f>
        <v>38</v>
      </c>
      <c r="D457" s="168">
        <f>_xlfn.LET(_xlpm.loc, ITEquipmentTable[Storage Location],
COUNTIFS(ITSecondTable[Tag], ITSecondTable[[#This Row],[Tag]], _xlpm.loc, "Missing")
)</f>
        <v>0</v>
      </c>
      <c r="E457" s="168">
        <f>_xlfn.LET(_xlpm.loc, ITEquipmentTable[Storage Location],
COUNTIFS(ITSecondTable[Tag], ITSecondTable[[#This Row],[Tag]], _xlpm.loc, "In Use") + COUNTIFS(ITSecondTable[Tag], ITSecondTable[[#This Row],[Tag]], _xlpm.loc, "Assigned to Employee")
)</f>
        <v>13</v>
      </c>
      <c r="F457" s="168">
        <f>_xlfn.LET(_xlpm.loc, ITEquipmentTable[Storage Location],
COUNTIFS(ITSecondTable[Tag], ITSecondTable[[#This Row],[Tag]], _xlpm.loc, "")
)</f>
        <v>14</v>
      </c>
      <c r="G457" s="168">
        <f>MAX(ITSecondTable[[#This Row],[SQty]] - ITSecondTable[[#This Row],[IQty]], 0)</f>
        <v>0</v>
      </c>
      <c r="H457" s="168">
        <f>MAX(ITSecondTable[[#This Row],[IQty]]-ITSecondTable[[#This Row],[SQty]], 0)</f>
        <v>7</v>
      </c>
      <c r="I457" s="151" t="str">
        <f>IFERROR(_xlfn.TEXTJOIN("~", TRUE, ITEquipmentTable[[#This Row],[Type]],ITEquipmentTable[[#This Row],[Brand]],ITEquipmentTable[[#This Row],[Model]]), "")</f>
        <v>Scanner~Honeywell~1911i</v>
      </c>
      <c r="J457" s="151" t="b">
        <f xml:space="preserve"> _xlfn.IFNA(MATCH( ITSecondTable[[#This Row],[Tag]], StorageTable[Tag], 0)  &gt; -1, FALSE)</f>
        <v>0</v>
      </c>
      <c r="K457" s="168" t="b">
        <f>COUNTIFS(ITEquipmentTable[Serial], ITEquipmentTable[[#This Row],[Serial]], ITEquipmentTable[Serial], "&lt;&gt;N/A") &gt; 1</f>
        <v>0</v>
      </c>
      <c r="L457" s="168" t="b">
        <f>COUNTIFS(ITEquipmentTable[Name], ITEquipmentTable[[#This Row],[Name]], ITEquipmentTable[Name], "&lt;&gt;&lt;Unassigned&gt;",  ITEquipmentTable[Name], "&lt;&gt;N/A") &gt; 1</f>
        <v>0</v>
      </c>
      <c r="M457" s="168" t="b">
        <f>AND(COUNTIFS(ITEquipmentTable[IPv4 Address], ITEquipmentTable[[#This Row],[IPv4 Address]]) &gt; 1, ITEquipmentTable[[#This Row],[IPv4 Address]] &lt;&gt; "DHCP",  ITEquipmentTable[[#This Row],[IPv4 Address]] &lt;&gt; "N/A")</f>
        <v>0</v>
      </c>
    </row>
    <row r="458" spans="1:13" x14ac:dyDescent="0.2">
      <c r="A458" s="168">
        <f>IF(LEN(ITSecondTable[[#This Row],[Tag]]) &gt; 0, _xlfn.XLOOKUP(ITSecondTable[[#This Row],[Tag]],StorageTable[Tag], StorageTable[In Storage - Count Total], "Err", 0, 1), 0)</f>
        <v>18</v>
      </c>
      <c r="B458" s="1">
        <f>_xlfn.LET(_xlpm.loc, ITEquipmentTable[Storage Location],
COUNTIFS(ITSecondTable[Tag], ITSecondTable[[#This Row],[Tag]], _xlpm.loc, "&lt;&gt;In Use", _xlpm.loc, "&lt;&gt;",  _xlpm.loc, "&lt;&gt;E-Waste", _xlpm.loc, "&lt;&gt;Virtual",  _xlpm.loc, "&lt;&gt;Assigned to Employee", _xlpm.loc, "&lt;&gt;Decommisioned", _xlpm.loc, "&lt;&gt;Missing")
)</f>
        <v>11</v>
      </c>
      <c r="C458" s="1">
        <f>_xlfn.LET(_xlpm.loc, ITEquipmentTable[Storage Location],
COUNTIFS(ITSecondTable[Tag], ITSecondTable[[#This Row],[Tag]], _xlpm.loc, "&lt;&gt;E-Waste", _xlpm.loc, "&lt;&gt;Virtual", _xlpm.loc, "&lt;&gt;Decommisioned")
)</f>
        <v>38</v>
      </c>
      <c r="D458" s="168">
        <f>_xlfn.LET(_xlpm.loc, ITEquipmentTable[Storage Location],
COUNTIFS(ITSecondTable[Tag], ITSecondTable[[#This Row],[Tag]], _xlpm.loc, "Missing")
)</f>
        <v>0</v>
      </c>
      <c r="E458" s="168">
        <f>_xlfn.LET(_xlpm.loc, ITEquipmentTable[Storage Location],
COUNTIFS(ITSecondTable[Tag], ITSecondTable[[#This Row],[Tag]], _xlpm.loc, "In Use") + COUNTIFS(ITSecondTable[Tag], ITSecondTable[[#This Row],[Tag]], _xlpm.loc, "Assigned to Employee")
)</f>
        <v>13</v>
      </c>
      <c r="F458" s="168">
        <f>_xlfn.LET(_xlpm.loc, ITEquipmentTable[Storage Location],
COUNTIFS(ITSecondTable[Tag], ITSecondTable[[#This Row],[Tag]], _xlpm.loc, "")
)</f>
        <v>14</v>
      </c>
      <c r="G458" s="168">
        <f>MAX(ITSecondTable[[#This Row],[SQty]] - ITSecondTable[[#This Row],[IQty]], 0)</f>
        <v>0</v>
      </c>
      <c r="H458" s="168">
        <f>MAX(ITSecondTable[[#This Row],[IQty]]-ITSecondTable[[#This Row],[SQty]], 0)</f>
        <v>7</v>
      </c>
      <c r="I458" s="151" t="str">
        <f>IFERROR(_xlfn.TEXTJOIN("~", TRUE, ITEquipmentTable[[#This Row],[Type]],ITEquipmentTable[[#This Row],[Brand]],ITEquipmentTable[[#This Row],[Model]]), "")</f>
        <v>Scanner~Honeywell~1911i</v>
      </c>
      <c r="J458" s="151" t="b">
        <f xml:space="preserve"> _xlfn.IFNA(MATCH( ITSecondTable[[#This Row],[Tag]], StorageTable[Tag], 0)  &gt; -1, FALSE)</f>
        <v>0</v>
      </c>
      <c r="K458" s="168" t="b">
        <f>COUNTIFS(ITEquipmentTable[Serial], ITEquipmentTable[[#This Row],[Serial]], ITEquipmentTable[Serial], "&lt;&gt;N/A") &gt; 1</f>
        <v>0</v>
      </c>
      <c r="L458" s="168" t="b">
        <f>COUNTIFS(ITEquipmentTable[Name], ITEquipmentTable[[#This Row],[Name]], ITEquipmentTable[Name], "&lt;&gt;&lt;Unassigned&gt;",  ITEquipmentTable[Name], "&lt;&gt;N/A") &gt; 1</f>
        <v>0</v>
      </c>
      <c r="M458" s="168" t="b">
        <f>AND(COUNTIFS(ITEquipmentTable[IPv4 Address], ITEquipmentTable[[#This Row],[IPv4 Address]]) &gt; 1, ITEquipmentTable[[#This Row],[IPv4 Address]] &lt;&gt; "DHCP",  ITEquipmentTable[[#This Row],[IPv4 Address]] &lt;&gt; "N/A")</f>
        <v>0</v>
      </c>
    </row>
    <row r="459" spans="1:13" x14ac:dyDescent="0.2">
      <c r="A459" s="168">
        <f>IF(LEN(ITSecondTable[[#This Row],[Tag]]) &gt; 0, _xlfn.XLOOKUP(ITSecondTable[[#This Row],[Tag]],StorageTable[Tag], StorageTable[In Storage - Count Total], "Err", 0, 1), 0)</f>
        <v>18</v>
      </c>
      <c r="B459" s="1">
        <f>_xlfn.LET(_xlpm.loc, ITEquipmentTable[Storage Location],
COUNTIFS(ITSecondTable[Tag], ITSecondTable[[#This Row],[Tag]], _xlpm.loc, "&lt;&gt;In Use", _xlpm.loc, "&lt;&gt;",  _xlpm.loc, "&lt;&gt;E-Waste", _xlpm.loc, "&lt;&gt;Virtual",  _xlpm.loc, "&lt;&gt;Assigned to Employee", _xlpm.loc, "&lt;&gt;Decommisioned", _xlpm.loc, "&lt;&gt;Missing")
)</f>
        <v>11</v>
      </c>
      <c r="C459" s="1">
        <f>_xlfn.LET(_xlpm.loc, ITEquipmentTable[Storage Location],
COUNTIFS(ITSecondTable[Tag], ITSecondTable[[#This Row],[Tag]], _xlpm.loc, "&lt;&gt;E-Waste", _xlpm.loc, "&lt;&gt;Virtual", _xlpm.loc, "&lt;&gt;Decommisioned")
)</f>
        <v>38</v>
      </c>
      <c r="D459" s="168">
        <f>_xlfn.LET(_xlpm.loc, ITEquipmentTable[Storage Location],
COUNTIFS(ITSecondTable[Tag], ITSecondTable[[#This Row],[Tag]], _xlpm.loc, "Missing")
)</f>
        <v>0</v>
      </c>
      <c r="E459" s="168">
        <f>_xlfn.LET(_xlpm.loc, ITEquipmentTable[Storage Location],
COUNTIFS(ITSecondTable[Tag], ITSecondTable[[#This Row],[Tag]], _xlpm.loc, "In Use") + COUNTIFS(ITSecondTable[Tag], ITSecondTable[[#This Row],[Tag]], _xlpm.loc, "Assigned to Employee")
)</f>
        <v>13</v>
      </c>
      <c r="F459" s="168">
        <f>_xlfn.LET(_xlpm.loc, ITEquipmentTable[Storage Location],
COUNTIFS(ITSecondTable[Tag], ITSecondTable[[#This Row],[Tag]], _xlpm.loc, "")
)</f>
        <v>14</v>
      </c>
      <c r="G459" s="168">
        <f>MAX(ITSecondTable[[#This Row],[SQty]] - ITSecondTable[[#This Row],[IQty]], 0)</f>
        <v>0</v>
      </c>
      <c r="H459" s="168">
        <f>MAX(ITSecondTable[[#This Row],[IQty]]-ITSecondTable[[#This Row],[SQty]], 0)</f>
        <v>7</v>
      </c>
      <c r="I459" s="151" t="str">
        <f>IFERROR(_xlfn.TEXTJOIN("~", TRUE, ITEquipmentTable[[#This Row],[Type]],ITEquipmentTable[[#This Row],[Brand]],ITEquipmentTable[[#This Row],[Model]]), "")</f>
        <v>Scanner~Honeywell~1911i</v>
      </c>
      <c r="J459" s="151" t="b">
        <f xml:space="preserve"> _xlfn.IFNA(MATCH( ITSecondTable[[#This Row],[Tag]], StorageTable[Tag], 0)  &gt; -1, FALSE)</f>
        <v>0</v>
      </c>
      <c r="K459" s="168" t="b">
        <f>COUNTIFS(ITEquipmentTable[Serial], ITEquipmentTable[[#This Row],[Serial]], ITEquipmentTable[Serial], "&lt;&gt;N/A") &gt; 1</f>
        <v>0</v>
      </c>
      <c r="L459" s="168" t="b">
        <f>COUNTIFS(ITEquipmentTable[Name], ITEquipmentTable[[#This Row],[Name]], ITEquipmentTable[Name], "&lt;&gt;&lt;Unassigned&gt;",  ITEquipmentTable[Name], "&lt;&gt;N/A") &gt; 1</f>
        <v>0</v>
      </c>
      <c r="M459" s="168" t="b">
        <f>AND(COUNTIFS(ITEquipmentTable[IPv4 Address], ITEquipmentTable[[#This Row],[IPv4 Address]]) &gt; 1, ITEquipmentTable[[#This Row],[IPv4 Address]] &lt;&gt; "DHCP",  ITEquipmentTable[[#This Row],[IPv4 Address]] &lt;&gt; "N/A")</f>
        <v>0</v>
      </c>
    </row>
    <row r="460" spans="1:13" x14ac:dyDescent="0.2">
      <c r="A460" s="168">
        <f>IF(LEN(ITSecondTable[[#This Row],[Tag]]) &gt; 0, _xlfn.XLOOKUP(ITSecondTable[[#This Row],[Tag]],StorageTable[Tag], StorageTable[In Storage - Count Total], "Err", 0, 1), 0)</f>
        <v>18</v>
      </c>
      <c r="B460" s="1">
        <f>_xlfn.LET(_xlpm.loc, ITEquipmentTable[Storage Location],
COUNTIFS(ITSecondTable[Tag], ITSecondTable[[#This Row],[Tag]], _xlpm.loc, "&lt;&gt;In Use", _xlpm.loc, "&lt;&gt;",  _xlpm.loc, "&lt;&gt;E-Waste", _xlpm.loc, "&lt;&gt;Virtual",  _xlpm.loc, "&lt;&gt;Assigned to Employee", _xlpm.loc, "&lt;&gt;Decommisioned", _xlpm.loc, "&lt;&gt;Missing")
)</f>
        <v>11</v>
      </c>
      <c r="C460" s="1">
        <f>_xlfn.LET(_xlpm.loc, ITEquipmentTable[Storage Location],
COUNTIFS(ITSecondTable[Tag], ITSecondTable[[#This Row],[Tag]], _xlpm.loc, "&lt;&gt;E-Waste", _xlpm.loc, "&lt;&gt;Virtual", _xlpm.loc, "&lt;&gt;Decommisioned")
)</f>
        <v>38</v>
      </c>
      <c r="D460" s="168">
        <f>_xlfn.LET(_xlpm.loc, ITEquipmentTable[Storage Location],
COUNTIFS(ITSecondTable[Tag], ITSecondTable[[#This Row],[Tag]], _xlpm.loc, "Missing")
)</f>
        <v>0</v>
      </c>
      <c r="E460" s="168">
        <f>_xlfn.LET(_xlpm.loc, ITEquipmentTable[Storage Location],
COUNTIFS(ITSecondTable[Tag], ITSecondTable[[#This Row],[Tag]], _xlpm.loc, "In Use") + COUNTIFS(ITSecondTable[Tag], ITSecondTable[[#This Row],[Tag]], _xlpm.loc, "Assigned to Employee")
)</f>
        <v>13</v>
      </c>
      <c r="F460" s="168">
        <f>_xlfn.LET(_xlpm.loc, ITEquipmentTable[Storage Location],
COUNTIFS(ITSecondTable[Tag], ITSecondTable[[#This Row],[Tag]], _xlpm.loc, "")
)</f>
        <v>14</v>
      </c>
      <c r="G460" s="168">
        <f>MAX(ITSecondTable[[#This Row],[SQty]] - ITSecondTable[[#This Row],[IQty]], 0)</f>
        <v>0</v>
      </c>
      <c r="H460" s="168">
        <f>MAX(ITSecondTable[[#This Row],[IQty]]-ITSecondTable[[#This Row],[SQty]], 0)</f>
        <v>7</v>
      </c>
      <c r="I460" s="151" t="str">
        <f>IFERROR(_xlfn.TEXTJOIN("~", TRUE, ITEquipmentTable[[#This Row],[Type]],ITEquipmentTable[[#This Row],[Brand]],ITEquipmentTable[[#This Row],[Model]]), "")</f>
        <v>Scanner~Honeywell~1911i</v>
      </c>
      <c r="J460" s="151" t="b">
        <f xml:space="preserve"> _xlfn.IFNA(MATCH( ITSecondTable[[#This Row],[Tag]], StorageTable[Tag], 0)  &gt; -1, FALSE)</f>
        <v>0</v>
      </c>
      <c r="K460" s="168" t="b">
        <f>COUNTIFS(ITEquipmentTable[Serial], ITEquipmentTable[[#This Row],[Serial]], ITEquipmentTable[Serial], "&lt;&gt;N/A") &gt; 1</f>
        <v>0</v>
      </c>
      <c r="L460" s="168" t="b">
        <f>COUNTIFS(ITEquipmentTable[Name], ITEquipmentTable[[#This Row],[Name]], ITEquipmentTable[Name], "&lt;&gt;&lt;Unassigned&gt;",  ITEquipmentTable[Name], "&lt;&gt;N/A") &gt; 1</f>
        <v>0</v>
      </c>
      <c r="M460" s="168" t="b">
        <f>AND(COUNTIFS(ITEquipmentTable[IPv4 Address], ITEquipmentTable[[#This Row],[IPv4 Address]]) &gt; 1, ITEquipmentTable[[#This Row],[IPv4 Address]] &lt;&gt; "DHCP",  ITEquipmentTable[[#This Row],[IPv4 Address]] &lt;&gt; "N/A")</f>
        <v>0</v>
      </c>
    </row>
    <row r="461" spans="1:13" x14ac:dyDescent="0.2">
      <c r="A461" s="168">
        <f>IF(LEN(ITSecondTable[[#This Row],[Tag]]) &gt; 0, _xlfn.XLOOKUP(ITSecondTable[[#This Row],[Tag]],StorageTable[Tag], StorageTable[In Storage - Count Total], "Err", 0, 1), 0)</f>
        <v>18</v>
      </c>
      <c r="B461" s="1">
        <f>_xlfn.LET(_xlpm.loc, ITEquipmentTable[Storage Location],
COUNTIFS(ITSecondTable[Tag], ITSecondTable[[#This Row],[Tag]], _xlpm.loc, "&lt;&gt;In Use", _xlpm.loc, "&lt;&gt;",  _xlpm.loc, "&lt;&gt;E-Waste", _xlpm.loc, "&lt;&gt;Virtual",  _xlpm.loc, "&lt;&gt;Assigned to Employee", _xlpm.loc, "&lt;&gt;Decommisioned", _xlpm.loc, "&lt;&gt;Missing")
)</f>
        <v>11</v>
      </c>
      <c r="C461" s="1">
        <f>_xlfn.LET(_xlpm.loc, ITEquipmentTable[Storage Location],
COUNTIFS(ITSecondTable[Tag], ITSecondTable[[#This Row],[Tag]], _xlpm.loc, "&lt;&gt;E-Waste", _xlpm.loc, "&lt;&gt;Virtual", _xlpm.loc, "&lt;&gt;Decommisioned")
)</f>
        <v>38</v>
      </c>
      <c r="D461" s="168">
        <f>_xlfn.LET(_xlpm.loc, ITEquipmentTable[Storage Location],
COUNTIFS(ITSecondTable[Tag], ITSecondTable[[#This Row],[Tag]], _xlpm.loc, "Missing")
)</f>
        <v>0</v>
      </c>
      <c r="E461" s="168">
        <f>_xlfn.LET(_xlpm.loc, ITEquipmentTable[Storage Location],
COUNTIFS(ITSecondTable[Tag], ITSecondTable[[#This Row],[Tag]], _xlpm.loc, "In Use") + COUNTIFS(ITSecondTable[Tag], ITSecondTable[[#This Row],[Tag]], _xlpm.loc, "Assigned to Employee")
)</f>
        <v>13</v>
      </c>
      <c r="F461" s="168">
        <f>_xlfn.LET(_xlpm.loc, ITEquipmentTable[Storage Location],
COUNTIFS(ITSecondTable[Tag], ITSecondTable[[#This Row],[Tag]], _xlpm.loc, "")
)</f>
        <v>14</v>
      </c>
      <c r="G461" s="168">
        <f>MAX(ITSecondTable[[#This Row],[SQty]] - ITSecondTable[[#This Row],[IQty]], 0)</f>
        <v>0</v>
      </c>
      <c r="H461" s="168">
        <f>MAX(ITSecondTable[[#This Row],[IQty]]-ITSecondTable[[#This Row],[SQty]], 0)</f>
        <v>7</v>
      </c>
      <c r="I461" s="151" t="str">
        <f>IFERROR(_xlfn.TEXTJOIN("~", TRUE, ITEquipmentTable[[#This Row],[Type]],ITEquipmentTable[[#This Row],[Brand]],ITEquipmentTable[[#This Row],[Model]]), "")</f>
        <v>Scanner~Honeywell~1911i</v>
      </c>
      <c r="J461" s="151" t="b">
        <f xml:space="preserve"> _xlfn.IFNA(MATCH( ITSecondTable[[#This Row],[Tag]], StorageTable[Tag], 0)  &gt; -1, FALSE)</f>
        <v>0</v>
      </c>
      <c r="K461" s="168" t="b">
        <f>COUNTIFS(ITEquipmentTable[Serial], ITEquipmentTable[[#This Row],[Serial]], ITEquipmentTable[Serial], "&lt;&gt;N/A") &gt; 1</f>
        <v>0</v>
      </c>
      <c r="L461" s="168" t="b">
        <f>COUNTIFS(ITEquipmentTable[Name], ITEquipmentTable[[#This Row],[Name]], ITEquipmentTable[Name], "&lt;&gt;&lt;Unassigned&gt;",  ITEquipmentTable[Name], "&lt;&gt;N/A") &gt; 1</f>
        <v>0</v>
      </c>
      <c r="M461" s="168" t="b">
        <f>AND(COUNTIFS(ITEquipmentTable[IPv4 Address], ITEquipmentTable[[#This Row],[IPv4 Address]]) &gt; 1, ITEquipmentTable[[#This Row],[IPv4 Address]] &lt;&gt; "DHCP",  ITEquipmentTable[[#This Row],[IPv4 Address]] &lt;&gt; "N/A")</f>
        <v>0</v>
      </c>
    </row>
    <row r="462" spans="1:13" x14ac:dyDescent="0.2">
      <c r="A462" s="168">
        <f>IF(LEN(ITSecondTable[[#This Row],[Tag]]) &gt; 0, _xlfn.XLOOKUP(ITSecondTable[[#This Row],[Tag]],StorageTable[Tag], StorageTable[In Storage - Count Total], "Err", 0, 1), 0)</f>
        <v>0</v>
      </c>
      <c r="B462" s="1">
        <f>_xlfn.LET(_xlpm.loc, ITEquipmentTable[Storage Location],
COUNTIFS(ITSecondTable[Tag], ITSecondTable[[#This Row],[Tag]], _xlpm.loc, "&lt;&gt;In Use", _xlpm.loc, "&lt;&gt;",  _xlpm.loc, "&lt;&gt;E-Waste", _xlpm.loc, "&lt;&gt;Virtual",  _xlpm.loc, "&lt;&gt;Assigned to Employee", _xlpm.loc, "&lt;&gt;Decommisioned", _xlpm.loc, "&lt;&gt;Missing")
)</f>
        <v>3</v>
      </c>
      <c r="C462" s="1">
        <f>_xlfn.LET(_xlpm.loc, ITEquipmentTable[Storage Location],
COUNTIFS(ITSecondTable[Tag], ITSecondTable[[#This Row],[Tag]], _xlpm.loc, "&lt;&gt;E-Waste", _xlpm.loc, "&lt;&gt;Virtual", _xlpm.loc, "&lt;&gt;Decommisioned")
)</f>
        <v>3</v>
      </c>
      <c r="D462" s="168">
        <f>_xlfn.LET(_xlpm.loc, ITEquipmentTable[Storage Location],
COUNTIFS(ITSecondTable[Tag], ITSecondTable[[#This Row],[Tag]], _xlpm.loc, "Missing")
)</f>
        <v>0</v>
      </c>
      <c r="E462" s="168">
        <f>_xlfn.LET(_xlpm.loc, ITEquipmentTable[Storage Location],
COUNTIFS(ITSecondTable[Tag], ITSecondTable[[#This Row],[Tag]], _xlpm.loc, "In Use") + COUNTIFS(ITSecondTable[Tag], ITSecondTable[[#This Row],[Tag]], _xlpm.loc, "Assigned to Employee")
)</f>
        <v>0</v>
      </c>
      <c r="F462" s="168">
        <f>_xlfn.LET(_xlpm.loc, ITEquipmentTable[Storage Location],
COUNTIFS(ITSecondTable[Tag], ITSecondTable[[#This Row],[Tag]], _xlpm.loc, "")
)</f>
        <v>0</v>
      </c>
      <c r="G462" s="168">
        <f>MAX(ITSecondTable[[#This Row],[SQty]] - ITSecondTable[[#This Row],[IQty]], 0)</f>
        <v>3</v>
      </c>
      <c r="H462" s="168">
        <f>MAX(ITSecondTable[[#This Row],[IQty]]-ITSecondTable[[#This Row],[SQty]], 0)</f>
        <v>0</v>
      </c>
      <c r="I462" s="151" t="str">
        <f>IFERROR(_xlfn.TEXTJOIN("~", TRUE, ITEquipmentTable[[#This Row],[Type]],ITEquipmentTable[[#This Row],[Brand]],ITEquipmentTable[[#This Row],[Model]]), "")</f>
        <v>APC~APC~BE600M1</v>
      </c>
      <c r="J462" s="151" t="b">
        <f xml:space="preserve"> _xlfn.IFNA(MATCH( ITSecondTable[[#This Row],[Tag]], StorageTable[Tag], 0)  &gt; -1, FALSE)</f>
        <v>0</v>
      </c>
      <c r="K462" s="168" t="b">
        <f>COUNTIFS(ITEquipmentTable[Serial], ITEquipmentTable[[#This Row],[Serial]], ITEquipmentTable[Serial], "&lt;&gt;N/A") &gt; 1</f>
        <v>0</v>
      </c>
      <c r="L462" s="168" t="b">
        <f>COUNTIFS(ITEquipmentTable[Name], ITEquipmentTable[[#This Row],[Name]], ITEquipmentTable[Name], "&lt;&gt;&lt;Unassigned&gt;",  ITEquipmentTable[Name], "&lt;&gt;N/A") &gt; 1</f>
        <v>0</v>
      </c>
      <c r="M462" s="168" t="b">
        <f>AND(COUNTIFS(ITEquipmentTable[IPv4 Address], ITEquipmentTable[[#This Row],[IPv4 Address]]) &gt; 1, ITEquipmentTable[[#This Row],[IPv4 Address]] &lt;&gt; "DHCP",  ITEquipmentTable[[#This Row],[IPv4 Address]] &lt;&gt; "N/A")</f>
        <v>0</v>
      </c>
    </row>
    <row r="463" spans="1:13" x14ac:dyDescent="0.2">
      <c r="A463" s="168">
        <f>IF(LEN(ITSecondTable[[#This Row],[Tag]]) &gt; 0, _xlfn.XLOOKUP(ITSecondTable[[#This Row],[Tag]],StorageTable[Tag], StorageTable[In Storage - Count Total], "Err", 0, 1), 0)</f>
        <v>0</v>
      </c>
      <c r="B463" s="1">
        <f>_xlfn.LET(_xlpm.loc, ITEquipmentTable[Storage Location],
COUNTIFS(ITSecondTable[Tag], ITSecondTable[[#This Row],[Tag]], _xlpm.loc, "&lt;&gt;In Use", _xlpm.loc, "&lt;&gt;",  _xlpm.loc, "&lt;&gt;E-Waste", _xlpm.loc, "&lt;&gt;Virtual",  _xlpm.loc, "&lt;&gt;Assigned to Employee", _xlpm.loc, "&lt;&gt;Decommisioned", _xlpm.loc, "&lt;&gt;Missing")
)</f>
        <v>3</v>
      </c>
      <c r="C463" s="1">
        <f>_xlfn.LET(_xlpm.loc, ITEquipmentTable[Storage Location],
COUNTIFS(ITSecondTable[Tag], ITSecondTable[[#This Row],[Tag]], _xlpm.loc, "&lt;&gt;E-Waste", _xlpm.loc, "&lt;&gt;Virtual", _xlpm.loc, "&lt;&gt;Decommisioned")
)</f>
        <v>4</v>
      </c>
      <c r="D463" s="168">
        <f>_xlfn.LET(_xlpm.loc, ITEquipmentTable[Storage Location],
COUNTIFS(ITSecondTable[Tag], ITSecondTable[[#This Row],[Tag]], _xlpm.loc, "Missing")
)</f>
        <v>0</v>
      </c>
      <c r="E463" s="168">
        <f>_xlfn.LET(_xlpm.loc, ITEquipmentTable[Storage Location],
COUNTIFS(ITSecondTable[Tag], ITSecondTable[[#This Row],[Tag]], _xlpm.loc, "In Use") + COUNTIFS(ITSecondTable[Tag], ITSecondTable[[#This Row],[Tag]], _xlpm.loc, "Assigned to Employee")
)</f>
        <v>0</v>
      </c>
      <c r="F463" s="168">
        <f>_xlfn.LET(_xlpm.loc, ITEquipmentTable[Storage Location],
COUNTIFS(ITSecondTable[Tag], ITSecondTable[[#This Row],[Tag]], _xlpm.loc, "")
)</f>
        <v>1</v>
      </c>
      <c r="G463" s="168">
        <f>MAX(ITSecondTable[[#This Row],[SQty]] - ITSecondTable[[#This Row],[IQty]], 0)</f>
        <v>3</v>
      </c>
      <c r="H463" s="168">
        <f>MAX(ITSecondTable[[#This Row],[IQty]]-ITSecondTable[[#This Row],[SQty]], 0)</f>
        <v>0</v>
      </c>
      <c r="I463" s="151" t="str">
        <f>IFERROR(_xlfn.TEXTJOIN("~", TRUE, ITEquipmentTable[[#This Row],[Type]],ITEquipmentTable[[#This Row],[Brand]],ITEquipmentTable[[#This Row],[Model]]), "")</f>
        <v>APC~APC~BE750G</v>
      </c>
      <c r="J463" s="151" t="b">
        <f xml:space="preserve"> _xlfn.IFNA(MATCH( ITSecondTable[[#This Row],[Tag]], StorageTable[Tag], 0)  &gt; -1, FALSE)</f>
        <v>0</v>
      </c>
      <c r="K463" s="168" t="b">
        <f>COUNTIFS(ITEquipmentTable[Serial], ITEquipmentTable[[#This Row],[Serial]], ITEquipmentTable[Serial], "&lt;&gt;N/A") &gt; 1</f>
        <v>0</v>
      </c>
      <c r="L463" s="168" t="b">
        <f>COUNTIFS(ITEquipmentTable[Name], ITEquipmentTable[[#This Row],[Name]], ITEquipmentTable[Name], "&lt;&gt;&lt;Unassigned&gt;",  ITEquipmentTable[Name], "&lt;&gt;N/A") &gt; 1</f>
        <v>0</v>
      </c>
      <c r="M463" s="168" t="b">
        <f>AND(COUNTIFS(ITEquipmentTable[IPv4 Address], ITEquipmentTable[[#This Row],[IPv4 Address]]) &gt; 1, ITEquipmentTable[[#This Row],[IPv4 Address]] &lt;&gt; "DHCP",  ITEquipmentTable[[#This Row],[IPv4 Address]] &lt;&gt; "N/A")</f>
        <v>0</v>
      </c>
    </row>
    <row r="464" spans="1:13" x14ac:dyDescent="0.2">
      <c r="A464" s="168">
        <f>IF(LEN(ITSecondTable[[#This Row],[Tag]]) &gt; 0, _xlfn.XLOOKUP(ITSecondTable[[#This Row],[Tag]],StorageTable[Tag], StorageTable[In Storage - Count Total], "Err", 0, 1), 0)</f>
        <v>0</v>
      </c>
      <c r="B464" s="1">
        <f>_xlfn.LET(_xlpm.loc, ITEquipmentTable[Storage Location],
COUNTIFS(ITSecondTable[Tag], ITSecondTable[[#This Row],[Tag]], _xlpm.loc, "&lt;&gt;In Use", _xlpm.loc, "&lt;&gt;",  _xlpm.loc, "&lt;&gt;E-Waste", _xlpm.loc, "&lt;&gt;Virtual",  _xlpm.loc, "&lt;&gt;Assigned to Employee", _xlpm.loc, "&lt;&gt;Decommisioned", _xlpm.loc, "&lt;&gt;Missing")
)</f>
        <v>11</v>
      </c>
      <c r="C464" s="1">
        <f>_xlfn.LET(_xlpm.loc, ITEquipmentTable[Storage Location],
COUNTIFS(ITSecondTable[Tag], ITSecondTable[[#This Row],[Tag]], _xlpm.loc, "&lt;&gt;E-Waste", _xlpm.loc, "&lt;&gt;Virtual", _xlpm.loc, "&lt;&gt;Decommisioned")
)</f>
        <v>11</v>
      </c>
      <c r="D464" s="168">
        <f>_xlfn.LET(_xlpm.loc, ITEquipmentTable[Storage Location],
COUNTIFS(ITSecondTable[Tag], ITSecondTable[[#This Row],[Tag]], _xlpm.loc, "Missing")
)</f>
        <v>0</v>
      </c>
      <c r="E464" s="168">
        <f>_xlfn.LET(_xlpm.loc, ITEquipmentTable[Storage Location],
COUNTIFS(ITSecondTable[Tag], ITSecondTable[[#This Row],[Tag]], _xlpm.loc, "In Use") + COUNTIFS(ITSecondTable[Tag], ITSecondTable[[#This Row],[Tag]], _xlpm.loc, "Assigned to Employee")
)</f>
        <v>0</v>
      </c>
      <c r="F464" s="168">
        <f>_xlfn.LET(_xlpm.loc, ITEquipmentTable[Storage Location],
COUNTIFS(ITSecondTable[Tag], ITSecondTable[[#This Row],[Tag]], _xlpm.loc, "")
)</f>
        <v>0</v>
      </c>
      <c r="G464" s="168">
        <f>MAX(ITSecondTable[[#This Row],[SQty]] - ITSecondTable[[#This Row],[IQty]], 0)</f>
        <v>11</v>
      </c>
      <c r="H464" s="168">
        <f>MAX(ITSecondTable[[#This Row],[IQty]]-ITSecondTable[[#This Row],[SQty]], 0)</f>
        <v>0</v>
      </c>
      <c r="I464" s="151" t="str">
        <f>IFERROR(_xlfn.TEXTJOIN("~", TRUE, ITEquipmentTable[[#This Row],[Type]],ITEquipmentTable[[#This Row],[Brand]],ITEquipmentTable[[#This Row],[Model]]), "")</f>
        <v>APC~APC~BE850M2</v>
      </c>
      <c r="J464" s="151" t="b">
        <f xml:space="preserve"> _xlfn.IFNA(MATCH( ITSecondTable[[#This Row],[Tag]], StorageTable[Tag], 0)  &gt; -1, FALSE)</f>
        <v>0</v>
      </c>
      <c r="K464" s="168" t="b">
        <f>COUNTIFS(ITEquipmentTable[Serial], ITEquipmentTable[[#This Row],[Serial]], ITEquipmentTable[Serial], "&lt;&gt;N/A") &gt; 1</f>
        <v>0</v>
      </c>
      <c r="L464" s="168" t="b">
        <f>COUNTIFS(ITEquipmentTable[Name], ITEquipmentTable[[#This Row],[Name]], ITEquipmentTable[Name], "&lt;&gt;&lt;Unassigned&gt;",  ITEquipmentTable[Name], "&lt;&gt;N/A") &gt; 1</f>
        <v>0</v>
      </c>
      <c r="M464" s="168" t="b">
        <f>AND(COUNTIFS(ITEquipmentTable[IPv4 Address], ITEquipmentTable[[#This Row],[IPv4 Address]]) &gt; 1, ITEquipmentTable[[#This Row],[IPv4 Address]] &lt;&gt; "DHCP",  ITEquipmentTable[[#This Row],[IPv4 Address]] &lt;&gt; "N/A")</f>
        <v>0</v>
      </c>
    </row>
    <row r="465" spans="1:13" x14ac:dyDescent="0.2">
      <c r="A465" s="168">
        <f>IF(LEN(ITSecondTable[[#This Row],[Tag]]) &gt; 0, _xlfn.XLOOKUP(ITSecondTable[[#This Row],[Tag]],StorageTable[Tag], StorageTable[In Storage - Count Total], "Err", 0, 1), 0)</f>
        <v>0</v>
      </c>
      <c r="B465" s="1">
        <f>_xlfn.LET(_xlpm.loc, ITEquipmentTable[Storage Location],
COUNTIFS(ITSecondTable[Tag], ITSecondTable[[#This Row],[Tag]], _xlpm.loc, "&lt;&gt;In Use", _xlpm.loc, "&lt;&gt;",  _xlpm.loc, "&lt;&gt;E-Waste", _xlpm.loc, "&lt;&gt;Virtual",  _xlpm.loc, "&lt;&gt;Assigned to Employee", _xlpm.loc, "&lt;&gt;Decommisioned", _xlpm.loc, "&lt;&gt;Missing")
)</f>
        <v>11</v>
      </c>
      <c r="C465" s="1">
        <f>_xlfn.LET(_xlpm.loc, ITEquipmentTable[Storage Location],
COUNTIFS(ITSecondTable[Tag], ITSecondTable[[#This Row],[Tag]], _xlpm.loc, "&lt;&gt;E-Waste", _xlpm.loc, "&lt;&gt;Virtual", _xlpm.loc, "&lt;&gt;Decommisioned")
)</f>
        <v>11</v>
      </c>
      <c r="D465" s="168">
        <f>_xlfn.LET(_xlpm.loc, ITEquipmentTable[Storage Location],
COUNTIFS(ITSecondTable[Tag], ITSecondTable[[#This Row],[Tag]], _xlpm.loc, "Missing")
)</f>
        <v>0</v>
      </c>
      <c r="E465" s="168">
        <f>_xlfn.LET(_xlpm.loc, ITEquipmentTable[Storage Location],
COUNTIFS(ITSecondTable[Tag], ITSecondTable[[#This Row],[Tag]], _xlpm.loc, "In Use") + COUNTIFS(ITSecondTable[Tag], ITSecondTable[[#This Row],[Tag]], _xlpm.loc, "Assigned to Employee")
)</f>
        <v>0</v>
      </c>
      <c r="F465" s="168">
        <f>_xlfn.LET(_xlpm.loc, ITEquipmentTable[Storage Location],
COUNTIFS(ITSecondTable[Tag], ITSecondTable[[#This Row],[Tag]], _xlpm.loc, "")
)</f>
        <v>0</v>
      </c>
      <c r="G465" s="168">
        <f>MAX(ITSecondTable[[#This Row],[SQty]] - ITSecondTable[[#This Row],[IQty]], 0)</f>
        <v>11</v>
      </c>
      <c r="H465" s="168">
        <f>MAX(ITSecondTable[[#This Row],[IQty]]-ITSecondTable[[#This Row],[SQty]], 0)</f>
        <v>0</v>
      </c>
      <c r="I465" s="151" t="str">
        <f>IFERROR(_xlfn.TEXTJOIN("~", TRUE, ITEquipmentTable[[#This Row],[Type]],ITEquipmentTable[[#This Row],[Brand]],ITEquipmentTable[[#This Row],[Model]]), "")</f>
        <v>APC~APC~BE850M2</v>
      </c>
      <c r="J465" s="151" t="b">
        <f xml:space="preserve"> _xlfn.IFNA(MATCH( ITSecondTable[[#This Row],[Tag]], StorageTable[Tag], 0)  &gt; -1, FALSE)</f>
        <v>0</v>
      </c>
      <c r="K465" s="168" t="b">
        <f>COUNTIFS(ITEquipmentTable[Serial], ITEquipmentTable[[#This Row],[Serial]], ITEquipmentTable[Serial], "&lt;&gt;N/A") &gt; 1</f>
        <v>0</v>
      </c>
      <c r="L465" s="168" t="b">
        <f>COUNTIFS(ITEquipmentTable[Name], ITEquipmentTable[[#This Row],[Name]], ITEquipmentTable[Name], "&lt;&gt;&lt;Unassigned&gt;",  ITEquipmentTable[Name], "&lt;&gt;N/A") &gt; 1</f>
        <v>0</v>
      </c>
      <c r="M465" s="168" t="b">
        <f>AND(COUNTIFS(ITEquipmentTable[IPv4 Address], ITEquipmentTable[[#This Row],[IPv4 Address]]) &gt; 1, ITEquipmentTable[[#This Row],[IPv4 Address]] &lt;&gt; "DHCP",  ITEquipmentTable[[#This Row],[IPv4 Address]] &lt;&gt; "N/A")</f>
        <v>0</v>
      </c>
    </row>
    <row r="466" spans="1:13" x14ac:dyDescent="0.2">
      <c r="A466" s="168">
        <f>IF(LEN(ITSecondTable[[#This Row],[Tag]]) &gt; 0, _xlfn.XLOOKUP(ITSecondTable[[#This Row],[Tag]],StorageTable[Tag], StorageTable[In Storage - Count Total], "Err", 0, 1), 0)</f>
        <v>0</v>
      </c>
      <c r="B466" s="1">
        <f>_xlfn.LET(_xlpm.loc, ITEquipmentTable[Storage Location],
COUNTIFS(ITSecondTable[Tag], ITSecondTable[[#This Row],[Tag]], _xlpm.loc, "&lt;&gt;In Use", _xlpm.loc, "&lt;&gt;",  _xlpm.loc, "&lt;&gt;E-Waste", _xlpm.loc, "&lt;&gt;Virtual",  _xlpm.loc, "&lt;&gt;Assigned to Employee", _xlpm.loc, "&lt;&gt;Decommisioned", _xlpm.loc, "&lt;&gt;Missing")
)</f>
        <v>11</v>
      </c>
      <c r="C466" s="1">
        <f>_xlfn.LET(_xlpm.loc, ITEquipmentTable[Storage Location],
COUNTIFS(ITSecondTable[Tag], ITSecondTable[[#This Row],[Tag]], _xlpm.loc, "&lt;&gt;E-Waste", _xlpm.loc, "&lt;&gt;Virtual", _xlpm.loc, "&lt;&gt;Decommisioned")
)</f>
        <v>11</v>
      </c>
      <c r="D466" s="168">
        <f>_xlfn.LET(_xlpm.loc, ITEquipmentTable[Storage Location],
COUNTIFS(ITSecondTable[Tag], ITSecondTable[[#This Row],[Tag]], _xlpm.loc, "Missing")
)</f>
        <v>0</v>
      </c>
      <c r="E466" s="168">
        <f>_xlfn.LET(_xlpm.loc, ITEquipmentTable[Storage Location],
COUNTIFS(ITSecondTable[Tag], ITSecondTable[[#This Row],[Tag]], _xlpm.loc, "In Use") + COUNTIFS(ITSecondTable[Tag], ITSecondTable[[#This Row],[Tag]], _xlpm.loc, "Assigned to Employee")
)</f>
        <v>0</v>
      </c>
      <c r="F466" s="168">
        <f>_xlfn.LET(_xlpm.loc, ITEquipmentTable[Storage Location],
COUNTIFS(ITSecondTable[Tag], ITSecondTable[[#This Row],[Tag]], _xlpm.loc, "")
)</f>
        <v>0</v>
      </c>
      <c r="G466" s="168">
        <f>MAX(ITSecondTable[[#This Row],[SQty]] - ITSecondTable[[#This Row],[IQty]], 0)</f>
        <v>11</v>
      </c>
      <c r="H466" s="168">
        <f>MAX(ITSecondTable[[#This Row],[IQty]]-ITSecondTable[[#This Row],[SQty]], 0)</f>
        <v>0</v>
      </c>
      <c r="I466" s="151" t="str">
        <f>IFERROR(_xlfn.TEXTJOIN("~", TRUE, ITEquipmentTable[[#This Row],[Type]],ITEquipmentTable[[#This Row],[Brand]],ITEquipmentTable[[#This Row],[Model]]), "")</f>
        <v>APC~APC~BE850M2</v>
      </c>
      <c r="J466" s="151" t="b">
        <f xml:space="preserve"> _xlfn.IFNA(MATCH( ITSecondTable[[#This Row],[Tag]], StorageTable[Tag], 0)  &gt; -1, FALSE)</f>
        <v>0</v>
      </c>
      <c r="K466" s="168" t="b">
        <f>COUNTIFS(ITEquipmentTable[Serial], ITEquipmentTable[[#This Row],[Serial]], ITEquipmentTable[Serial], "&lt;&gt;N/A") &gt; 1</f>
        <v>0</v>
      </c>
      <c r="L466" s="168" t="b">
        <f>COUNTIFS(ITEquipmentTable[Name], ITEquipmentTable[[#This Row],[Name]], ITEquipmentTable[Name], "&lt;&gt;&lt;Unassigned&gt;",  ITEquipmentTable[Name], "&lt;&gt;N/A") &gt; 1</f>
        <v>0</v>
      </c>
      <c r="M466" s="168" t="b">
        <f>AND(COUNTIFS(ITEquipmentTable[IPv4 Address], ITEquipmentTable[[#This Row],[IPv4 Address]]) &gt; 1, ITEquipmentTable[[#This Row],[IPv4 Address]] &lt;&gt; "DHCP",  ITEquipmentTable[[#This Row],[IPv4 Address]] &lt;&gt; "N/A")</f>
        <v>0</v>
      </c>
    </row>
    <row r="467" spans="1:13" x14ac:dyDescent="0.2">
      <c r="A467" s="168">
        <f>IF(LEN(ITSecondTable[[#This Row],[Tag]]) &gt; 0, _xlfn.XLOOKUP(ITSecondTable[[#This Row],[Tag]],StorageTable[Tag], StorageTable[In Storage - Count Total], "Err", 0, 1), 0)</f>
        <v>0</v>
      </c>
      <c r="B467" s="1">
        <f>_xlfn.LET(_xlpm.loc, ITEquipmentTable[Storage Location],
COUNTIFS(ITSecondTable[Tag], ITSecondTable[[#This Row],[Tag]], _xlpm.loc, "&lt;&gt;In Use", _xlpm.loc, "&lt;&gt;",  _xlpm.loc, "&lt;&gt;E-Waste", _xlpm.loc, "&lt;&gt;Virtual",  _xlpm.loc, "&lt;&gt;Assigned to Employee", _xlpm.loc, "&lt;&gt;Decommisioned", _xlpm.loc, "&lt;&gt;Missing")
)</f>
        <v>11</v>
      </c>
      <c r="C467" s="1">
        <f>_xlfn.LET(_xlpm.loc, ITEquipmentTable[Storage Location],
COUNTIFS(ITSecondTable[Tag], ITSecondTable[[#This Row],[Tag]], _xlpm.loc, "&lt;&gt;E-Waste", _xlpm.loc, "&lt;&gt;Virtual", _xlpm.loc, "&lt;&gt;Decommisioned")
)</f>
        <v>11</v>
      </c>
      <c r="D467" s="168">
        <f>_xlfn.LET(_xlpm.loc, ITEquipmentTable[Storage Location],
COUNTIFS(ITSecondTable[Tag], ITSecondTable[[#This Row],[Tag]], _xlpm.loc, "Missing")
)</f>
        <v>0</v>
      </c>
      <c r="E467" s="168">
        <f>_xlfn.LET(_xlpm.loc, ITEquipmentTable[Storage Location],
COUNTIFS(ITSecondTable[Tag], ITSecondTable[[#This Row],[Tag]], _xlpm.loc, "In Use") + COUNTIFS(ITSecondTable[Tag], ITSecondTable[[#This Row],[Tag]], _xlpm.loc, "Assigned to Employee")
)</f>
        <v>0</v>
      </c>
      <c r="F467" s="168">
        <f>_xlfn.LET(_xlpm.loc, ITEquipmentTable[Storage Location],
COUNTIFS(ITSecondTable[Tag], ITSecondTable[[#This Row],[Tag]], _xlpm.loc, "")
)</f>
        <v>0</v>
      </c>
      <c r="G467" s="168">
        <f>MAX(ITSecondTable[[#This Row],[SQty]] - ITSecondTable[[#This Row],[IQty]], 0)</f>
        <v>11</v>
      </c>
      <c r="H467" s="168">
        <f>MAX(ITSecondTable[[#This Row],[IQty]]-ITSecondTable[[#This Row],[SQty]], 0)</f>
        <v>0</v>
      </c>
      <c r="I467" s="151" t="str">
        <f>IFERROR(_xlfn.TEXTJOIN("~", TRUE, ITEquipmentTable[[#This Row],[Type]],ITEquipmentTable[[#This Row],[Brand]],ITEquipmentTable[[#This Row],[Model]]), "")</f>
        <v>APC~APC~BE850M2</v>
      </c>
      <c r="J467" s="151" t="b">
        <f xml:space="preserve"> _xlfn.IFNA(MATCH( ITSecondTable[[#This Row],[Tag]], StorageTable[Tag], 0)  &gt; -1, FALSE)</f>
        <v>0</v>
      </c>
      <c r="K467" s="168" t="b">
        <f>COUNTIFS(ITEquipmentTable[Serial], ITEquipmentTable[[#This Row],[Serial]], ITEquipmentTable[Serial], "&lt;&gt;N/A") &gt; 1</f>
        <v>0</v>
      </c>
      <c r="L467" s="168" t="b">
        <f>COUNTIFS(ITEquipmentTable[Name], ITEquipmentTable[[#This Row],[Name]], ITEquipmentTable[Name], "&lt;&gt;&lt;Unassigned&gt;",  ITEquipmentTable[Name], "&lt;&gt;N/A") &gt; 1</f>
        <v>0</v>
      </c>
      <c r="M467" s="168" t="b">
        <f>AND(COUNTIFS(ITEquipmentTable[IPv4 Address], ITEquipmentTable[[#This Row],[IPv4 Address]]) &gt; 1, ITEquipmentTable[[#This Row],[IPv4 Address]] &lt;&gt; "DHCP",  ITEquipmentTable[[#This Row],[IPv4 Address]] &lt;&gt; "N/A")</f>
        <v>0</v>
      </c>
    </row>
    <row r="468" spans="1:13" x14ac:dyDescent="0.2">
      <c r="A468" s="168">
        <f>IF(LEN(ITSecondTable[[#This Row],[Tag]]) &gt; 0, _xlfn.XLOOKUP(ITSecondTable[[#This Row],[Tag]],StorageTable[Tag], StorageTable[In Storage - Count Total], "Err", 0, 1), 0)</f>
        <v>0</v>
      </c>
      <c r="B468" s="1">
        <f>_xlfn.LET(_xlpm.loc, ITEquipmentTable[Storage Location],
COUNTIFS(ITSecondTable[Tag], ITSecondTable[[#This Row],[Tag]], _xlpm.loc, "&lt;&gt;In Use", _xlpm.loc, "&lt;&gt;",  _xlpm.loc, "&lt;&gt;E-Waste", _xlpm.loc, "&lt;&gt;Virtual",  _xlpm.loc, "&lt;&gt;Assigned to Employee", _xlpm.loc, "&lt;&gt;Decommisioned", _xlpm.loc, "&lt;&gt;Missing")
)</f>
        <v>11</v>
      </c>
      <c r="C468" s="1">
        <f>_xlfn.LET(_xlpm.loc, ITEquipmentTable[Storage Location],
COUNTIFS(ITSecondTable[Tag], ITSecondTable[[#This Row],[Tag]], _xlpm.loc, "&lt;&gt;E-Waste", _xlpm.loc, "&lt;&gt;Virtual", _xlpm.loc, "&lt;&gt;Decommisioned")
)</f>
        <v>11</v>
      </c>
      <c r="D468" s="168">
        <f>_xlfn.LET(_xlpm.loc, ITEquipmentTable[Storage Location],
COUNTIFS(ITSecondTable[Tag], ITSecondTable[[#This Row],[Tag]], _xlpm.loc, "Missing")
)</f>
        <v>0</v>
      </c>
      <c r="E468" s="168">
        <f>_xlfn.LET(_xlpm.loc, ITEquipmentTable[Storage Location],
COUNTIFS(ITSecondTable[Tag], ITSecondTable[[#This Row],[Tag]], _xlpm.loc, "In Use") + COUNTIFS(ITSecondTable[Tag], ITSecondTable[[#This Row],[Tag]], _xlpm.loc, "Assigned to Employee")
)</f>
        <v>0</v>
      </c>
      <c r="F468" s="168">
        <f>_xlfn.LET(_xlpm.loc, ITEquipmentTable[Storage Location],
COUNTIFS(ITSecondTable[Tag], ITSecondTable[[#This Row],[Tag]], _xlpm.loc, "")
)</f>
        <v>0</v>
      </c>
      <c r="G468" s="168">
        <f>MAX(ITSecondTable[[#This Row],[SQty]] - ITSecondTable[[#This Row],[IQty]], 0)</f>
        <v>11</v>
      </c>
      <c r="H468" s="168">
        <f>MAX(ITSecondTable[[#This Row],[IQty]]-ITSecondTable[[#This Row],[SQty]], 0)</f>
        <v>0</v>
      </c>
      <c r="I468" s="151" t="str">
        <f>IFERROR(_xlfn.TEXTJOIN("~", TRUE, ITEquipmentTable[[#This Row],[Type]],ITEquipmentTable[[#This Row],[Brand]],ITEquipmentTable[[#This Row],[Model]]), "")</f>
        <v>APC~APC~BE850M2</v>
      </c>
      <c r="J468" s="151" t="b">
        <f xml:space="preserve"> _xlfn.IFNA(MATCH( ITSecondTable[[#This Row],[Tag]], StorageTable[Tag], 0)  &gt; -1, FALSE)</f>
        <v>0</v>
      </c>
      <c r="K468" s="168" t="b">
        <f>COUNTIFS(ITEquipmentTable[Serial], ITEquipmentTable[[#This Row],[Serial]], ITEquipmentTable[Serial], "&lt;&gt;N/A") &gt; 1</f>
        <v>0</v>
      </c>
      <c r="L468" s="168" t="b">
        <f>COUNTIFS(ITEquipmentTable[Name], ITEquipmentTable[[#This Row],[Name]], ITEquipmentTable[Name], "&lt;&gt;&lt;Unassigned&gt;",  ITEquipmentTable[Name], "&lt;&gt;N/A") &gt; 1</f>
        <v>0</v>
      </c>
      <c r="M468" s="168" t="b">
        <f>AND(COUNTIFS(ITEquipmentTable[IPv4 Address], ITEquipmentTable[[#This Row],[IPv4 Address]]) &gt; 1, ITEquipmentTable[[#This Row],[IPv4 Address]] &lt;&gt; "DHCP",  ITEquipmentTable[[#This Row],[IPv4 Address]] &lt;&gt; "N/A")</f>
        <v>0</v>
      </c>
    </row>
    <row r="469" spans="1:13" x14ac:dyDescent="0.2">
      <c r="A469" s="168">
        <f>IF(LEN(ITSecondTable[[#This Row],[Tag]]) &gt; 0, _xlfn.XLOOKUP(ITSecondTable[[#This Row],[Tag]],StorageTable[Tag], StorageTable[In Storage - Count Total], "Err", 0, 1), 0)</f>
        <v>0</v>
      </c>
      <c r="B469" s="1">
        <f>_xlfn.LET(_xlpm.loc, ITEquipmentTable[Storage Location],
COUNTIFS(ITSecondTable[Tag], ITSecondTable[[#This Row],[Tag]], _xlpm.loc, "&lt;&gt;In Use", _xlpm.loc, "&lt;&gt;",  _xlpm.loc, "&lt;&gt;E-Waste", _xlpm.loc, "&lt;&gt;Virtual",  _xlpm.loc, "&lt;&gt;Assigned to Employee", _xlpm.loc, "&lt;&gt;Decommisioned", _xlpm.loc, "&lt;&gt;Missing")
)</f>
        <v>11</v>
      </c>
      <c r="C469" s="1">
        <f>_xlfn.LET(_xlpm.loc, ITEquipmentTable[Storage Location],
COUNTIFS(ITSecondTable[Tag], ITSecondTable[[#This Row],[Tag]], _xlpm.loc, "&lt;&gt;E-Waste", _xlpm.loc, "&lt;&gt;Virtual", _xlpm.loc, "&lt;&gt;Decommisioned")
)</f>
        <v>11</v>
      </c>
      <c r="D469" s="168">
        <f>_xlfn.LET(_xlpm.loc, ITEquipmentTable[Storage Location],
COUNTIFS(ITSecondTable[Tag], ITSecondTable[[#This Row],[Tag]], _xlpm.loc, "Missing")
)</f>
        <v>0</v>
      </c>
      <c r="E469" s="168">
        <f>_xlfn.LET(_xlpm.loc, ITEquipmentTable[Storage Location],
COUNTIFS(ITSecondTable[Tag], ITSecondTable[[#This Row],[Tag]], _xlpm.loc, "In Use") + COUNTIFS(ITSecondTable[Tag], ITSecondTable[[#This Row],[Tag]], _xlpm.loc, "Assigned to Employee")
)</f>
        <v>0</v>
      </c>
      <c r="F469" s="168">
        <f>_xlfn.LET(_xlpm.loc, ITEquipmentTable[Storage Location],
COUNTIFS(ITSecondTable[Tag], ITSecondTable[[#This Row],[Tag]], _xlpm.loc, "")
)</f>
        <v>0</v>
      </c>
      <c r="G469" s="168">
        <f>MAX(ITSecondTable[[#This Row],[SQty]] - ITSecondTable[[#This Row],[IQty]], 0)</f>
        <v>11</v>
      </c>
      <c r="H469" s="168">
        <f>MAX(ITSecondTable[[#This Row],[IQty]]-ITSecondTable[[#This Row],[SQty]], 0)</f>
        <v>0</v>
      </c>
      <c r="I469" s="151" t="str">
        <f>IFERROR(_xlfn.TEXTJOIN("~", TRUE, ITEquipmentTable[[#This Row],[Type]],ITEquipmentTable[[#This Row],[Brand]],ITEquipmentTable[[#This Row],[Model]]), "")</f>
        <v>APC~APC~BE850M2</v>
      </c>
      <c r="J469" s="151" t="b">
        <f xml:space="preserve"> _xlfn.IFNA(MATCH( ITSecondTable[[#This Row],[Tag]], StorageTable[Tag], 0)  &gt; -1, FALSE)</f>
        <v>0</v>
      </c>
      <c r="K469" s="168" t="b">
        <f>COUNTIFS(ITEquipmentTable[Serial], ITEquipmentTable[[#This Row],[Serial]], ITEquipmentTable[Serial], "&lt;&gt;N/A") &gt; 1</f>
        <v>0</v>
      </c>
      <c r="L469" s="168" t="b">
        <f>COUNTIFS(ITEquipmentTable[Name], ITEquipmentTable[[#This Row],[Name]], ITEquipmentTable[Name], "&lt;&gt;&lt;Unassigned&gt;",  ITEquipmentTable[Name], "&lt;&gt;N/A") &gt; 1</f>
        <v>0</v>
      </c>
      <c r="M469" s="168" t="b">
        <f>AND(COUNTIFS(ITEquipmentTable[IPv4 Address], ITEquipmentTable[[#This Row],[IPv4 Address]]) &gt; 1, ITEquipmentTable[[#This Row],[IPv4 Address]] &lt;&gt; "DHCP",  ITEquipmentTable[[#This Row],[IPv4 Address]] &lt;&gt; "N/A")</f>
        <v>0</v>
      </c>
    </row>
    <row r="470" spans="1:13" x14ac:dyDescent="0.2">
      <c r="A470" s="168">
        <f>IF(LEN(ITSecondTable[[#This Row],[Tag]]) &gt; 0, _xlfn.XLOOKUP(ITSecondTable[[#This Row],[Tag]],StorageTable[Tag], StorageTable[In Storage - Count Total], "Err", 0, 1), 0)</f>
        <v>0</v>
      </c>
      <c r="B470" s="1">
        <f>_xlfn.LET(_xlpm.loc, ITEquipmentTable[Storage Location],
COUNTIFS(ITSecondTable[Tag], ITSecondTable[[#This Row],[Tag]], _xlpm.loc, "&lt;&gt;In Use", _xlpm.loc, "&lt;&gt;",  _xlpm.loc, "&lt;&gt;E-Waste", _xlpm.loc, "&lt;&gt;Virtual",  _xlpm.loc, "&lt;&gt;Assigned to Employee", _xlpm.loc, "&lt;&gt;Decommisioned", _xlpm.loc, "&lt;&gt;Missing")
)</f>
        <v>11</v>
      </c>
      <c r="C470" s="1">
        <f>_xlfn.LET(_xlpm.loc, ITEquipmentTable[Storage Location],
COUNTIFS(ITSecondTable[Tag], ITSecondTable[[#This Row],[Tag]], _xlpm.loc, "&lt;&gt;E-Waste", _xlpm.loc, "&lt;&gt;Virtual", _xlpm.loc, "&lt;&gt;Decommisioned")
)</f>
        <v>11</v>
      </c>
      <c r="D470" s="168">
        <f>_xlfn.LET(_xlpm.loc, ITEquipmentTable[Storage Location],
COUNTIFS(ITSecondTable[Tag], ITSecondTable[[#This Row],[Tag]], _xlpm.loc, "Missing")
)</f>
        <v>0</v>
      </c>
      <c r="E470" s="168">
        <f>_xlfn.LET(_xlpm.loc, ITEquipmentTable[Storage Location],
COUNTIFS(ITSecondTable[Tag], ITSecondTable[[#This Row],[Tag]], _xlpm.loc, "In Use") + COUNTIFS(ITSecondTable[Tag], ITSecondTable[[#This Row],[Tag]], _xlpm.loc, "Assigned to Employee")
)</f>
        <v>0</v>
      </c>
      <c r="F470" s="168">
        <f>_xlfn.LET(_xlpm.loc, ITEquipmentTable[Storage Location],
COUNTIFS(ITSecondTable[Tag], ITSecondTable[[#This Row],[Tag]], _xlpm.loc, "")
)</f>
        <v>0</v>
      </c>
      <c r="G470" s="168">
        <f>MAX(ITSecondTable[[#This Row],[SQty]] - ITSecondTable[[#This Row],[IQty]], 0)</f>
        <v>11</v>
      </c>
      <c r="H470" s="168">
        <f>MAX(ITSecondTable[[#This Row],[IQty]]-ITSecondTable[[#This Row],[SQty]], 0)</f>
        <v>0</v>
      </c>
      <c r="I470" s="151" t="str">
        <f>IFERROR(_xlfn.TEXTJOIN("~", TRUE, ITEquipmentTable[[#This Row],[Type]],ITEquipmentTable[[#This Row],[Brand]],ITEquipmentTable[[#This Row],[Model]]), "")</f>
        <v>APC~APC~BE850M2</v>
      </c>
      <c r="J470" s="151" t="b">
        <f xml:space="preserve"> _xlfn.IFNA(MATCH( ITSecondTable[[#This Row],[Tag]], StorageTable[Tag], 0)  &gt; -1, FALSE)</f>
        <v>0</v>
      </c>
      <c r="K470" s="168" t="b">
        <f>COUNTIFS(ITEquipmentTable[Serial], ITEquipmentTable[[#This Row],[Serial]], ITEquipmentTable[Serial], "&lt;&gt;N/A") &gt; 1</f>
        <v>0</v>
      </c>
      <c r="L470" s="168" t="b">
        <f>COUNTIFS(ITEquipmentTable[Name], ITEquipmentTable[[#This Row],[Name]], ITEquipmentTable[Name], "&lt;&gt;&lt;Unassigned&gt;",  ITEquipmentTable[Name], "&lt;&gt;N/A") &gt; 1</f>
        <v>0</v>
      </c>
      <c r="M470" s="168" t="b">
        <f>AND(COUNTIFS(ITEquipmentTable[IPv4 Address], ITEquipmentTable[[#This Row],[IPv4 Address]]) &gt; 1, ITEquipmentTable[[#This Row],[IPv4 Address]] &lt;&gt; "DHCP",  ITEquipmentTable[[#This Row],[IPv4 Address]] &lt;&gt; "N/A")</f>
        <v>0</v>
      </c>
    </row>
    <row r="471" spans="1:13" x14ac:dyDescent="0.2">
      <c r="A471" s="168">
        <f>IF(LEN(ITSecondTable[[#This Row],[Tag]]) &gt; 0, _xlfn.XLOOKUP(ITSecondTable[[#This Row],[Tag]],StorageTable[Tag], StorageTable[In Storage - Count Total], "Err", 0, 1), 0)</f>
        <v>0</v>
      </c>
      <c r="B471" s="1">
        <f>_xlfn.LET(_xlpm.loc, ITEquipmentTable[Storage Location],
COUNTIFS(ITSecondTable[Tag], ITSecondTable[[#This Row],[Tag]], _xlpm.loc, "&lt;&gt;In Use", _xlpm.loc, "&lt;&gt;",  _xlpm.loc, "&lt;&gt;E-Waste", _xlpm.loc, "&lt;&gt;Virtual",  _xlpm.loc, "&lt;&gt;Assigned to Employee", _xlpm.loc, "&lt;&gt;Decommisioned", _xlpm.loc, "&lt;&gt;Missing")
)</f>
        <v>11</v>
      </c>
      <c r="C471" s="1">
        <f>_xlfn.LET(_xlpm.loc, ITEquipmentTable[Storage Location],
COUNTIFS(ITSecondTable[Tag], ITSecondTable[[#This Row],[Tag]], _xlpm.loc, "&lt;&gt;E-Waste", _xlpm.loc, "&lt;&gt;Virtual", _xlpm.loc, "&lt;&gt;Decommisioned")
)</f>
        <v>11</v>
      </c>
      <c r="D471" s="168">
        <f>_xlfn.LET(_xlpm.loc, ITEquipmentTable[Storage Location],
COUNTIFS(ITSecondTable[Tag], ITSecondTable[[#This Row],[Tag]], _xlpm.loc, "Missing")
)</f>
        <v>0</v>
      </c>
      <c r="E471" s="168">
        <f>_xlfn.LET(_xlpm.loc, ITEquipmentTable[Storage Location],
COUNTIFS(ITSecondTable[Tag], ITSecondTable[[#This Row],[Tag]], _xlpm.loc, "In Use") + COUNTIFS(ITSecondTable[Tag], ITSecondTable[[#This Row],[Tag]], _xlpm.loc, "Assigned to Employee")
)</f>
        <v>0</v>
      </c>
      <c r="F471" s="168">
        <f>_xlfn.LET(_xlpm.loc, ITEquipmentTable[Storage Location],
COUNTIFS(ITSecondTable[Tag], ITSecondTable[[#This Row],[Tag]], _xlpm.loc, "")
)</f>
        <v>0</v>
      </c>
      <c r="G471" s="168">
        <f>MAX(ITSecondTable[[#This Row],[SQty]] - ITSecondTable[[#This Row],[IQty]], 0)</f>
        <v>11</v>
      </c>
      <c r="H471" s="168">
        <f>MAX(ITSecondTable[[#This Row],[IQty]]-ITSecondTable[[#This Row],[SQty]], 0)</f>
        <v>0</v>
      </c>
      <c r="I471" s="151" t="str">
        <f>IFERROR(_xlfn.TEXTJOIN("~", TRUE, ITEquipmentTable[[#This Row],[Type]],ITEquipmentTable[[#This Row],[Brand]],ITEquipmentTable[[#This Row],[Model]]), "")</f>
        <v>APC~APC~BE850M2</v>
      </c>
      <c r="J471" s="151" t="b">
        <f xml:space="preserve"> _xlfn.IFNA(MATCH( ITSecondTable[[#This Row],[Tag]], StorageTable[Tag], 0)  &gt; -1, FALSE)</f>
        <v>0</v>
      </c>
      <c r="K471" s="168" t="b">
        <f>COUNTIFS(ITEquipmentTable[Serial], ITEquipmentTable[[#This Row],[Serial]], ITEquipmentTable[Serial], "&lt;&gt;N/A") &gt; 1</f>
        <v>0</v>
      </c>
      <c r="L471" s="168" t="b">
        <f>COUNTIFS(ITEquipmentTable[Name], ITEquipmentTable[[#This Row],[Name]], ITEquipmentTable[Name], "&lt;&gt;&lt;Unassigned&gt;",  ITEquipmentTable[Name], "&lt;&gt;N/A") &gt; 1</f>
        <v>0</v>
      </c>
      <c r="M471" s="168" t="b">
        <f>AND(COUNTIFS(ITEquipmentTable[IPv4 Address], ITEquipmentTable[[#This Row],[IPv4 Address]]) &gt; 1, ITEquipmentTable[[#This Row],[IPv4 Address]] &lt;&gt; "DHCP",  ITEquipmentTable[[#This Row],[IPv4 Address]] &lt;&gt; "N/A")</f>
        <v>0</v>
      </c>
    </row>
    <row r="472" spans="1:13" x14ac:dyDescent="0.2">
      <c r="A472" s="168">
        <f>IF(LEN(ITSecondTable[[#This Row],[Tag]]) &gt; 0, _xlfn.XLOOKUP(ITSecondTable[[#This Row],[Tag]],StorageTable[Tag], StorageTable[In Storage - Count Total], "Err", 0, 1), 0)</f>
        <v>0</v>
      </c>
      <c r="B472" s="1">
        <f>_xlfn.LET(_xlpm.loc, ITEquipmentTable[Storage Location],
COUNTIFS(ITSecondTable[Tag], ITSecondTable[[#This Row],[Tag]], _xlpm.loc, "&lt;&gt;In Use", _xlpm.loc, "&lt;&gt;",  _xlpm.loc, "&lt;&gt;E-Waste", _xlpm.loc, "&lt;&gt;Virtual",  _xlpm.loc, "&lt;&gt;Assigned to Employee", _xlpm.loc, "&lt;&gt;Decommisioned", _xlpm.loc, "&lt;&gt;Missing")
)</f>
        <v>11</v>
      </c>
      <c r="C472" s="1">
        <f>_xlfn.LET(_xlpm.loc, ITEquipmentTable[Storage Location],
COUNTIFS(ITSecondTable[Tag], ITSecondTable[[#This Row],[Tag]], _xlpm.loc, "&lt;&gt;E-Waste", _xlpm.loc, "&lt;&gt;Virtual", _xlpm.loc, "&lt;&gt;Decommisioned")
)</f>
        <v>11</v>
      </c>
      <c r="D472" s="168">
        <f>_xlfn.LET(_xlpm.loc, ITEquipmentTable[Storage Location],
COUNTIFS(ITSecondTable[Tag], ITSecondTable[[#This Row],[Tag]], _xlpm.loc, "Missing")
)</f>
        <v>0</v>
      </c>
      <c r="E472" s="168">
        <f>_xlfn.LET(_xlpm.loc, ITEquipmentTable[Storage Location],
COUNTIFS(ITSecondTable[Tag], ITSecondTable[[#This Row],[Tag]], _xlpm.loc, "In Use") + COUNTIFS(ITSecondTable[Tag], ITSecondTable[[#This Row],[Tag]], _xlpm.loc, "Assigned to Employee")
)</f>
        <v>0</v>
      </c>
      <c r="F472" s="168">
        <f>_xlfn.LET(_xlpm.loc, ITEquipmentTable[Storage Location],
COUNTIFS(ITSecondTable[Tag], ITSecondTable[[#This Row],[Tag]], _xlpm.loc, "")
)</f>
        <v>0</v>
      </c>
      <c r="G472" s="168">
        <f>MAX(ITSecondTable[[#This Row],[SQty]] - ITSecondTable[[#This Row],[IQty]], 0)</f>
        <v>11</v>
      </c>
      <c r="H472" s="168">
        <f>MAX(ITSecondTable[[#This Row],[IQty]]-ITSecondTable[[#This Row],[SQty]], 0)</f>
        <v>0</v>
      </c>
      <c r="I472" s="151" t="str">
        <f>IFERROR(_xlfn.TEXTJOIN("~", TRUE, ITEquipmentTable[[#This Row],[Type]],ITEquipmentTable[[#This Row],[Brand]],ITEquipmentTable[[#This Row],[Model]]), "")</f>
        <v>APC~APC~BE850M2</v>
      </c>
      <c r="J472" s="151" t="b">
        <f xml:space="preserve"> _xlfn.IFNA(MATCH( ITSecondTable[[#This Row],[Tag]], StorageTable[Tag], 0)  &gt; -1, FALSE)</f>
        <v>0</v>
      </c>
      <c r="K472" s="168" t="b">
        <f>COUNTIFS(ITEquipmentTable[Serial], ITEquipmentTable[[#This Row],[Serial]], ITEquipmentTable[Serial], "&lt;&gt;N/A") &gt; 1</f>
        <v>0</v>
      </c>
      <c r="L472" s="168" t="b">
        <f>COUNTIFS(ITEquipmentTable[Name], ITEquipmentTable[[#This Row],[Name]], ITEquipmentTable[Name], "&lt;&gt;&lt;Unassigned&gt;",  ITEquipmentTable[Name], "&lt;&gt;N/A") &gt; 1</f>
        <v>0</v>
      </c>
      <c r="M472" s="168" t="b">
        <f>AND(COUNTIFS(ITEquipmentTable[IPv4 Address], ITEquipmentTable[[#This Row],[IPv4 Address]]) &gt; 1, ITEquipmentTable[[#This Row],[IPv4 Address]] &lt;&gt; "DHCP",  ITEquipmentTable[[#This Row],[IPv4 Address]] &lt;&gt; "N/A")</f>
        <v>0</v>
      </c>
    </row>
    <row r="473" spans="1:13" x14ac:dyDescent="0.2">
      <c r="A473" s="168">
        <f>IF(LEN(ITSecondTable[[#This Row],[Tag]]) &gt; 0, _xlfn.XLOOKUP(ITSecondTable[[#This Row],[Tag]],StorageTable[Tag], StorageTable[In Storage - Count Total], "Err", 0, 1), 0)</f>
        <v>0</v>
      </c>
      <c r="B473" s="1">
        <f>_xlfn.LET(_xlpm.loc, ITEquipmentTable[Storage Location],
COUNTIFS(ITSecondTable[Tag], ITSecondTable[[#This Row],[Tag]], _xlpm.loc, "&lt;&gt;In Use", _xlpm.loc, "&lt;&gt;",  _xlpm.loc, "&lt;&gt;E-Waste", _xlpm.loc, "&lt;&gt;Virtual",  _xlpm.loc, "&lt;&gt;Assigned to Employee", _xlpm.loc, "&lt;&gt;Decommisioned", _xlpm.loc, "&lt;&gt;Missing")
)</f>
        <v>11</v>
      </c>
      <c r="C473" s="1">
        <f>_xlfn.LET(_xlpm.loc, ITEquipmentTable[Storage Location],
COUNTIFS(ITSecondTable[Tag], ITSecondTable[[#This Row],[Tag]], _xlpm.loc, "&lt;&gt;E-Waste", _xlpm.loc, "&lt;&gt;Virtual", _xlpm.loc, "&lt;&gt;Decommisioned")
)</f>
        <v>11</v>
      </c>
      <c r="D473" s="168">
        <f>_xlfn.LET(_xlpm.loc, ITEquipmentTable[Storage Location],
COUNTIFS(ITSecondTable[Tag], ITSecondTable[[#This Row],[Tag]], _xlpm.loc, "Missing")
)</f>
        <v>0</v>
      </c>
      <c r="E473" s="168">
        <f>_xlfn.LET(_xlpm.loc, ITEquipmentTable[Storage Location],
COUNTIFS(ITSecondTable[Tag], ITSecondTable[[#This Row],[Tag]], _xlpm.loc, "In Use") + COUNTIFS(ITSecondTable[Tag], ITSecondTable[[#This Row],[Tag]], _xlpm.loc, "Assigned to Employee")
)</f>
        <v>0</v>
      </c>
      <c r="F473" s="168">
        <f>_xlfn.LET(_xlpm.loc, ITEquipmentTable[Storage Location],
COUNTIFS(ITSecondTable[Tag], ITSecondTable[[#This Row],[Tag]], _xlpm.loc, "")
)</f>
        <v>0</v>
      </c>
      <c r="G473" s="168">
        <f>MAX(ITSecondTable[[#This Row],[SQty]] - ITSecondTable[[#This Row],[IQty]], 0)</f>
        <v>11</v>
      </c>
      <c r="H473" s="168">
        <f>MAX(ITSecondTable[[#This Row],[IQty]]-ITSecondTable[[#This Row],[SQty]], 0)</f>
        <v>0</v>
      </c>
      <c r="I473" s="151" t="str">
        <f>IFERROR(_xlfn.TEXTJOIN("~", TRUE, ITEquipmentTable[[#This Row],[Type]],ITEquipmentTable[[#This Row],[Brand]],ITEquipmentTable[[#This Row],[Model]]), "")</f>
        <v>APC~APC~BE850M2</v>
      </c>
      <c r="J473" s="151" t="b">
        <f xml:space="preserve"> _xlfn.IFNA(MATCH( ITSecondTable[[#This Row],[Tag]], StorageTable[Tag], 0)  &gt; -1, FALSE)</f>
        <v>0</v>
      </c>
      <c r="K473" s="168" t="b">
        <f>COUNTIFS(ITEquipmentTable[Serial], ITEquipmentTable[[#This Row],[Serial]], ITEquipmentTable[Serial], "&lt;&gt;N/A") &gt; 1</f>
        <v>0</v>
      </c>
      <c r="L473" s="168" t="b">
        <f>COUNTIFS(ITEquipmentTable[Name], ITEquipmentTable[[#This Row],[Name]], ITEquipmentTable[Name], "&lt;&gt;&lt;Unassigned&gt;",  ITEquipmentTable[Name], "&lt;&gt;N/A") &gt; 1</f>
        <v>0</v>
      </c>
      <c r="M473" s="168" t="b">
        <f>AND(COUNTIFS(ITEquipmentTable[IPv4 Address], ITEquipmentTable[[#This Row],[IPv4 Address]]) &gt; 1, ITEquipmentTable[[#This Row],[IPv4 Address]] &lt;&gt; "DHCP",  ITEquipmentTable[[#This Row],[IPv4 Address]] &lt;&gt; "N/A")</f>
        <v>0</v>
      </c>
    </row>
    <row r="474" spans="1:13" x14ac:dyDescent="0.2">
      <c r="A474" s="168">
        <f>IF(LEN(ITSecondTable[[#This Row],[Tag]]) &gt; 0, _xlfn.XLOOKUP(ITSecondTable[[#This Row],[Tag]],StorageTable[Tag], StorageTable[In Storage - Count Total], "Err", 0, 1), 0)</f>
        <v>30</v>
      </c>
      <c r="B474" s="1">
        <f>_xlfn.LET(_xlpm.loc, ITEquipmentTable[Storage Location],
COUNTIFS(ITSecondTable[Tag], ITSecondTable[[#This Row],[Tag]], _xlpm.loc, "&lt;&gt;In Use", _xlpm.loc, "&lt;&gt;",  _xlpm.loc, "&lt;&gt;E-Waste", _xlpm.loc, "&lt;&gt;Virtual",  _xlpm.loc, "&lt;&gt;Assigned to Employee", _xlpm.loc, "&lt;&gt;Decommisioned", _xlpm.loc, "&lt;&gt;Missing")
)</f>
        <v>21</v>
      </c>
      <c r="C474" s="1">
        <f>_xlfn.LET(_xlpm.loc, ITEquipmentTable[Storage Location],
COUNTIFS(ITSecondTable[Tag], ITSecondTable[[#This Row],[Tag]], _xlpm.loc, "&lt;&gt;E-Waste", _xlpm.loc, "&lt;&gt;Virtual", _xlpm.loc, "&lt;&gt;Decommisioned")
)</f>
        <v>33</v>
      </c>
      <c r="D474" s="168">
        <f>_xlfn.LET(_xlpm.loc, ITEquipmentTable[Storage Location],
COUNTIFS(ITSecondTable[Tag], ITSecondTable[[#This Row],[Tag]], _xlpm.loc, "Missing")
)</f>
        <v>0</v>
      </c>
      <c r="E474" s="168">
        <f>_xlfn.LET(_xlpm.loc, ITEquipmentTable[Storage Location],
COUNTIFS(ITSecondTable[Tag], ITSecondTable[[#This Row],[Tag]], _xlpm.loc, "In Use") + COUNTIFS(ITSecondTable[Tag], ITSecondTable[[#This Row],[Tag]], _xlpm.loc, "Assigned to Employee")
)</f>
        <v>12</v>
      </c>
      <c r="F474" s="168">
        <f>_xlfn.LET(_xlpm.loc, ITEquipmentTable[Storage Location],
COUNTIFS(ITSecondTable[Tag], ITSecondTable[[#This Row],[Tag]], _xlpm.loc, "")
)</f>
        <v>0</v>
      </c>
      <c r="G474" s="168">
        <f>MAX(ITSecondTable[[#This Row],[SQty]] - ITSecondTable[[#This Row],[IQty]], 0)</f>
        <v>0</v>
      </c>
      <c r="H474" s="168">
        <f>MAX(ITSecondTable[[#This Row],[IQty]]-ITSecondTable[[#This Row],[SQty]], 0)</f>
        <v>9</v>
      </c>
      <c r="I474" s="151" t="str">
        <f>IFERROR(_xlfn.TEXTJOIN("~", TRUE, ITEquipmentTable[[#This Row],[Type]],ITEquipmentTable[[#This Row],[Brand]],ITEquipmentTable[[#This Row],[Model]]), "")</f>
        <v>Scanner Base~Honeywell~CCB02-100BT-07N</v>
      </c>
      <c r="J474" s="151" t="b">
        <f xml:space="preserve"> _xlfn.IFNA(MATCH( ITSecondTable[[#This Row],[Tag]], StorageTable[Tag], 0)  &gt; -1, FALSE)</f>
        <v>0</v>
      </c>
      <c r="K474" s="168" t="b">
        <f>COUNTIFS(ITEquipmentTable[Serial], ITEquipmentTable[[#This Row],[Serial]], ITEquipmentTable[Serial], "&lt;&gt;N/A") &gt; 1</f>
        <v>0</v>
      </c>
      <c r="L474" s="168" t="b">
        <f>COUNTIFS(ITEquipmentTable[Name], ITEquipmentTable[[#This Row],[Name]], ITEquipmentTable[Name], "&lt;&gt;&lt;Unassigned&gt;",  ITEquipmentTable[Name], "&lt;&gt;N/A") &gt; 1</f>
        <v>0</v>
      </c>
      <c r="M474" s="168" t="b">
        <f>AND(COUNTIFS(ITEquipmentTable[IPv4 Address], ITEquipmentTable[[#This Row],[IPv4 Address]]) &gt; 1, ITEquipmentTable[[#This Row],[IPv4 Address]] &lt;&gt; "DHCP",  ITEquipmentTable[[#This Row],[IPv4 Address]] &lt;&gt; "N/A")</f>
        <v>0</v>
      </c>
    </row>
    <row r="475" spans="1:13" x14ac:dyDescent="0.2">
      <c r="A475" s="168">
        <f>IF(LEN(ITSecondTable[[#This Row],[Tag]]) &gt; 0, _xlfn.XLOOKUP(ITSecondTable[[#This Row],[Tag]],StorageTable[Tag], StorageTable[In Storage - Count Total], "Err", 0, 1), 0)</f>
        <v>30</v>
      </c>
      <c r="B475" s="1">
        <f>_xlfn.LET(_xlpm.loc, ITEquipmentTable[Storage Location],
COUNTIFS(ITSecondTable[Tag], ITSecondTable[[#This Row],[Tag]], _xlpm.loc, "&lt;&gt;In Use", _xlpm.loc, "&lt;&gt;",  _xlpm.loc, "&lt;&gt;E-Waste", _xlpm.loc, "&lt;&gt;Virtual",  _xlpm.loc, "&lt;&gt;Assigned to Employee", _xlpm.loc, "&lt;&gt;Decommisioned", _xlpm.loc, "&lt;&gt;Missing")
)</f>
        <v>21</v>
      </c>
      <c r="C475" s="1">
        <f>_xlfn.LET(_xlpm.loc, ITEquipmentTable[Storage Location],
COUNTIFS(ITSecondTable[Tag], ITSecondTable[[#This Row],[Tag]], _xlpm.loc, "&lt;&gt;E-Waste", _xlpm.loc, "&lt;&gt;Virtual", _xlpm.loc, "&lt;&gt;Decommisioned")
)</f>
        <v>33</v>
      </c>
      <c r="D475" s="168">
        <f>_xlfn.LET(_xlpm.loc, ITEquipmentTable[Storage Location],
COUNTIFS(ITSecondTable[Tag], ITSecondTable[[#This Row],[Tag]], _xlpm.loc, "Missing")
)</f>
        <v>0</v>
      </c>
      <c r="E475" s="168">
        <f>_xlfn.LET(_xlpm.loc, ITEquipmentTable[Storage Location],
COUNTIFS(ITSecondTable[Tag], ITSecondTable[[#This Row],[Tag]], _xlpm.loc, "In Use") + COUNTIFS(ITSecondTable[Tag], ITSecondTable[[#This Row],[Tag]], _xlpm.loc, "Assigned to Employee")
)</f>
        <v>12</v>
      </c>
      <c r="F475" s="168">
        <f>_xlfn.LET(_xlpm.loc, ITEquipmentTable[Storage Location],
COUNTIFS(ITSecondTable[Tag], ITSecondTable[[#This Row],[Tag]], _xlpm.loc, "")
)</f>
        <v>0</v>
      </c>
      <c r="G475" s="168">
        <f>MAX(ITSecondTable[[#This Row],[SQty]] - ITSecondTable[[#This Row],[IQty]], 0)</f>
        <v>0</v>
      </c>
      <c r="H475" s="168">
        <f>MAX(ITSecondTable[[#This Row],[IQty]]-ITSecondTable[[#This Row],[SQty]], 0)</f>
        <v>9</v>
      </c>
      <c r="I475" s="151" t="str">
        <f>IFERROR(_xlfn.TEXTJOIN("~", TRUE, ITEquipmentTable[[#This Row],[Type]],ITEquipmentTable[[#This Row],[Brand]],ITEquipmentTable[[#This Row],[Model]]), "")</f>
        <v>Scanner Base~Honeywell~CCB02-100BT-07N</v>
      </c>
      <c r="J475" s="151" t="b">
        <f xml:space="preserve"> _xlfn.IFNA(MATCH( ITSecondTable[[#This Row],[Tag]], StorageTable[Tag], 0)  &gt; -1, FALSE)</f>
        <v>0</v>
      </c>
      <c r="K475" s="168" t="b">
        <f>COUNTIFS(ITEquipmentTable[Serial], ITEquipmentTable[[#This Row],[Serial]], ITEquipmentTable[Serial], "&lt;&gt;N/A") &gt; 1</f>
        <v>0</v>
      </c>
      <c r="L475" s="168" t="b">
        <f>COUNTIFS(ITEquipmentTable[Name], ITEquipmentTable[[#This Row],[Name]], ITEquipmentTable[Name], "&lt;&gt;&lt;Unassigned&gt;",  ITEquipmentTable[Name], "&lt;&gt;N/A") &gt; 1</f>
        <v>0</v>
      </c>
      <c r="M475" s="168" t="b">
        <f>AND(COUNTIFS(ITEquipmentTable[IPv4 Address], ITEquipmentTable[[#This Row],[IPv4 Address]]) &gt; 1, ITEquipmentTable[[#This Row],[IPv4 Address]] &lt;&gt; "DHCP",  ITEquipmentTable[[#This Row],[IPv4 Address]] &lt;&gt; "N/A")</f>
        <v>0</v>
      </c>
    </row>
    <row r="476" spans="1:13" x14ac:dyDescent="0.2">
      <c r="A476" s="168">
        <f>IF(LEN(ITSecondTable[[#This Row],[Tag]]) &gt; 0, _xlfn.XLOOKUP(ITSecondTable[[#This Row],[Tag]],StorageTable[Tag], StorageTable[In Storage - Count Total], "Err", 0, 1), 0)</f>
        <v>30</v>
      </c>
      <c r="B476" s="1">
        <f>_xlfn.LET(_xlpm.loc, ITEquipmentTable[Storage Location],
COUNTIFS(ITSecondTable[Tag], ITSecondTable[[#This Row],[Tag]], _xlpm.loc, "&lt;&gt;In Use", _xlpm.loc, "&lt;&gt;",  _xlpm.loc, "&lt;&gt;E-Waste", _xlpm.loc, "&lt;&gt;Virtual",  _xlpm.loc, "&lt;&gt;Assigned to Employee", _xlpm.loc, "&lt;&gt;Decommisioned", _xlpm.loc, "&lt;&gt;Missing")
)</f>
        <v>21</v>
      </c>
      <c r="C476" s="1">
        <f>_xlfn.LET(_xlpm.loc, ITEquipmentTable[Storage Location],
COUNTIFS(ITSecondTable[Tag], ITSecondTable[[#This Row],[Tag]], _xlpm.loc, "&lt;&gt;E-Waste", _xlpm.loc, "&lt;&gt;Virtual", _xlpm.loc, "&lt;&gt;Decommisioned")
)</f>
        <v>33</v>
      </c>
      <c r="D476" s="168">
        <f>_xlfn.LET(_xlpm.loc, ITEquipmentTable[Storage Location],
COUNTIFS(ITSecondTable[Tag], ITSecondTable[[#This Row],[Tag]], _xlpm.loc, "Missing")
)</f>
        <v>0</v>
      </c>
      <c r="E476" s="168">
        <f>_xlfn.LET(_xlpm.loc, ITEquipmentTable[Storage Location],
COUNTIFS(ITSecondTable[Tag], ITSecondTable[[#This Row],[Tag]], _xlpm.loc, "In Use") + COUNTIFS(ITSecondTable[Tag], ITSecondTable[[#This Row],[Tag]], _xlpm.loc, "Assigned to Employee")
)</f>
        <v>12</v>
      </c>
      <c r="F476" s="168">
        <f>_xlfn.LET(_xlpm.loc, ITEquipmentTable[Storage Location],
COUNTIFS(ITSecondTable[Tag], ITSecondTable[[#This Row],[Tag]], _xlpm.loc, "")
)</f>
        <v>0</v>
      </c>
      <c r="G476" s="168">
        <f>MAX(ITSecondTable[[#This Row],[SQty]] - ITSecondTable[[#This Row],[IQty]], 0)</f>
        <v>0</v>
      </c>
      <c r="H476" s="168">
        <f>MAX(ITSecondTable[[#This Row],[IQty]]-ITSecondTable[[#This Row],[SQty]], 0)</f>
        <v>9</v>
      </c>
      <c r="I476" s="151" t="str">
        <f>IFERROR(_xlfn.TEXTJOIN("~", TRUE, ITEquipmentTable[[#This Row],[Type]],ITEquipmentTable[[#This Row],[Brand]],ITEquipmentTable[[#This Row],[Model]]), "")</f>
        <v>Scanner Base~Honeywell~CCB02-100BT-07N</v>
      </c>
      <c r="J476" s="151" t="b">
        <f xml:space="preserve"> _xlfn.IFNA(MATCH( ITSecondTable[[#This Row],[Tag]], StorageTable[Tag], 0)  &gt; -1, FALSE)</f>
        <v>0</v>
      </c>
      <c r="K476" s="168" t="b">
        <f>COUNTIFS(ITEquipmentTable[Serial], ITEquipmentTable[[#This Row],[Serial]], ITEquipmentTable[Serial], "&lt;&gt;N/A") &gt; 1</f>
        <v>0</v>
      </c>
      <c r="L476" s="168" t="b">
        <f>COUNTIFS(ITEquipmentTable[Name], ITEquipmentTable[[#This Row],[Name]], ITEquipmentTable[Name], "&lt;&gt;&lt;Unassigned&gt;",  ITEquipmentTable[Name], "&lt;&gt;N/A") &gt; 1</f>
        <v>0</v>
      </c>
      <c r="M476" s="168" t="b">
        <f>AND(COUNTIFS(ITEquipmentTable[IPv4 Address], ITEquipmentTable[[#This Row],[IPv4 Address]]) &gt; 1, ITEquipmentTable[[#This Row],[IPv4 Address]] &lt;&gt; "DHCP",  ITEquipmentTable[[#This Row],[IPv4 Address]] &lt;&gt; "N/A")</f>
        <v>0</v>
      </c>
    </row>
    <row r="477" spans="1:13" x14ac:dyDescent="0.2">
      <c r="A477" s="168">
        <f>IF(LEN(ITSecondTable[[#This Row],[Tag]]) &gt; 0, _xlfn.XLOOKUP(ITSecondTable[[#This Row],[Tag]],StorageTable[Tag], StorageTable[In Storage - Count Total], "Err", 0, 1), 0)</f>
        <v>30</v>
      </c>
      <c r="B477" s="1">
        <f>_xlfn.LET(_xlpm.loc, ITEquipmentTable[Storage Location],
COUNTIFS(ITSecondTable[Tag], ITSecondTable[[#This Row],[Tag]], _xlpm.loc, "&lt;&gt;In Use", _xlpm.loc, "&lt;&gt;",  _xlpm.loc, "&lt;&gt;E-Waste", _xlpm.loc, "&lt;&gt;Virtual",  _xlpm.loc, "&lt;&gt;Assigned to Employee", _xlpm.loc, "&lt;&gt;Decommisioned", _xlpm.loc, "&lt;&gt;Missing")
)</f>
        <v>21</v>
      </c>
      <c r="C477" s="1">
        <f>_xlfn.LET(_xlpm.loc, ITEquipmentTable[Storage Location],
COUNTIFS(ITSecondTable[Tag], ITSecondTable[[#This Row],[Tag]], _xlpm.loc, "&lt;&gt;E-Waste", _xlpm.loc, "&lt;&gt;Virtual", _xlpm.loc, "&lt;&gt;Decommisioned")
)</f>
        <v>33</v>
      </c>
      <c r="D477" s="168">
        <f>_xlfn.LET(_xlpm.loc, ITEquipmentTable[Storage Location],
COUNTIFS(ITSecondTable[Tag], ITSecondTable[[#This Row],[Tag]], _xlpm.loc, "Missing")
)</f>
        <v>0</v>
      </c>
      <c r="E477" s="168">
        <f>_xlfn.LET(_xlpm.loc, ITEquipmentTable[Storage Location],
COUNTIFS(ITSecondTable[Tag], ITSecondTable[[#This Row],[Tag]], _xlpm.loc, "In Use") + COUNTIFS(ITSecondTable[Tag], ITSecondTable[[#This Row],[Tag]], _xlpm.loc, "Assigned to Employee")
)</f>
        <v>12</v>
      </c>
      <c r="F477" s="168">
        <f>_xlfn.LET(_xlpm.loc, ITEquipmentTable[Storage Location],
COUNTIFS(ITSecondTable[Tag], ITSecondTable[[#This Row],[Tag]], _xlpm.loc, "")
)</f>
        <v>0</v>
      </c>
      <c r="G477" s="168">
        <f>MAX(ITSecondTable[[#This Row],[SQty]] - ITSecondTable[[#This Row],[IQty]], 0)</f>
        <v>0</v>
      </c>
      <c r="H477" s="168">
        <f>MAX(ITSecondTable[[#This Row],[IQty]]-ITSecondTable[[#This Row],[SQty]], 0)</f>
        <v>9</v>
      </c>
      <c r="I477" s="151" t="str">
        <f>IFERROR(_xlfn.TEXTJOIN("~", TRUE, ITEquipmentTable[[#This Row],[Type]],ITEquipmentTable[[#This Row],[Brand]],ITEquipmentTable[[#This Row],[Model]]), "")</f>
        <v>Scanner Base~Honeywell~CCB02-100BT-07N</v>
      </c>
      <c r="J477" s="151" t="b">
        <f xml:space="preserve"> _xlfn.IFNA(MATCH( ITSecondTable[[#This Row],[Tag]], StorageTable[Tag], 0)  &gt; -1, FALSE)</f>
        <v>0</v>
      </c>
      <c r="K477" s="168" t="b">
        <f>COUNTIFS(ITEquipmentTable[Serial], ITEquipmentTable[[#This Row],[Serial]], ITEquipmentTable[Serial], "&lt;&gt;N/A") &gt; 1</f>
        <v>0</v>
      </c>
      <c r="L477" s="168" t="b">
        <f>COUNTIFS(ITEquipmentTable[Name], ITEquipmentTable[[#This Row],[Name]], ITEquipmentTable[Name], "&lt;&gt;&lt;Unassigned&gt;",  ITEquipmentTable[Name], "&lt;&gt;N/A") &gt; 1</f>
        <v>0</v>
      </c>
      <c r="M477" s="168" t="b">
        <f>AND(COUNTIFS(ITEquipmentTable[IPv4 Address], ITEquipmentTable[[#This Row],[IPv4 Address]]) &gt; 1, ITEquipmentTable[[#This Row],[IPv4 Address]] &lt;&gt; "DHCP",  ITEquipmentTable[[#This Row],[IPv4 Address]] &lt;&gt; "N/A")</f>
        <v>0</v>
      </c>
    </row>
    <row r="478" spans="1:13" x14ac:dyDescent="0.2">
      <c r="A478" s="168">
        <f>IF(LEN(ITSecondTable[[#This Row],[Tag]]) &gt; 0, _xlfn.XLOOKUP(ITSecondTable[[#This Row],[Tag]],StorageTable[Tag], StorageTable[In Storage - Count Total], "Err", 0, 1), 0)</f>
        <v>30</v>
      </c>
      <c r="B478" s="1">
        <f>_xlfn.LET(_xlpm.loc, ITEquipmentTable[Storage Location],
COUNTIFS(ITSecondTable[Tag], ITSecondTable[[#This Row],[Tag]], _xlpm.loc, "&lt;&gt;In Use", _xlpm.loc, "&lt;&gt;",  _xlpm.loc, "&lt;&gt;E-Waste", _xlpm.loc, "&lt;&gt;Virtual",  _xlpm.loc, "&lt;&gt;Assigned to Employee", _xlpm.loc, "&lt;&gt;Decommisioned", _xlpm.loc, "&lt;&gt;Missing")
)</f>
        <v>21</v>
      </c>
      <c r="C478" s="1">
        <f>_xlfn.LET(_xlpm.loc, ITEquipmentTable[Storage Location],
COUNTIFS(ITSecondTable[Tag], ITSecondTable[[#This Row],[Tag]], _xlpm.loc, "&lt;&gt;E-Waste", _xlpm.loc, "&lt;&gt;Virtual", _xlpm.loc, "&lt;&gt;Decommisioned")
)</f>
        <v>33</v>
      </c>
      <c r="D478" s="168">
        <f>_xlfn.LET(_xlpm.loc, ITEquipmentTable[Storage Location],
COUNTIFS(ITSecondTable[Tag], ITSecondTable[[#This Row],[Tag]], _xlpm.loc, "Missing")
)</f>
        <v>0</v>
      </c>
      <c r="E478" s="168">
        <f>_xlfn.LET(_xlpm.loc, ITEquipmentTable[Storage Location],
COUNTIFS(ITSecondTable[Tag], ITSecondTable[[#This Row],[Tag]], _xlpm.loc, "In Use") + COUNTIFS(ITSecondTable[Tag], ITSecondTable[[#This Row],[Tag]], _xlpm.loc, "Assigned to Employee")
)</f>
        <v>12</v>
      </c>
      <c r="F478" s="168">
        <f>_xlfn.LET(_xlpm.loc, ITEquipmentTable[Storage Location],
COUNTIFS(ITSecondTable[Tag], ITSecondTable[[#This Row],[Tag]], _xlpm.loc, "")
)</f>
        <v>0</v>
      </c>
      <c r="G478" s="168">
        <f>MAX(ITSecondTable[[#This Row],[SQty]] - ITSecondTable[[#This Row],[IQty]], 0)</f>
        <v>0</v>
      </c>
      <c r="H478" s="168">
        <f>MAX(ITSecondTable[[#This Row],[IQty]]-ITSecondTable[[#This Row],[SQty]], 0)</f>
        <v>9</v>
      </c>
      <c r="I478" s="151" t="str">
        <f>IFERROR(_xlfn.TEXTJOIN("~", TRUE, ITEquipmentTable[[#This Row],[Type]],ITEquipmentTable[[#This Row],[Brand]],ITEquipmentTable[[#This Row],[Model]]), "")</f>
        <v>Scanner Base~Honeywell~CCB02-100BT-07N</v>
      </c>
      <c r="J478" s="151" t="b">
        <f xml:space="preserve"> _xlfn.IFNA(MATCH( ITSecondTable[[#This Row],[Tag]], StorageTable[Tag], 0)  &gt; -1, FALSE)</f>
        <v>0</v>
      </c>
      <c r="K478" s="168" t="b">
        <f>COUNTIFS(ITEquipmentTable[Serial], ITEquipmentTable[[#This Row],[Serial]], ITEquipmentTable[Serial], "&lt;&gt;N/A") &gt; 1</f>
        <v>0</v>
      </c>
      <c r="L478" s="168" t="b">
        <f>COUNTIFS(ITEquipmentTable[Name], ITEquipmentTable[[#This Row],[Name]], ITEquipmentTable[Name], "&lt;&gt;&lt;Unassigned&gt;",  ITEquipmentTable[Name], "&lt;&gt;N/A") &gt; 1</f>
        <v>0</v>
      </c>
      <c r="M478" s="168" t="b">
        <f>AND(COUNTIFS(ITEquipmentTable[IPv4 Address], ITEquipmentTable[[#This Row],[IPv4 Address]]) &gt; 1, ITEquipmentTable[[#This Row],[IPv4 Address]] &lt;&gt; "DHCP",  ITEquipmentTable[[#This Row],[IPv4 Address]] &lt;&gt; "N/A")</f>
        <v>0</v>
      </c>
    </row>
    <row r="479" spans="1:13" x14ac:dyDescent="0.2">
      <c r="A479" s="168">
        <f>IF(LEN(ITSecondTable[[#This Row],[Tag]]) &gt; 0, _xlfn.XLOOKUP(ITSecondTable[[#This Row],[Tag]],StorageTable[Tag], StorageTable[In Storage - Count Total], "Err", 0, 1), 0)</f>
        <v>30</v>
      </c>
      <c r="B479" s="1">
        <f>_xlfn.LET(_xlpm.loc, ITEquipmentTable[Storage Location],
COUNTIFS(ITSecondTable[Tag], ITSecondTable[[#This Row],[Tag]], _xlpm.loc, "&lt;&gt;In Use", _xlpm.loc, "&lt;&gt;",  _xlpm.loc, "&lt;&gt;E-Waste", _xlpm.loc, "&lt;&gt;Virtual",  _xlpm.loc, "&lt;&gt;Assigned to Employee", _xlpm.loc, "&lt;&gt;Decommisioned", _xlpm.loc, "&lt;&gt;Missing")
)</f>
        <v>21</v>
      </c>
      <c r="C479" s="1">
        <f>_xlfn.LET(_xlpm.loc, ITEquipmentTable[Storage Location],
COUNTIFS(ITSecondTable[Tag], ITSecondTable[[#This Row],[Tag]], _xlpm.loc, "&lt;&gt;E-Waste", _xlpm.loc, "&lt;&gt;Virtual", _xlpm.loc, "&lt;&gt;Decommisioned")
)</f>
        <v>33</v>
      </c>
      <c r="D479" s="168">
        <f>_xlfn.LET(_xlpm.loc, ITEquipmentTable[Storage Location],
COUNTIFS(ITSecondTable[Tag], ITSecondTable[[#This Row],[Tag]], _xlpm.loc, "Missing")
)</f>
        <v>0</v>
      </c>
      <c r="E479" s="168">
        <f>_xlfn.LET(_xlpm.loc, ITEquipmentTable[Storage Location],
COUNTIFS(ITSecondTable[Tag], ITSecondTable[[#This Row],[Tag]], _xlpm.loc, "In Use") + COUNTIFS(ITSecondTable[Tag], ITSecondTable[[#This Row],[Tag]], _xlpm.loc, "Assigned to Employee")
)</f>
        <v>12</v>
      </c>
      <c r="F479" s="168">
        <f>_xlfn.LET(_xlpm.loc, ITEquipmentTable[Storage Location],
COUNTIFS(ITSecondTable[Tag], ITSecondTable[[#This Row],[Tag]], _xlpm.loc, "")
)</f>
        <v>0</v>
      </c>
      <c r="G479" s="168">
        <f>MAX(ITSecondTable[[#This Row],[SQty]] - ITSecondTable[[#This Row],[IQty]], 0)</f>
        <v>0</v>
      </c>
      <c r="H479" s="168">
        <f>MAX(ITSecondTable[[#This Row],[IQty]]-ITSecondTable[[#This Row],[SQty]], 0)</f>
        <v>9</v>
      </c>
      <c r="I479" s="151" t="str">
        <f>IFERROR(_xlfn.TEXTJOIN("~", TRUE, ITEquipmentTable[[#This Row],[Type]],ITEquipmentTable[[#This Row],[Brand]],ITEquipmentTable[[#This Row],[Model]]), "")</f>
        <v>Scanner Base~Honeywell~CCB02-100BT-07N</v>
      </c>
      <c r="J479" s="151" t="b">
        <f xml:space="preserve"> _xlfn.IFNA(MATCH( ITSecondTable[[#This Row],[Tag]], StorageTable[Tag], 0)  &gt; -1, FALSE)</f>
        <v>0</v>
      </c>
      <c r="K479" s="168" t="b">
        <f>COUNTIFS(ITEquipmentTable[Serial], ITEquipmentTable[[#This Row],[Serial]], ITEquipmentTable[Serial], "&lt;&gt;N/A") &gt; 1</f>
        <v>0</v>
      </c>
      <c r="L479" s="168" t="b">
        <f>COUNTIFS(ITEquipmentTable[Name], ITEquipmentTable[[#This Row],[Name]], ITEquipmentTable[Name], "&lt;&gt;&lt;Unassigned&gt;",  ITEquipmentTable[Name], "&lt;&gt;N/A") &gt; 1</f>
        <v>0</v>
      </c>
      <c r="M479" s="168" t="b">
        <f>AND(COUNTIFS(ITEquipmentTable[IPv4 Address], ITEquipmentTable[[#This Row],[IPv4 Address]]) &gt; 1, ITEquipmentTable[[#This Row],[IPv4 Address]] &lt;&gt; "DHCP",  ITEquipmentTable[[#This Row],[IPv4 Address]] &lt;&gt; "N/A")</f>
        <v>0</v>
      </c>
    </row>
    <row r="480" spans="1:13" x14ac:dyDescent="0.2">
      <c r="A480" s="168">
        <f>IF(LEN(ITSecondTable[[#This Row],[Tag]]) &gt; 0, _xlfn.XLOOKUP(ITSecondTable[[#This Row],[Tag]],StorageTable[Tag], StorageTable[In Storage - Count Total], "Err", 0, 1), 0)</f>
        <v>30</v>
      </c>
      <c r="B480" s="1">
        <f>_xlfn.LET(_xlpm.loc, ITEquipmentTable[Storage Location],
COUNTIFS(ITSecondTable[Tag], ITSecondTable[[#This Row],[Tag]], _xlpm.loc, "&lt;&gt;In Use", _xlpm.loc, "&lt;&gt;",  _xlpm.loc, "&lt;&gt;E-Waste", _xlpm.loc, "&lt;&gt;Virtual",  _xlpm.loc, "&lt;&gt;Assigned to Employee", _xlpm.loc, "&lt;&gt;Decommisioned", _xlpm.loc, "&lt;&gt;Missing")
)</f>
        <v>21</v>
      </c>
      <c r="C480" s="1">
        <f>_xlfn.LET(_xlpm.loc, ITEquipmentTable[Storage Location],
COUNTIFS(ITSecondTable[Tag], ITSecondTable[[#This Row],[Tag]], _xlpm.loc, "&lt;&gt;E-Waste", _xlpm.loc, "&lt;&gt;Virtual", _xlpm.loc, "&lt;&gt;Decommisioned")
)</f>
        <v>33</v>
      </c>
      <c r="D480" s="168">
        <f>_xlfn.LET(_xlpm.loc, ITEquipmentTable[Storage Location],
COUNTIFS(ITSecondTable[Tag], ITSecondTable[[#This Row],[Tag]], _xlpm.loc, "Missing")
)</f>
        <v>0</v>
      </c>
      <c r="E480" s="168">
        <f>_xlfn.LET(_xlpm.loc, ITEquipmentTable[Storage Location],
COUNTIFS(ITSecondTable[Tag], ITSecondTable[[#This Row],[Tag]], _xlpm.loc, "In Use") + COUNTIFS(ITSecondTable[Tag], ITSecondTable[[#This Row],[Tag]], _xlpm.loc, "Assigned to Employee")
)</f>
        <v>12</v>
      </c>
      <c r="F480" s="168">
        <f>_xlfn.LET(_xlpm.loc, ITEquipmentTable[Storage Location],
COUNTIFS(ITSecondTable[Tag], ITSecondTable[[#This Row],[Tag]], _xlpm.loc, "")
)</f>
        <v>0</v>
      </c>
      <c r="G480" s="168">
        <f>MAX(ITSecondTable[[#This Row],[SQty]] - ITSecondTable[[#This Row],[IQty]], 0)</f>
        <v>0</v>
      </c>
      <c r="H480" s="168">
        <f>MAX(ITSecondTable[[#This Row],[IQty]]-ITSecondTable[[#This Row],[SQty]], 0)</f>
        <v>9</v>
      </c>
      <c r="I480" s="151" t="str">
        <f>IFERROR(_xlfn.TEXTJOIN("~", TRUE, ITEquipmentTable[[#This Row],[Type]],ITEquipmentTable[[#This Row],[Brand]],ITEquipmentTable[[#This Row],[Model]]), "")</f>
        <v>Scanner Base~Honeywell~CCB02-100BT-07N</v>
      </c>
      <c r="J480" s="151" t="b">
        <f xml:space="preserve"> _xlfn.IFNA(MATCH( ITSecondTable[[#This Row],[Tag]], StorageTable[Tag], 0)  &gt; -1, FALSE)</f>
        <v>0</v>
      </c>
      <c r="K480" s="168" t="b">
        <f>COUNTIFS(ITEquipmentTable[Serial], ITEquipmentTable[[#This Row],[Serial]], ITEquipmentTable[Serial], "&lt;&gt;N/A") &gt; 1</f>
        <v>0</v>
      </c>
      <c r="L480" s="168" t="b">
        <f>COUNTIFS(ITEquipmentTable[Name], ITEquipmentTable[[#This Row],[Name]], ITEquipmentTable[Name], "&lt;&gt;&lt;Unassigned&gt;",  ITEquipmentTable[Name], "&lt;&gt;N/A") &gt; 1</f>
        <v>0</v>
      </c>
      <c r="M480" s="168" t="b">
        <f>AND(COUNTIFS(ITEquipmentTable[IPv4 Address], ITEquipmentTable[[#This Row],[IPv4 Address]]) &gt; 1, ITEquipmentTable[[#This Row],[IPv4 Address]] &lt;&gt; "DHCP",  ITEquipmentTable[[#This Row],[IPv4 Address]] &lt;&gt; "N/A")</f>
        <v>0</v>
      </c>
    </row>
    <row r="481" spans="1:13" x14ac:dyDescent="0.2">
      <c r="A481" s="168">
        <f>IF(LEN(ITSecondTable[[#This Row],[Tag]]) &gt; 0, _xlfn.XLOOKUP(ITSecondTable[[#This Row],[Tag]],StorageTable[Tag], StorageTable[In Storage - Count Total], "Err", 0, 1), 0)</f>
        <v>30</v>
      </c>
      <c r="B481" s="1">
        <f>_xlfn.LET(_xlpm.loc, ITEquipmentTable[Storage Location],
COUNTIFS(ITSecondTable[Tag], ITSecondTable[[#This Row],[Tag]], _xlpm.loc, "&lt;&gt;In Use", _xlpm.loc, "&lt;&gt;",  _xlpm.loc, "&lt;&gt;E-Waste", _xlpm.loc, "&lt;&gt;Virtual",  _xlpm.loc, "&lt;&gt;Assigned to Employee", _xlpm.loc, "&lt;&gt;Decommisioned", _xlpm.loc, "&lt;&gt;Missing")
)</f>
        <v>21</v>
      </c>
      <c r="C481" s="1">
        <f>_xlfn.LET(_xlpm.loc, ITEquipmentTable[Storage Location],
COUNTIFS(ITSecondTable[Tag], ITSecondTable[[#This Row],[Tag]], _xlpm.loc, "&lt;&gt;E-Waste", _xlpm.loc, "&lt;&gt;Virtual", _xlpm.loc, "&lt;&gt;Decommisioned")
)</f>
        <v>33</v>
      </c>
      <c r="D481" s="168">
        <f>_xlfn.LET(_xlpm.loc, ITEquipmentTable[Storage Location],
COUNTIFS(ITSecondTable[Tag], ITSecondTable[[#This Row],[Tag]], _xlpm.loc, "Missing")
)</f>
        <v>0</v>
      </c>
      <c r="E481" s="168">
        <f>_xlfn.LET(_xlpm.loc, ITEquipmentTable[Storage Location],
COUNTIFS(ITSecondTable[Tag], ITSecondTable[[#This Row],[Tag]], _xlpm.loc, "In Use") + COUNTIFS(ITSecondTable[Tag], ITSecondTable[[#This Row],[Tag]], _xlpm.loc, "Assigned to Employee")
)</f>
        <v>12</v>
      </c>
      <c r="F481" s="168">
        <f>_xlfn.LET(_xlpm.loc, ITEquipmentTable[Storage Location],
COUNTIFS(ITSecondTable[Tag], ITSecondTable[[#This Row],[Tag]], _xlpm.loc, "")
)</f>
        <v>0</v>
      </c>
      <c r="G481" s="168">
        <f>MAX(ITSecondTable[[#This Row],[SQty]] - ITSecondTable[[#This Row],[IQty]], 0)</f>
        <v>0</v>
      </c>
      <c r="H481" s="168">
        <f>MAX(ITSecondTable[[#This Row],[IQty]]-ITSecondTable[[#This Row],[SQty]], 0)</f>
        <v>9</v>
      </c>
      <c r="I481" s="151" t="str">
        <f>IFERROR(_xlfn.TEXTJOIN("~", TRUE, ITEquipmentTable[[#This Row],[Type]],ITEquipmentTable[[#This Row],[Brand]],ITEquipmentTable[[#This Row],[Model]]), "")</f>
        <v>Scanner Base~Honeywell~CCB02-100BT-07N</v>
      </c>
      <c r="J481" s="151" t="b">
        <f xml:space="preserve"> _xlfn.IFNA(MATCH( ITSecondTable[[#This Row],[Tag]], StorageTable[Tag], 0)  &gt; -1, FALSE)</f>
        <v>0</v>
      </c>
      <c r="K481" s="168" t="b">
        <f>COUNTIFS(ITEquipmentTable[Serial], ITEquipmentTable[[#This Row],[Serial]], ITEquipmentTable[Serial], "&lt;&gt;N/A") &gt; 1</f>
        <v>0</v>
      </c>
      <c r="L481" s="168" t="b">
        <f>COUNTIFS(ITEquipmentTable[Name], ITEquipmentTable[[#This Row],[Name]], ITEquipmentTable[Name], "&lt;&gt;&lt;Unassigned&gt;",  ITEquipmentTable[Name], "&lt;&gt;N/A") &gt; 1</f>
        <v>0</v>
      </c>
      <c r="M481" s="168" t="b">
        <f>AND(COUNTIFS(ITEquipmentTable[IPv4 Address], ITEquipmentTable[[#This Row],[IPv4 Address]]) &gt; 1, ITEquipmentTable[[#This Row],[IPv4 Address]] &lt;&gt; "DHCP",  ITEquipmentTable[[#This Row],[IPv4 Address]] &lt;&gt; "N/A")</f>
        <v>0</v>
      </c>
    </row>
    <row r="482" spans="1:13" x14ac:dyDescent="0.2">
      <c r="A482" s="168">
        <f>IF(LEN(ITSecondTable[[#This Row],[Tag]]) &gt; 0, _xlfn.XLOOKUP(ITSecondTable[[#This Row],[Tag]],StorageTable[Tag], StorageTable[In Storage - Count Total], "Err", 0, 1), 0)</f>
        <v>30</v>
      </c>
      <c r="B482" s="1">
        <f>_xlfn.LET(_xlpm.loc, ITEquipmentTable[Storage Location],
COUNTIFS(ITSecondTable[Tag], ITSecondTable[[#This Row],[Tag]], _xlpm.loc, "&lt;&gt;In Use", _xlpm.loc, "&lt;&gt;",  _xlpm.loc, "&lt;&gt;E-Waste", _xlpm.loc, "&lt;&gt;Virtual",  _xlpm.loc, "&lt;&gt;Assigned to Employee", _xlpm.loc, "&lt;&gt;Decommisioned", _xlpm.loc, "&lt;&gt;Missing")
)</f>
        <v>21</v>
      </c>
      <c r="C482" s="1">
        <f>_xlfn.LET(_xlpm.loc, ITEquipmentTable[Storage Location],
COUNTIFS(ITSecondTable[Tag], ITSecondTable[[#This Row],[Tag]], _xlpm.loc, "&lt;&gt;E-Waste", _xlpm.loc, "&lt;&gt;Virtual", _xlpm.loc, "&lt;&gt;Decommisioned")
)</f>
        <v>33</v>
      </c>
      <c r="D482" s="168">
        <f>_xlfn.LET(_xlpm.loc, ITEquipmentTable[Storage Location],
COUNTIFS(ITSecondTable[Tag], ITSecondTable[[#This Row],[Tag]], _xlpm.loc, "Missing")
)</f>
        <v>0</v>
      </c>
      <c r="E482" s="168">
        <f>_xlfn.LET(_xlpm.loc, ITEquipmentTable[Storage Location],
COUNTIFS(ITSecondTable[Tag], ITSecondTable[[#This Row],[Tag]], _xlpm.loc, "In Use") + COUNTIFS(ITSecondTable[Tag], ITSecondTable[[#This Row],[Tag]], _xlpm.loc, "Assigned to Employee")
)</f>
        <v>12</v>
      </c>
      <c r="F482" s="168">
        <f>_xlfn.LET(_xlpm.loc, ITEquipmentTable[Storage Location],
COUNTIFS(ITSecondTable[Tag], ITSecondTable[[#This Row],[Tag]], _xlpm.loc, "")
)</f>
        <v>0</v>
      </c>
      <c r="G482" s="168">
        <f>MAX(ITSecondTable[[#This Row],[SQty]] - ITSecondTable[[#This Row],[IQty]], 0)</f>
        <v>0</v>
      </c>
      <c r="H482" s="168">
        <f>MAX(ITSecondTable[[#This Row],[IQty]]-ITSecondTable[[#This Row],[SQty]], 0)</f>
        <v>9</v>
      </c>
      <c r="I482" s="151" t="str">
        <f>IFERROR(_xlfn.TEXTJOIN("~", TRUE, ITEquipmentTable[[#This Row],[Type]],ITEquipmentTable[[#This Row],[Brand]],ITEquipmentTable[[#This Row],[Model]]), "")</f>
        <v>Scanner Base~Honeywell~CCB02-100BT-07N</v>
      </c>
      <c r="J482" s="151" t="b">
        <f xml:space="preserve"> _xlfn.IFNA(MATCH( ITSecondTable[[#This Row],[Tag]], StorageTable[Tag], 0)  &gt; -1, FALSE)</f>
        <v>0</v>
      </c>
      <c r="K482" s="168" t="b">
        <f>COUNTIFS(ITEquipmentTable[Serial], ITEquipmentTable[[#This Row],[Serial]], ITEquipmentTable[Serial], "&lt;&gt;N/A") &gt; 1</f>
        <v>0</v>
      </c>
      <c r="L482" s="168" t="b">
        <f>COUNTIFS(ITEquipmentTable[Name], ITEquipmentTable[[#This Row],[Name]], ITEquipmentTable[Name], "&lt;&gt;&lt;Unassigned&gt;",  ITEquipmentTable[Name], "&lt;&gt;N/A") &gt; 1</f>
        <v>0</v>
      </c>
      <c r="M482" s="168" t="b">
        <f>AND(COUNTIFS(ITEquipmentTable[IPv4 Address], ITEquipmentTable[[#This Row],[IPv4 Address]]) &gt; 1, ITEquipmentTable[[#This Row],[IPv4 Address]] &lt;&gt; "DHCP",  ITEquipmentTable[[#This Row],[IPv4 Address]] &lt;&gt; "N/A")</f>
        <v>0</v>
      </c>
    </row>
    <row r="483" spans="1:13" x14ac:dyDescent="0.2">
      <c r="A483" s="168">
        <f>IF(LEN(ITSecondTable[[#This Row],[Tag]]) &gt; 0, _xlfn.XLOOKUP(ITSecondTable[[#This Row],[Tag]],StorageTable[Tag], StorageTable[In Storage - Count Total], "Err", 0, 1), 0)</f>
        <v>30</v>
      </c>
      <c r="B483" s="1">
        <f>_xlfn.LET(_xlpm.loc, ITEquipmentTable[Storage Location],
COUNTIFS(ITSecondTable[Tag], ITSecondTable[[#This Row],[Tag]], _xlpm.loc, "&lt;&gt;In Use", _xlpm.loc, "&lt;&gt;",  _xlpm.loc, "&lt;&gt;E-Waste", _xlpm.loc, "&lt;&gt;Virtual",  _xlpm.loc, "&lt;&gt;Assigned to Employee", _xlpm.loc, "&lt;&gt;Decommisioned", _xlpm.loc, "&lt;&gt;Missing")
)</f>
        <v>21</v>
      </c>
      <c r="C483" s="1">
        <f>_xlfn.LET(_xlpm.loc, ITEquipmentTable[Storage Location],
COUNTIFS(ITSecondTable[Tag], ITSecondTable[[#This Row],[Tag]], _xlpm.loc, "&lt;&gt;E-Waste", _xlpm.loc, "&lt;&gt;Virtual", _xlpm.loc, "&lt;&gt;Decommisioned")
)</f>
        <v>33</v>
      </c>
      <c r="D483" s="168">
        <f>_xlfn.LET(_xlpm.loc, ITEquipmentTable[Storage Location],
COUNTIFS(ITSecondTable[Tag], ITSecondTable[[#This Row],[Tag]], _xlpm.loc, "Missing")
)</f>
        <v>0</v>
      </c>
      <c r="E483" s="168">
        <f>_xlfn.LET(_xlpm.loc, ITEquipmentTable[Storage Location],
COUNTIFS(ITSecondTable[Tag], ITSecondTable[[#This Row],[Tag]], _xlpm.loc, "In Use") + COUNTIFS(ITSecondTable[Tag], ITSecondTable[[#This Row],[Tag]], _xlpm.loc, "Assigned to Employee")
)</f>
        <v>12</v>
      </c>
      <c r="F483" s="168">
        <f>_xlfn.LET(_xlpm.loc, ITEquipmentTable[Storage Location],
COUNTIFS(ITSecondTable[Tag], ITSecondTable[[#This Row],[Tag]], _xlpm.loc, "")
)</f>
        <v>0</v>
      </c>
      <c r="G483" s="168">
        <f>MAX(ITSecondTable[[#This Row],[SQty]] - ITSecondTable[[#This Row],[IQty]], 0)</f>
        <v>0</v>
      </c>
      <c r="H483" s="168">
        <f>MAX(ITSecondTable[[#This Row],[IQty]]-ITSecondTable[[#This Row],[SQty]], 0)</f>
        <v>9</v>
      </c>
      <c r="I483" s="151" t="str">
        <f>IFERROR(_xlfn.TEXTJOIN("~", TRUE, ITEquipmentTable[[#This Row],[Type]],ITEquipmentTable[[#This Row],[Brand]],ITEquipmentTable[[#This Row],[Model]]), "")</f>
        <v>Scanner Base~Honeywell~CCB02-100BT-07N</v>
      </c>
      <c r="J483" s="151" t="b">
        <f xml:space="preserve"> _xlfn.IFNA(MATCH( ITSecondTable[[#This Row],[Tag]], StorageTable[Tag], 0)  &gt; -1, FALSE)</f>
        <v>0</v>
      </c>
      <c r="K483" s="168" t="b">
        <f>COUNTIFS(ITEquipmentTable[Serial], ITEquipmentTable[[#This Row],[Serial]], ITEquipmentTable[Serial], "&lt;&gt;N/A") &gt; 1</f>
        <v>0</v>
      </c>
      <c r="L483" s="168" t="b">
        <f>COUNTIFS(ITEquipmentTable[Name], ITEquipmentTable[[#This Row],[Name]], ITEquipmentTable[Name], "&lt;&gt;&lt;Unassigned&gt;",  ITEquipmentTable[Name], "&lt;&gt;N/A") &gt; 1</f>
        <v>0</v>
      </c>
      <c r="M483" s="168" t="b">
        <f>AND(COUNTIFS(ITEquipmentTable[IPv4 Address], ITEquipmentTable[[#This Row],[IPv4 Address]]) &gt; 1, ITEquipmentTable[[#This Row],[IPv4 Address]] &lt;&gt; "DHCP",  ITEquipmentTable[[#This Row],[IPv4 Address]] &lt;&gt; "N/A")</f>
        <v>0</v>
      </c>
    </row>
    <row r="484" spans="1:13" x14ac:dyDescent="0.2">
      <c r="A484" s="168">
        <f>IF(LEN(ITSecondTable[[#This Row],[Tag]]) &gt; 0, _xlfn.XLOOKUP(ITSecondTable[[#This Row],[Tag]],StorageTable[Tag], StorageTable[In Storage - Count Total], "Err", 0, 1), 0)</f>
        <v>30</v>
      </c>
      <c r="B484" s="1">
        <f>_xlfn.LET(_xlpm.loc, ITEquipmentTable[Storage Location],
COUNTIFS(ITSecondTable[Tag], ITSecondTable[[#This Row],[Tag]], _xlpm.loc, "&lt;&gt;In Use", _xlpm.loc, "&lt;&gt;",  _xlpm.loc, "&lt;&gt;E-Waste", _xlpm.loc, "&lt;&gt;Virtual",  _xlpm.loc, "&lt;&gt;Assigned to Employee", _xlpm.loc, "&lt;&gt;Decommisioned", _xlpm.loc, "&lt;&gt;Missing")
)</f>
        <v>21</v>
      </c>
      <c r="C484" s="1">
        <f>_xlfn.LET(_xlpm.loc, ITEquipmentTable[Storage Location],
COUNTIFS(ITSecondTable[Tag], ITSecondTable[[#This Row],[Tag]], _xlpm.loc, "&lt;&gt;E-Waste", _xlpm.loc, "&lt;&gt;Virtual", _xlpm.loc, "&lt;&gt;Decommisioned")
)</f>
        <v>33</v>
      </c>
      <c r="D484" s="168">
        <f>_xlfn.LET(_xlpm.loc, ITEquipmentTable[Storage Location],
COUNTIFS(ITSecondTable[Tag], ITSecondTable[[#This Row],[Tag]], _xlpm.loc, "Missing")
)</f>
        <v>0</v>
      </c>
      <c r="E484" s="168">
        <f>_xlfn.LET(_xlpm.loc, ITEquipmentTable[Storage Location],
COUNTIFS(ITSecondTable[Tag], ITSecondTable[[#This Row],[Tag]], _xlpm.loc, "In Use") + COUNTIFS(ITSecondTable[Tag], ITSecondTable[[#This Row],[Tag]], _xlpm.loc, "Assigned to Employee")
)</f>
        <v>12</v>
      </c>
      <c r="F484" s="168">
        <f>_xlfn.LET(_xlpm.loc, ITEquipmentTable[Storage Location],
COUNTIFS(ITSecondTable[Tag], ITSecondTable[[#This Row],[Tag]], _xlpm.loc, "")
)</f>
        <v>0</v>
      </c>
      <c r="G484" s="168">
        <f>MAX(ITSecondTable[[#This Row],[SQty]] - ITSecondTable[[#This Row],[IQty]], 0)</f>
        <v>0</v>
      </c>
      <c r="H484" s="168">
        <f>MAX(ITSecondTable[[#This Row],[IQty]]-ITSecondTable[[#This Row],[SQty]], 0)</f>
        <v>9</v>
      </c>
      <c r="I484" s="151" t="str">
        <f>IFERROR(_xlfn.TEXTJOIN("~", TRUE, ITEquipmentTable[[#This Row],[Type]],ITEquipmentTable[[#This Row],[Brand]],ITEquipmentTable[[#This Row],[Model]]), "")</f>
        <v>Scanner Base~Honeywell~CCB02-100BT-07N</v>
      </c>
      <c r="J484" s="151" t="b">
        <f xml:space="preserve"> _xlfn.IFNA(MATCH( ITSecondTable[[#This Row],[Tag]], StorageTable[Tag], 0)  &gt; -1, FALSE)</f>
        <v>0</v>
      </c>
      <c r="K484" s="168" t="b">
        <f>COUNTIFS(ITEquipmentTable[Serial], ITEquipmentTable[[#This Row],[Serial]], ITEquipmentTable[Serial], "&lt;&gt;N/A") &gt; 1</f>
        <v>0</v>
      </c>
      <c r="L484" s="168" t="b">
        <f>COUNTIFS(ITEquipmentTable[Name], ITEquipmentTable[[#This Row],[Name]], ITEquipmentTable[Name], "&lt;&gt;&lt;Unassigned&gt;",  ITEquipmentTable[Name], "&lt;&gt;N/A") &gt; 1</f>
        <v>0</v>
      </c>
      <c r="M484" s="168" t="b">
        <f>AND(COUNTIFS(ITEquipmentTable[IPv4 Address], ITEquipmentTable[[#This Row],[IPv4 Address]]) &gt; 1, ITEquipmentTable[[#This Row],[IPv4 Address]] &lt;&gt; "DHCP",  ITEquipmentTable[[#This Row],[IPv4 Address]] &lt;&gt; "N/A")</f>
        <v>0</v>
      </c>
    </row>
    <row r="485" spans="1:13" x14ac:dyDescent="0.2">
      <c r="A485" s="168">
        <f>IF(LEN(ITSecondTable[[#This Row],[Tag]]) &gt; 0, _xlfn.XLOOKUP(ITSecondTable[[#This Row],[Tag]],StorageTable[Tag], StorageTable[In Storage - Count Total], "Err", 0, 1), 0)</f>
        <v>30</v>
      </c>
      <c r="B485" s="1">
        <f>_xlfn.LET(_xlpm.loc, ITEquipmentTable[Storage Location],
COUNTIFS(ITSecondTable[Tag], ITSecondTable[[#This Row],[Tag]], _xlpm.loc, "&lt;&gt;In Use", _xlpm.loc, "&lt;&gt;",  _xlpm.loc, "&lt;&gt;E-Waste", _xlpm.loc, "&lt;&gt;Virtual",  _xlpm.loc, "&lt;&gt;Assigned to Employee", _xlpm.loc, "&lt;&gt;Decommisioned", _xlpm.loc, "&lt;&gt;Missing")
)</f>
        <v>21</v>
      </c>
      <c r="C485" s="1">
        <f>_xlfn.LET(_xlpm.loc, ITEquipmentTable[Storage Location],
COUNTIFS(ITSecondTable[Tag], ITSecondTable[[#This Row],[Tag]], _xlpm.loc, "&lt;&gt;E-Waste", _xlpm.loc, "&lt;&gt;Virtual", _xlpm.loc, "&lt;&gt;Decommisioned")
)</f>
        <v>33</v>
      </c>
      <c r="D485" s="168">
        <f>_xlfn.LET(_xlpm.loc, ITEquipmentTable[Storage Location],
COUNTIFS(ITSecondTable[Tag], ITSecondTable[[#This Row],[Tag]], _xlpm.loc, "Missing")
)</f>
        <v>0</v>
      </c>
      <c r="E485" s="168">
        <f>_xlfn.LET(_xlpm.loc, ITEquipmentTable[Storage Location],
COUNTIFS(ITSecondTable[Tag], ITSecondTable[[#This Row],[Tag]], _xlpm.loc, "In Use") + COUNTIFS(ITSecondTable[Tag], ITSecondTable[[#This Row],[Tag]], _xlpm.loc, "Assigned to Employee")
)</f>
        <v>12</v>
      </c>
      <c r="F485" s="168">
        <f>_xlfn.LET(_xlpm.loc, ITEquipmentTable[Storage Location],
COUNTIFS(ITSecondTable[Tag], ITSecondTable[[#This Row],[Tag]], _xlpm.loc, "")
)</f>
        <v>0</v>
      </c>
      <c r="G485" s="168">
        <f>MAX(ITSecondTable[[#This Row],[SQty]] - ITSecondTable[[#This Row],[IQty]], 0)</f>
        <v>0</v>
      </c>
      <c r="H485" s="168">
        <f>MAX(ITSecondTable[[#This Row],[IQty]]-ITSecondTable[[#This Row],[SQty]], 0)</f>
        <v>9</v>
      </c>
      <c r="I485" s="151" t="str">
        <f>IFERROR(_xlfn.TEXTJOIN("~", TRUE, ITEquipmentTable[[#This Row],[Type]],ITEquipmentTable[[#This Row],[Brand]],ITEquipmentTable[[#This Row],[Model]]), "")</f>
        <v>Scanner Base~Honeywell~CCB02-100BT-07N</v>
      </c>
      <c r="J485" s="151" t="b">
        <f xml:space="preserve"> _xlfn.IFNA(MATCH( ITSecondTable[[#This Row],[Tag]], StorageTable[Tag], 0)  &gt; -1, FALSE)</f>
        <v>0</v>
      </c>
      <c r="K485" s="168" t="b">
        <f>COUNTIFS(ITEquipmentTable[Serial], ITEquipmentTable[[#This Row],[Serial]], ITEquipmentTable[Serial], "&lt;&gt;N/A") &gt; 1</f>
        <v>0</v>
      </c>
      <c r="L485" s="168" t="b">
        <f>COUNTIFS(ITEquipmentTable[Name], ITEquipmentTable[[#This Row],[Name]], ITEquipmentTable[Name], "&lt;&gt;&lt;Unassigned&gt;",  ITEquipmentTable[Name], "&lt;&gt;N/A") &gt; 1</f>
        <v>0</v>
      </c>
      <c r="M485" s="168" t="b">
        <f>AND(COUNTIFS(ITEquipmentTable[IPv4 Address], ITEquipmentTable[[#This Row],[IPv4 Address]]) &gt; 1, ITEquipmentTable[[#This Row],[IPv4 Address]] &lt;&gt; "DHCP",  ITEquipmentTable[[#This Row],[IPv4 Address]] &lt;&gt; "N/A")</f>
        <v>0</v>
      </c>
    </row>
    <row r="486" spans="1:13" x14ac:dyDescent="0.2">
      <c r="A486" s="168">
        <f>IF(LEN(ITSecondTable[[#This Row],[Tag]]) &gt; 0, _xlfn.XLOOKUP(ITSecondTable[[#This Row],[Tag]],StorageTable[Tag], StorageTable[In Storage - Count Total], "Err", 0, 1), 0)</f>
        <v>30</v>
      </c>
      <c r="B486" s="1">
        <f>_xlfn.LET(_xlpm.loc, ITEquipmentTable[Storage Location],
COUNTIFS(ITSecondTable[Tag], ITSecondTable[[#This Row],[Tag]], _xlpm.loc, "&lt;&gt;In Use", _xlpm.loc, "&lt;&gt;",  _xlpm.loc, "&lt;&gt;E-Waste", _xlpm.loc, "&lt;&gt;Virtual",  _xlpm.loc, "&lt;&gt;Assigned to Employee", _xlpm.loc, "&lt;&gt;Decommisioned", _xlpm.loc, "&lt;&gt;Missing")
)</f>
        <v>21</v>
      </c>
      <c r="C486" s="1">
        <f>_xlfn.LET(_xlpm.loc, ITEquipmentTable[Storage Location],
COUNTIFS(ITSecondTable[Tag], ITSecondTable[[#This Row],[Tag]], _xlpm.loc, "&lt;&gt;E-Waste", _xlpm.loc, "&lt;&gt;Virtual", _xlpm.loc, "&lt;&gt;Decommisioned")
)</f>
        <v>33</v>
      </c>
      <c r="D486" s="168">
        <f>_xlfn.LET(_xlpm.loc, ITEquipmentTable[Storage Location],
COUNTIFS(ITSecondTable[Tag], ITSecondTable[[#This Row],[Tag]], _xlpm.loc, "Missing")
)</f>
        <v>0</v>
      </c>
      <c r="E486" s="168">
        <f>_xlfn.LET(_xlpm.loc, ITEquipmentTable[Storage Location],
COUNTIFS(ITSecondTable[Tag], ITSecondTable[[#This Row],[Tag]], _xlpm.loc, "In Use") + COUNTIFS(ITSecondTable[Tag], ITSecondTable[[#This Row],[Tag]], _xlpm.loc, "Assigned to Employee")
)</f>
        <v>12</v>
      </c>
      <c r="F486" s="168">
        <f>_xlfn.LET(_xlpm.loc, ITEquipmentTable[Storage Location],
COUNTIFS(ITSecondTable[Tag], ITSecondTable[[#This Row],[Tag]], _xlpm.loc, "")
)</f>
        <v>0</v>
      </c>
      <c r="G486" s="168">
        <f>MAX(ITSecondTable[[#This Row],[SQty]] - ITSecondTable[[#This Row],[IQty]], 0)</f>
        <v>0</v>
      </c>
      <c r="H486" s="168">
        <f>MAX(ITSecondTable[[#This Row],[IQty]]-ITSecondTable[[#This Row],[SQty]], 0)</f>
        <v>9</v>
      </c>
      <c r="I486" s="151" t="str">
        <f>IFERROR(_xlfn.TEXTJOIN("~", TRUE, ITEquipmentTable[[#This Row],[Type]],ITEquipmentTable[[#This Row],[Brand]],ITEquipmentTable[[#This Row],[Model]]), "")</f>
        <v>Scanner Base~Honeywell~CCB02-100BT-07N</v>
      </c>
      <c r="J486" s="151" t="b">
        <f xml:space="preserve"> _xlfn.IFNA(MATCH( ITSecondTable[[#This Row],[Tag]], StorageTable[Tag], 0)  &gt; -1, FALSE)</f>
        <v>0</v>
      </c>
      <c r="K486" s="168" t="b">
        <f>COUNTIFS(ITEquipmentTable[Serial], ITEquipmentTable[[#This Row],[Serial]], ITEquipmentTable[Serial], "&lt;&gt;N/A") &gt; 1</f>
        <v>0</v>
      </c>
      <c r="L486" s="168" t="b">
        <f>COUNTIFS(ITEquipmentTable[Name], ITEquipmentTable[[#This Row],[Name]], ITEquipmentTable[Name], "&lt;&gt;&lt;Unassigned&gt;",  ITEquipmentTable[Name], "&lt;&gt;N/A") &gt; 1</f>
        <v>0</v>
      </c>
      <c r="M486" s="168" t="b">
        <f>AND(COUNTIFS(ITEquipmentTable[IPv4 Address], ITEquipmentTable[[#This Row],[IPv4 Address]]) &gt; 1, ITEquipmentTable[[#This Row],[IPv4 Address]] &lt;&gt; "DHCP",  ITEquipmentTable[[#This Row],[IPv4 Address]] &lt;&gt; "N/A")</f>
        <v>0</v>
      </c>
    </row>
    <row r="487" spans="1:13" x14ac:dyDescent="0.2">
      <c r="A487" s="168">
        <f>IF(LEN(ITSecondTable[[#This Row],[Tag]]) &gt; 0, _xlfn.XLOOKUP(ITSecondTable[[#This Row],[Tag]],StorageTable[Tag], StorageTable[In Storage - Count Total], "Err", 0, 1), 0)</f>
        <v>30</v>
      </c>
      <c r="B487" s="1">
        <f>_xlfn.LET(_xlpm.loc, ITEquipmentTable[Storage Location],
COUNTIFS(ITSecondTable[Tag], ITSecondTable[[#This Row],[Tag]], _xlpm.loc, "&lt;&gt;In Use", _xlpm.loc, "&lt;&gt;",  _xlpm.loc, "&lt;&gt;E-Waste", _xlpm.loc, "&lt;&gt;Virtual",  _xlpm.loc, "&lt;&gt;Assigned to Employee", _xlpm.loc, "&lt;&gt;Decommisioned", _xlpm.loc, "&lt;&gt;Missing")
)</f>
        <v>21</v>
      </c>
      <c r="C487" s="1">
        <f>_xlfn.LET(_xlpm.loc, ITEquipmentTable[Storage Location],
COUNTIFS(ITSecondTable[Tag], ITSecondTable[[#This Row],[Tag]], _xlpm.loc, "&lt;&gt;E-Waste", _xlpm.loc, "&lt;&gt;Virtual", _xlpm.loc, "&lt;&gt;Decommisioned")
)</f>
        <v>33</v>
      </c>
      <c r="D487" s="168">
        <f>_xlfn.LET(_xlpm.loc, ITEquipmentTable[Storage Location],
COUNTIFS(ITSecondTable[Tag], ITSecondTable[[#This Row],[Tag]], _xlpm.loc, "Missing")
)</f>
        <v>0</v>
      </c>
      <c r="E487" s="168">
        <f>_xlfn.LET(_xlpm.loc, ITEquipmentTable[Storage Location],
COUNTIFS(ITSecondTable[Tag], ITSecondTable[[#This Row],[Tag]], _xlpm.loc, "In Use") + COUNTIFS(ITSecondTable[Tag], ITSecondTable[[#This Row],[Tag]], _xlpm.loc, "Assigned to Employee")
)</f>
        <v>12</v>
      </c>
      <c r="F487" s="168">
        <f>_xlfn.LET(_xlpm.loc, ITEquipmentTable[Storage Location],
COUNTIFS(ITSecondTable[Tag], ITSecondTable[[#This Row],[Tag]], _xlpm.loc, "")
)</f>
        <v>0</v>
      </c>
      <c r="G487" s="168">
        <f>MAX(ITSecondTable[[#This Row],[SQty]] - ITSecondTable[[#This Row],[IQty]], 0)</f>
        <v>0</v>
      </c>
      <c r="H487" s="168">
        <f>MAX(ITSecondTable[[#This Row],[IQty]]-ITSecondTable[[#This Row],[SQty]], 0)</f>
        <v>9</v>
      </c>
      <c r="I487" s="151" t="str">
        <f>IFERROR(_xlfn.TEXTJOIN("~", TRUE, ITEquipmentTable[[#This Row],[Type]],ITEquipmentTable[[#This Row],[Brand]],ITEquipmentTable[[#This Row],[Model]]), "")</f>
        <v>Scanner Base~Honeywell~CCB02-100BT-07N</v>
      </c>
      <c r="J487" s="151" t="b">
        <f xml:space="preserve"> _xlfn.IFNA(MATCH( ITSecondTable[[#This Row],[Tag]], StorageTable[Tag], 0)  &gt; -1, FALSE)</f>
        <v>0</v>
      </c>
      <c r="K487" s="168" t="b">
        <f>COUNTIFS(ITEquipmentTable[Serial], ITEquipmentTable[[#This Row],[Serial]], ITEquipmentTable[Serial], "&lt;&gt;N/A") &gt; 1</f>
        <v>0</v>
      </c>
      <c r="L487" s="168" t="b">
        <f>COUNTIFS(ITEquipmentTable[Name], ITEquipmentTable[[#This Row],[Name]], ITEquipmentTable[Name], "&lt;&gt;&lt;Unassigned&gt;",  ITEquipmentTable[Name], "&lt;&gt;N/A") &gt; 1</f>
        <v>0</v>
      </c>
      <c r="M487" s="168" t="b">
        <f>AND(COUNTIFS(ITEquipmentTable[IPv4 Address], ITEquipmentTable[[#This Row],[IPv4 Address]]) &gt; 1, ITEquipmentTable[[#This Row],[IPv4 Address]] &lt;&gt; "DHCP",  ITEquipmentTable[[#This Row],[IPv4 Address]] &lt;&gt; "N/A")</f>
        <v>0</v>
      </c>
    </row>
    <row r="488" spans="1:13" x14ac:dyDescent="0.2">
      <c r="A488" s="168">
        <f>IF(LEN(ITSecondTable[[#This Row],[Tag]]) &gt; 0, _xlfn.XLOOKUP(ITSecondTable[[#This Row],[Tag]],StorageTable[Tag], StorageTable[In Storage - Count Total], "Err", 0, 1), 0)</f>
        <v>30</v>
      </c>
      <c r="B488" s="1">
        <f>_xlfn.LET(_xlpm.loc, ITEquipmentTable[Storage Location],
COUNTIFS(ITSecondTable[Tag], ITSecondTable[[#This Row],[Tag]], _xlpm.loc, "&lt;&gt;In Use", _xlpm.loc, "&lt;&gt;",  _xlpm.loc, "&lt;&gt;E-Waste", _xlpm.loc, "&lt;&gt;Virtual",  _xlpm.loc, "&lt;&gt;Assigned to Employee", _xlpm.loc, "&lt;&gt;Decommisioned", _xlpm.loc, "&lt;&gt;Missing")
)</f>
        <v>21</v>
      </c>
      <c r="C488" s="1">
        <f>_xlfn.LET(_xlpm.loc, ITEquipmentTable[Storage Location],
COUNTIFS(ITSecondTable[Tag], ITSecondTable[[#This Row],[Tag]], _xlpm.loc, "&lt;&gt;E-Waste", _xlpm.loc, "&lt;&gt;Virtual", _xlpm.loc, "&lt;&gt;Decommisioned")
)</f>
        <v>33</v>
      </c>
      <c r="D488" s="168">
        <f>_xlfn.LET(_xlpm.loc, ITEquipmentTable[Storage Location],
COUNTIFS(ITSecondTable[Tag], ITSecondTable[[#This Row],[Tag]], _xlpm.loc, "Missing")
)</f>
        <v>0</v>
      </c>
      <c r="E488" s="168">
        <f>_xlfn.LET(_xlpm.loc, ITEquipmentTable[Storage Location],
COUNTIFS(ITSecondTable[Tag], ITSecondTable[[#This Row],[Tag]], _xlpm.loc, "In Use") + COUNTIFS(ITSecondTable[Tag], ITSecondTable[[#This Row],[Tag]], _xlpm.loc, "Assigned to Employee")
)</f>
        <v>12</v>
      </c>
      <c r="F488" s="168">
        <f>_xlfn.LET(_xlpm.loc, ITEquipmentTable[Storage Location],
COUNTIFS(ITSecondTable[Tag], ITSecondTable[[#This Row],[Tag]], _xlpm.loc, "")
)</f>
        <v>0</v>
      </c>
      <c r="G488" s="168">
        <f>MAX(ITSecondTable[[#This Row],[SQty]] - ITSecondTable[[#This Row],[IQty]], 0)</f>
        <v>0</v>
      </c>
      <c r="H488" s="168">
        <f>MAX(ITSecondTable[[#This Row],[IQty]]-ITSecondTable[[#This Row],[SQty]], 0)</f>
        <v>9</v>
      </c>
      <c r="I488" s="151" t="str">
        <f>IFERROR(_xlfn.TEXTJOIN("~", TRUE, ITEquipmentTable[[#This Row],[Type]],ITEquipmentTable[[#This Row],[Brand]],ITEquipmentTable[[#This Row],[Model]]), "")</f>
        <v>Scanner Base~Honeywell~CCB02-100BT-07N</v>
      </c>
      <c r="J488" s="151" t="b">
        <f xml:space="preserve"> _xlfn.IFNA(MATCH( ITSecondTable[[#This Row],[Tag]], StorageTable[Tag], 0)  &gt; -1, FALSE)</f>
        <v>0</v>
      </c>
      <c r="K488" s="168" t="b">
        <f>COUNTIFS(ITEquipmentTable[Serial], ITEquipmentTable[[#This Row],[Serial]], ITEquipmentTable[Serial], "&lt;&gt;N/A") &gt; 1</f>
        <v>0</v>
      </c>
      <c r="L488" s="168" t="b">
        <f>COUNTIFS(ITEquipmentTable[Name], ITEquipmentTable[[#This Row],[Name]], ITEquipmentTable[Name], "&lt;&gt;&lt;Unassigned&gt;",  ITEquipmentTable[Name], "&lt;&gt;N/A") &gt; 1</f>
        <v>0</v>
      </c>
      <c r="M488" s="168" t="b">
        <f>AND(COUNTIFS(ITEquipmentTable[IPv4 Address], ITEquipmentTable[[#This Row],[IPv4 Address]]) &gt; 1, ITEquipmentTable[[#This Row],[IPv4 Address]] &lt;&gt; "DHCP",  ITEquipmentTable[[#This Row],[IPv4 Address]] &lt;&gt; "N/A")</f>
        <v>0</v>
      </c>
    </row>
    <row r="489" spans="1:13" x14ac:dyDescent="0.2">
      <c r="A489" s="168">
        <f>IF(LEN(ITSecondTable[[#This Row],[Tag]]) &gt; 0, _xlfn.XLOOKUP(ITSecondTable[[#This Row],[Tag]],StorageTable[Tag], StorageTable[In Storage - Count Total], "Err", 0, 1), 0)</f>
        <v>30</v>
      </c>
      <c r="B489" s="1">
        <f>_xlfn.LET(_xlpm.loc, ITEquipmentTable[Storage Location],
COUNTIFS(ITSecondTable[Tag], ITSecondTable[[#This Row],[Tag]], _xlpm.loc, "&lt;&gt;In Use", _xlpm.loc, "&lt;&gt;",  _xlpm.loc, "&lt;&gt;E-Waste", _xlpm.loc, "&lt;&gt;Virtual",  _xlpm.loc, "&lt;&gt;Assigned to Employee", _xlpm.loc, "&lt;&gt;Decommisioned", _xlpm.loc, "&lt;&gt;Missing")
)</f>
        <v>21</v>
      </c>
      <c r="C489" s="1">
        <f>_xlfn.LET(_xlpm.loc, ITEquipmentTable[Storage Location],
COUNTIFS(ITSecondTable[Tag], ITSecondTable[[#This Row],[Tag]], _xlpm.loc, "&lt;&gt;E-Waste", _xlpm.loc, "&lt;&gt;Virtual", _xlpm.loc, "&lt;&gt;Decommisioned")
)</f>
        <v>33</v>
      </c>
      <c r="D489" s="168">
        <f>_xlfn.LET(_xlpm.loc, ITEquipmentTable[Storage Location],
COUNTIFS(ITSecondTable[Tag], ITSecondTable[[#This Row],[Tag]], _xlpm.loc, "Missing")
)</f>
        <v>0</v>
      </c>
      <c r="E489" s="168">
        <f>_xlfn.LET(_xlpm.loc, ITEquipmentTable[Storage Location],
COUNTIFS(ITSecondTable[Tag], ITSecondTable[[#This Row],[Tag]], _xlpm.loc, "In Use") + COUNTIFS(ITSecondTable[Tag], ITSecondTable[[#This Row],[Tag]], _xlpm.loc, "Assigned to Employee")
)</f>
        <v>12</v>
      </c>
      <c r="F489" s="168">
        <f>_xlfn.LET(_xlpm.loc, ITEquipmentTable[Storage Location],
COUNTIFS(ITSecondTable[Tag], ITSecondTable[[#This Row],[Tag]], _xlpm.loc, "")
)</f>
        <v>0</v>
      </c>
      <c r="G489" s="168">
        <f>MAX(ITSecondTable[[#This Row],[SQty]] - ITSecondTable[[#This Row],[IQty]], 0)</f>
        <v>0</v>
      </c>
      <c r="H489" s="168">
        <f>MAX(ITSecondTable[[#This Row],[IQty]]-ITSecondTable[[#This Row],[SQty]], 0)</f>
        <v>9</v>
      </c>
      <c r="I489" s="151" t="str">
        <f>IFERROR(_xlfn.TEXTJOIN("~", TRUE, ITEquipmentTable[[#This Row],[Type]],ITEquipmentTable[[#This Row],[Brand]],ITEquipmentTable[[#This Row],[Model]]), "")</f>
        <v>Scanner Base~Honeywell~CCB02-100BT-07N</v>
      </c>
      <c r="J489" s="151" t="b">
        <f xml:space="preserve"> _xlfn.IFNA(MATCH( ITSecondTable[[#This Row],[Tag]], StorageTable[Tag], 0)  &gt; -1, FALSE)</f>
        <v>0</v>
      </c>
      <c r="K489" s="168" t="b">
        <f>COUNTIFS(ITEquipmentTable[Serial], ITEquipmentTable[[#This Row],[Serial]], ITEquipmentTable[Serial], "&lt;&gt;N/A") &gt; 1</f>
        <v>0</v>
      </c>
      <c r="L489" s="168" t="b">
        <f>COUNTIFS(ITEquipmentTable[Name], ITEquipmentTable[[#This Row],[Name]], ITEquipmentTable[Name], "&lt;&gt;&lt;Unassigned&gt;",  ITEquipmentTable[Name], "&lt;&gt;N/A") &gt; 1</f>
        <v>0</v>
      </c>
      <c r="M489" s="168" t="b">
        <f>AND(COUNTIFS(ITEquipmentTable[IPv4 Address], ITEquipmentTable[[#This Row],[IPv4 Address]]) &gt; 1, ITEquipmentTable[[#This Row],[IPv4 Address]] &lt;&gt; "DHCP",  ITEquipmentTable[[#This Row],[IPv4 Address]] &lt;&gt; "N/A")</f>
        <v>0</v>
      </c>
    </row>
    <row r="490" spans="1:13" x14ac:dyDescent="0.2">
      <c r="A490" s="168">
        <f>IF(LEN(ITSecondTable[[#This Row],[Tag]]) &gt; 0, _xlfn.XLOOKUP(ITSecondTable[[#This Row],[Tag]],StorageTable[Tag], StorageTable[In Storage - Count Total], "Err", 0, 1), 0)</f>
        <v>8</v>
      </c>
      <c r="B490" s="1">
        <f>_xlfn.LET(_xlpm.loc, ITEquipmentTable[Storage Location],
COUNTIFS(ITSecondTable[Tag], ITSecondTable[[#This Row],[Tag]], _xlpm.loc, "&lt;&gt;In Use", _xlpm.loc, "&lt;&gt;",  _xlpm.loc, "&lt;&gt;E-Waste", _xlpm.loc, "&lt;&gt;Virtual",  _xlpm.loc, "&lt;&gt;Assigned to Employee", _xlpm.loc, "&lt;&gt;Decommisioned", _xlpm.loc, "&lt;&gt;Missing")
)</f>
        <v>9</v>
      </c>
      <c r="C490" s="1">
        <f>_xlfn.LET(_xlpm.loc, ITEquipmentTable[Storage Location],
COUNTIFS(ITSecondTable[Tag], ITSecondTable[[#This Row],[Tag]], _xlpm.loc, "&lt;&gt;E-Waste", _xlpm.loc, "&lt;&gt;Virtual", _xlpm.loc, "&lt;&gt;Decommisioned")
)</f>
        <v>40</v>
      </c>
      <c r="D490" s="168">
        <f>_xlfn.LET(_xlpm.loc, ITEquipmentTable[Storage Location],
COUNTIFS(ITSecondTable[Tag], ITSecondTable[[#This Row],[Tag]], _xlpm.loc, "Missing")
)</f>
        <v>0</v>
      </c>
      <c r="E490" s="168">
        <f>_xlfn.LET(_xlpm.loc, ITEquipmentTable[Storage Location],
COUNTIFS(ITSecondTable[Tag], ITSecondTable[[#This Row],[Tag]], _xlpm.loc, "In Use") + COUNTIFS(ITSecondTable[Tag], ITSecondTable[[#This Row],[Tag]], _xlpm.loc, "Assigned to Employee")
)</f>
        <v>23</v>
      </c>
      <c r="F490" s="168">
        <f>_xlfn.LET(_xlpm.loc, ITEquipmentTable[Storage Location],
COUNTIFS(ITSecondTable[Tag], ITSecondTable[[#This Row],[Tag]], _xlpm.loc, "")
)</f>
        <v>8</v>
      </c>
      <c r="G490" s="168">
        <f>MAX(ITSecondTable[[#This Row],[SQty]] - ITSecondTable[[#This Row],[IQty]], 0)</f>
        <v>1</v>
      </c>
      <c r="H490" s="168">
        <f>MAX(ITSecondTable[[#This Row],[IQty]]-ITSecondTable[[#This Row],[SQty]], 0)</f>
        <v>0</v>
      </c>
      <c r="I490" s="151" t="str">
        <f>IFERROR(_xlfn.TEXTJOIN("~", TRUE, ITEquipmentTable[[#This Row],[Type]],ITEquipmentTable[[#This Row],[Brand]],ITEquipmentTable[[#This Row],[Model]]), "")</f>
        <v>Printer~Sato~CL4NX</v>
      </c>
      <c r="J490" s="151" t="b">
        <f xml:space="preserve"> _xlfn.IFNA(MATCH( ITSecondTable[[#This Row],[Tag]], StorageTable[Tag], 0)  &gt; -1, FALSE)</f>
        <v>0</v>
      </c>
      <c r="K490" s="168" t="b">
        <f>COUNTIFS(ITEquipmentTable[Serial], ITEquipmentTable[[#This Row],[Serial]], ITEquipmentTable[Serial], "&lt;&gt;N/A") &gt; 1</f>
        <v>0</v>
      </c>
      <c r="L490" s="168" t="b">
        <f>COUNTIFS(ITEquipmentTable[Name], ITEquipmentTable[[#This Row],[Name]], ITEquipmentTable[Name], "&lt;&gt;&lt;Unassigned&gt;",  ITEquipmentTable[Name], "&lt;&gt;N/A") &gt; 1</f>
        <v>0</v>
      </c>
      <c r="M490" s="168" t="b">
        <f>AND(COUNTIFS(ITEquipmentTable[IPv4 Address], ITEquipmentTable[[#This Row],[IPv4 Address]]) &gt; 1, ITEquipmentTable[[#This Row],[IPv4 Address]] &lt;&gt; "DHCP",  ITEquipmentTable[[#This Row],[IPv4 Address]] &lt;&gt; "N/A")</f>
        <v>0</v>
      </c>
    </row>
    <row r="491" spans="1:13" x14ac:dyDescent="0.2">
      <c r="A491" s="168">
        <f>IF(LEN(ITSecondTable[[#This Row],[Tag]]) &gt; 0, _xlfn.XLOOKUP(ITSecondTable[[#This Row],[Tag]],StorageTable[Tag], StorageTable[In Storage - Count Total], "Err", 0, 1), 0)</f>
        <v>8</v>
      </c>
      <c r="B491" s="1">
        <f>_xlfn.LET(_xlpm.loc, ITEquipmentTable[Storage Location],
COUNTIFS(ITSecondTable[Tag], ITSecondTable[[#This Row],[Tag]], _xlpm.loc, "&lt;&gt;In Use", _xlpm.loc, "&lt;&gt;",  _xlpm.loc, "&lt;&gt;E-Waste", _xlpm.loc, "&lt;&gt;Virtual",  _xlpm.loc, "&lt;&gt;Assigned to Employee", _xlpm.loc, "&lt;&gt;Decommisioned", _xlpm.loc, "&lt;&gt;Missing")
)</f>
        <v>9</v>
      </c>
      <c r="C491" s="1">
        <f>_xlfn.LET(_xlpm.loc, ITEquipmentTable[Storage Location],
COUNTIFS(ITSecondTable[Tag], ITSecondTable[[#This Row],[Tag]], _xlpm.loc, "&lt;&gt;E-Waste", _xlpm.loc, "&lt;&gt;Virtual", _xlpm.loc, "&lt;&gt;Decommisioned")
)</f>
        <v>40</v>
      </c>
      <c r="D491" s="168">
        <f>_xlfn.LET(_xlpm.loc, ITEquipmentTable[Storage Location],
COUNTIFS(ITSecondTable[Tag], ITSecondTable[[#This Row],[Tag]], _xlpm.loc, "Missing")
)</f>
        <v>0</v>
      </c>
      <c r="E491" s="168">
        <f>_xlfn.LET(_xlpm.loc, ITEquipmentTable[Storage Location],
COUNTIFS(ITSecondTable[Tag], ITSecondTable[[#This Row],[Tag]], _xlpm.loc, "In Use") + COUNTIFS(ITSecondTable[Tag], ITSecondTable[[#This Row],[Tag]], _xlpm.loc, "Assigned to Employee")
)</f>
        <v>23</v>
      </c>
      <c r="F491" s="168">
        <f>_xlfn.LET(_xlpm.loc, ITEquipmentTable[Storage Location],
COUNTIFS(ITSecondTable[Tag], ITSecondTable[[#This Row],[Tag]], _xlpm.loc, "")
)</f>
        <v>8</v>
      </c>
      <c r="G491" s="168">
        <f>MAX(ITSecondTable[[#This Row],[SQty]] - ITSecondTable[[#This Row],[IQty]], 0)</f>
        <v>1</v>
      </c>
      <c r="H491" s="168">
        <f>MAX(ITSecondTable[[#This Row],[IQty]]-ITSecondTable[[#This Row],[SQty]], 0)</f>
        <v>0</v>
      </c>
      <c r="I491" s="151" t="str">
        <f>IFERROR(_xlfn.TEXTJOIN("~", TRUE, ITEquipmentTable[[#This Row],[Type]],ITEquipmentTable[[#This Row],[Brand]],ITEquipmentTable[[#This Row],[Model]]), "")</f>
        <v>Printer~Sato~CL4NX</v>
      </c>
      <c r="J491" s="151" t="b">
        <f xml:space="preserve"> _xlfn.IFNA(MATCH( ITSecondTable[[#This Row],[Tag]], StorageTable[Tag], 0)  &gt; -1, FALSE)</f>
        <v>0</v>
      </c>
      <c r="K491" s="168" t="b">
        <f>COUNTIFS(ITEquipmentTable[Serial], ITEquipmentTable[[#This Row],[Serial]], ITEquipmentTable[Serial], "&lt;&gt;N/A") &gt; 1</f>
        <v>0</v>
      </c>
      <c r="L491" s="168" t="b">
        <f>COUNTIFS(ITEquipmentTable[Name], ITEquipmentTable[[#This Row],[Name]], ITEquipmentTable[Name], "&lt;&gt;&lt;Unassigned&gt;",  ITEquipmentTable[Name], "&lt;&gt;N/A") &gt; 1</f>
        <v>0</v>
      </c>
      <c r="M491" s="168" t="b">
        <f>AND(COUNTIFS(ITEquipmentTable[IPv4 Address], ITEquipmentTable[[#This Row],[IPv4 Address]]) &gt; 1, ITEquipmentTable[[#This Row],[IPv4 Address]] &lt;&gt; "DHCP",  ITEquipmentTable[[#This Row],[IPv4 Address]] &lt;&gt; "N/A")</f>
        <v>0</v>
      </c>
    </row>
    <row r="492" spans="1:13" x14ac:dyDescent="0.2">
      <c r="A492" s="168">
        <f>IF(LEN(ITSecondTable[[#This Row],[Tag]]) &gt; 0, _xlfn.XLOOKUP(ITSecondTable[[#This Row],[Tag]],StorageTable[Tag], StorageTable[In Storage - Count Total], "Err", 0, 1), 0)</f>
        <v>8</v>
      </c>
      <c r="B492" s="1">
        <f>_xlfn.LET(_xlpm.loc, ITEquipmentTable[Storage Location],
COUNTIFS(ITSecondTable[Tag], ITSecondTable[[#This Row],[Tag]], _xlpm.loc, "&lt;&gt;In Use", _xlpm.loc, "&lt;&gt;",  _xlpm.loc, "&lt;&gt;E-Waste", _xlpm.loc, "&lt;&gt;Virtual",  _xlpm.loc, "&lt;&gt;Assigned to Employee", _xlpm.loc, "&lt;&gt;Decommisioned", _xlpm.loc, "&lt;&gt;Missing")
)</f>
        <v>9</v>
      </c>
      <c r="C492" s="1">
        <f>_xlfn.LET(_xlpm.loc, ITEquipmentTable[Storage Location],
COUNTIFS(ITSecondTable[Tag], ITSecondTable[[#This Row],[Tag]], _xlpm.loc, "&lt;&gt;E-Waste", _xlpm.loc, "&lt;&gt;Virtual", _xlpm.loc, "&lt;&gt;Decommisioned")
)</f>
        <v>40</v>
      </c>
      <c r="D492" s="168">
        <f>_xlfn.LET(_xlpm.loc, ITEquipmentTable[Storage Location],
COUNTIFS(ITSecondTable[Tag], ITSecondTable[[#This Row],[Tag]], _xlpm.loc, "Missing")
)</f>
        <v>0</v>
      </c>
      <c r="E492" s="168">
        <f>_xlfn.LET(_xlpm.loc, ITEquipmentTable[Storage Location],
COUNTIFS(ITSecondTable[Tag], ITSecondTable[[#This Row],[Tag]], _xlpm.loc, "In Use") + COUNTIFS(ITSecondTable[Tag], ITSecondTable[[#This Row],[Tag]], _xlpm.loc, "Assigned to Employee")
)</f>
        <v>23</v>
      </c>
      <c r="F492" s="168">
        <f>_xlfn.LET(_xlpm.loc, ITEquipmentTable[Storage Location],
COUNTIFS(ITSecondTable[Tag], ITSecondTable[[#This Row],[Tag]], _xlpm.loc, "")
)</f>
        <v>8</v>
      </c>
      <c r="G492" s="168">
        <f>MAX(ITSecondTable[[#This Row],[SQty]] - ITSecondTable[[#This Row],[IQty]], 0)</f>
        <v>1</v>
      </c>
      <c r="H492" s="168">
        <f>MAX(ITSecondTable[[#This Row],[IQty]]-ITSecondTable[[#This Row],[SQty]], 0)</f>
        <v>0</v>
      </c>
      <c r="I492" s="151" t="str">
        <f>IFERROR(_xlfn.TEXTJOIN("~", TRUE, ITEquipmentTable[[#This Row],[Type]],ITEquipmentTable[[#This Row],[Brand]],ITEquipmentTable[[#This Row],[Model]]), "")</f>
        <v>Printer~Sato~CL4NX</v>
      </c>
      <c r="J492" s="151" t="b">
        <f xml:space="preserve"> _xlfn.IFNA(MATCH( ITSecondTable[[#This Row],[Tag]], StorageTable[Tag], 0)  &gt; -1, FALSE)</f>
        <v>0</v>
      </c>
      <c r="K492" s="168" t="b">
        <f>COUNTIFS(ITEquipmentTable[Serial], ITEquipmentTable[[#This Row],[Serial]], ITEquipmentTable[Serial], "&lt;&gt;N/A") &gt; 1</f>
        <v>0</v>
      </c>
      <c r="L492" s="168" t="b">
        <f>COUNTIFS(ITEquipmentTable[Name], ITEquipmentTable[[#This Row],[Name]], ITEquipmentTable[Name], "&lt;&gt;&lt;Unassigned&gt;",  ITEquipmentTable[Name], "&lt;&gt;N/A") &gt; 1</f>
        <v>0</v>
      </c>
      <c r="M492" s="168" t="b">
        <f>AND(COUNTIFS(ITEquipmentTable[IPv4 Address], ITEquipmentTable[[#This Row],[IPv4 Address]]) &gt; 1, ITEquipmentTable[[#This Row],[IPv4 Address]] &lt;&gt; "DHCP",  ITEquipmentTable[[#This Row],[IPv4 Address]] &lt;&gt; "N/A")</f>
        <v>0</v>
      </c>
    </row>
    <row r="493" spans="1:13" x14ac:dyDescent="0.2">
      <c r="A493" s="168">
        <f>IF(LEN(ITSecondTable[[#This Row],[Tag]]) &gt; 0, _xlfn.XLOOKUP(ITSecondTable[[#This Row],[Tag]],StorageTable[Tag], StorageTable[In Storage - Count Total], "Err", 0, 1), 0)</f>
        <v>8</v>
      </c>
      <c r="B493" s="1">
        <f>_xlfn.LET(_xlpm.loc, ITEquipmentTable[Storage Location],
COUNTIFS(ITSecondTable[Tag], ITSecondTable[[#This Row],[Tag]], _xlpm.loc, "&lt;&gt;In Use", _xlpm.loc, "&lt;&gt;",  _xlpm.loc, "&lt;&gt;E-Waste", _xlpm.loc, "&lt;&gt;Virtual",  _xlpm.loc, "&lt;&gt;Assigned to Employee", _xlpm.loc, "&lt;&gt;Decommisioned", _xlpm.loc, "&lt;&gt;Missing")
)</f>
        <v>9</v>
      </c>
      <c r="C493" s="1">
        <f>_xlfn.LET(_xlpm.loc, ITEquipmentTable[Storage Location],
COUNTIFS(ITSecondTable[Tag], ITSecondTable[[#This Row],[Tag]], _xlpm.loc, "&lt;&gt;E-Waste", _xlpm.loc, "&lt;&gt;Virtual", _xlpm.loc, "&lt;&gt;Decommisioned")
)</f>
        <v>40</v>
      </c>
      <c r="D493" s="168">
        <f>_xlfn.LET(_xlpm.loc, ITEquipmentTable[Storage Location],
COUNTIFS(ITSecondTable[Tag], ITSecondTable[[#This Row],[Tag]], _xlpm.loc, "Missing")
)</f>
        <v>0</v>
      </c>
      <c r="E493" s="168">
        <f>_xlfn.LET(_xlpm.loc, ITEquipmentTable[Storage Location],
COUNTIFS(ITSecondTable[Tag], ITSecondTable[[#This Row],[Tag]], _xlpm.loc, "In Use") + COUNTIFS(ITSecondTable[Tag], ITSecondTable[[#This Row],[Tag]], _xlpm.loc, "Assigned to Employee")
)</f>
        <v>23</v>
      </c>
      <c r="F493" s="168">
        <f>_xlfn.LET(_xlpm.loc, ITEquipmentTable[Storage Location],
COUNTIFS(ITSecondTable[Tag], ITSecondTable[[#This Row],[Tag]], _xlpm.loc, "")
)</f>
        <v>8</v>
      </c>
      <c r="G493" s="168">
        <f>MAX(ITSecondTable[[#This Row],[SQty]] - ITSecondTable[[#This Row],[IQty]], 0)</f>
        <v>1</v>
      </c>
      <c r="H493" s="168">
        <f>MAX(ITSecondTable[[#This Row],[IQty]]-ITSecondTable[[#This Row],[SQty]], 0)</f>
        <v>0</v>
      </c>
      <c r="I493" s="151" t="str">
        <f>IFERROR(_xlfn.TEXTJOIN("~", TRUE, ITEquipmentTable[[#This Row],[Type]],ITEquipmentTable[[#This Row],[Brand]],ITEquipmentTable[[#This Row],[Model]]), "")</f>
        <v>Printer~Sato~CL4NX</v>
      </c>
      <c r="J493" s="151" t="b">
        <f xml:space="preserve"> _xlfn.IFNA(MATCH( ITSecondTable[[#This Row],[Tag]], StorageTable[Tag], 0)  &gt; -1, FALSE)</f>
        <v>0</v>
      </c>
      <c r="K493" s="168" t="b">
        <f>COUNTIFS(ITEquipmentTable[Serial], ITEquipmentTable[[#This Row],[Serial]], ITEquipmentTable[Serial], "&lt;&gt;N/A") &gt; 1</f>
        <v>0</v>
      </c>
      <c r="L493" s="168" t="b">
        <f>COUNTIFS(ITEquipmentTable[Name], ITEquipmentTable[[#This Row],[Name]], ITEquipmentTable[Name], "&lt;&gt;&lt;Unassigned&gt;",  ITEquipmentTable[Name], "&lt;&gt;N/A") &gt; 1</f>
        <v>0</v>
      </c>
      <c r="M493" s="168" t="b">
        <f>AND(COUNTIFS(ITEquipmentTable[IPv4 Address], ITEquipmentTable[[#This Row],[IPv4 Address]]) &gt; 1, ITEquipmentTable[[#This Row],[IPv4 Address]] &lt;&gt; "DHCP",  ITEquipmentTable[[#This Row],[IPv4 Address]] &lt;&gt; "N/A")</f>
        <v>0</v>
      </c>
    </row>
    <row r="494" spans="1:13" x14ac:dyDescent="0.2">
      <c r="A494" s="168">
        <f>IF(LEN(ITSecondTable[[#This Row],[Tag]]) &gt; 0, _xlfn.XLOOKUP(ITSecondTable[[#This Row],[Tag]],StorageTable[Tag], StorageTable[In Storage - Count Total], "Err", 0, 1), 0)</f>
        <v>17</v>
      </c>
      <c r="B494" s="1">
        <f>_xlfn.LET(_xlpm.loc, ITEquipmentTable[Storage Location],
COUNTIFS(ITSecondTable[Tag], ITSecondTable[[#This Row],[Tag]], _xlpm.loc, "&lt;&gt;In Use", _xlpm.loc, "&lt;&gt;",  _xlpm.loc, "&lt;&gt;E-Waste", _xlpm.loc, "&lt;&gt;Virtual",  _xlpm.loc, "&lt;&gt;Assigned to Employee", _xlpm.loc, "&lt;&gt;Decommisioned", _xlpm.loc, "&lt;&gt;Missing")
)</f>
        <v>13</v>
      </c>
      <c r="C494" s="1">
        <f>_xlfn.LET(_xlpm.loc, ITEquipmentTable[Storage Location],
COUNTIFS(ITSecondTable[Tag], ITSecondTable[[#This Row],[Tag]], _xlpm.loc, "&lt;&gt;E-Waste", _xlpm.loc, "&lt;&gt;Virtual", _xlpm.loc, "&lt;&gt;Decommisioned")
)</f>
        <v>16</v>
      </c>
      <c r="D494" s="168">
        <f>_xlfn.LET(_xlpm.loc, ITEquipmentTable[Storage Location],
COUNTIFS(ITSecondTable[Tag], ITSecondTable[[#This Row],[Tag]], _xlpm.loc, "Missing")
)</f>
        <v>0</v>
      </c>
      <c r="E494" s="168">
        <f>_xlfn.LET(_xlpm.loc, ITEquipmentTable[Storage Location],
COUNTIFS(ITSecondTable[Tag], ITSecondTable[[#This Row],[Tag]], _xlpm.loc, "In Use") + COUNTIFS(ITSecondTable[Tag], ITSecondTable[[#This Row],[Tag]], _xlpm.loc, "Assigned to Employee")
)</f>
        <v>3</v>
      </c>
      <c r="F494" s="168">
        <f>_xlfn.LET(_xlpm.loc, ITEquipmentTable[Storage Location],
COUNTIFS(ITSecondTable[Tag], ITSecondTable[[#This Row],[Tag]], _xlpm.loc, "")
)</f>
        <v>0</v>
      </c>
      <c r="G494" s="168">
        <f>MAX(ITSecondTable[[#This Row],[SQty]] - ITSecondTable[[#This Row],[IQty]], 0)</f>
        <v>0</v>
      </c>
      <c r="H494" s="168">
        <f>MAX(ITSecondTable[[#This Row],[IQty]]-ITSecondTable[[#This Row],[SQty]], 0)</f>
        <v>4</v>
      </c>
      <c r="I494" s="151" t="str">
        <f>IFERROR(_xlfn.TEXTJOIN("~", TRUE, ITEquipmentTable[[#This Row],[Type]],ITEquipmentTable[[#This Row],[Brand]],ITEquipmentTable[[#This Row],[Model]]), "")</f>
        <v>Radio~Motorola~CP200D</v>
      </c>
      <c r="J494" s="151" t="b">
        <f xml:space="preserve"> _xlfn.IFNA(MATCH( ITSecondTable[[#This Row],[Tag]], StorageTable[Tag], 0)  &gt; -1, FALSE)</f>
        <v>0</v>
      </c>
      <c r="K494" s="168" t="b">
        <f>COUNTIFS(ITEquipmentTable[Serial], ITEquipmentTable[[#This Row],[Serial]], ITEquipmentTable[Serial], "&lt;&gt;N/A") &gt; 1</f>
        <v>0</v>
      </c>
      <c r="L494" s="168" t="b">
        <f>COUNTIFS(ITEquipmentTable[Name], ITEquipmentTable[[#This Row],[Name]], ITEquipmentTable[Name], "&lt;&gt;&lt;Unassigned&gt;",  ITEquipmentTable[Name], "&lt;&gt;N/A") &gt; 1</f>
        <v>0</v>
      </c>
      <c r="M494" s="168" t="b">
        <f>AND(COUNTIFS(ITEquipmentTable[IPv4 Address], ITEquipmentTable[[#This Row],[IPv4 Address]]) &gt; 1, ITEquipmentTable[[#This Row],[IPv4 Address]] &lt;&gt; "DHCP",  ITEquipmentTable[[#This Row],[IPv4 Address]] &lt;&gt; "N/A")</f>
        <v>0</v>
      </c>
    </row>
    <row r="495" spans="1:13" x14ac:dyDescent="0.2">
      <c r="A495" s="168">
        <f>IF(LEN(ITSecondTable[[#This Row],[Tag]]) &gt; 0, _xlfn.XLOOKUP(ITSecondTable[[#This Row],[Tag]],StorageTable[Tag], StorageTable[In Storage - Count Total], "Err", 0, 1), 0)</f>
        <v>17</v>
      </c>
      <c r="B495" s="1">
        <f>_xlfn.LET(_xlpm.loc, ITEquipmentTable[Storage Location],
COUNTIFS(ITSecondTable[Tag], ITSecondTable[[#This Row],[Tag]], _xlpm.loc, "&lt;&gt;In Use", _xlpm.loc, "&lt;&gt;",  _xlpm.loc, "&lt;&gt;E-Waste", _xlpm.loc, "&lt;&gt;Virtual",  _xlpm.loc, "&lt;&gt;Assigned to Employee", _xlpm.loc, "&lt;&gt;Decommisioned", _xlpm.loc, "&lt;&gt;Missing")
)</f>
        <v>13</v>
      </c>
      <c r="C495" s="1">
        <f>_xlfn.LET(_xlpm.loc, ITEquipmentTable[Storage Location],
COUNTIFS(ITSecondTable[Tag], ITSecondTable[[#This Row],[Tag]], _xlpm.loc, "&lt;&gt;E-Waste", _xlpm.loc, "&lt;&gt;Virtual", _xlpm.loc, "&lt;&gt;Decommisioned")
)</f>
        <v>16</v>
      </c>
      <c r="D495" s="168">
        <f>_xlfn.LET(_xlpm.loc, ITEquipmentTable[Storage Location],
COUNTIFS(ITSecondTable[Tag], ITSecondTable[[#This Row],[Tag]], _xlpm.loc, "Missing")
)</f>
        <v>0</v>
      </c>
      <c r="E495" s="168">
        <f>_xlfn.LET(_xlpm.loc, ITEquipmentTable[Storage Location],
COUNTIFS(ITSecondTable[Tag], ITSecondTable[[#This Row],[Tag]], _xlpm.loc, "In Use") + COUNTIFS(ITSecondTable[Tag], ITSecondTable[[#This Row],[Tag]], _xlpm.loc, "Assigned to Employee")
)</f>
        <v>3</v>
      </c>
      <c r="F495" s="168">
        <f>_xlfn.LET(_xlpm.loc, ITEquipmentTable[Storage Location],
COUNTIFS(ITSecondTable[Tag], ITSecondTable[[#This Row],[Tag]], _xlpm.loc, "")
)</f>
        <v>0</v>
      </c>
      <c r="G495" s="168">
        <f>MAX(ITSecondTable[[#This Row],[SQty]] - ITSecondTable[[#This Row],[IQty]], 0)</f>
        <v>0</v>
      </c>
      <c r="H495" s="168">
        <f>MAX(ITSecondTable[[#This Row],[IQty]]-ITSecondTable[[#This Row],[SQty]], 0)</f>
        <v>4</v>
      </c>
      <c r="I495" s="151" t="str">
        <f>IFERROR(_xlfn.TEXTJOIN("~", TRUE, ITEquipmentTable[[#This Row],[Type]],ITEquipmentTable[[#This Row],[Brand]],ITEquipmentTable[[#This Row],[Model]]), "")</f>
        <v>Radio~Motorola~CP200D</v>
      </c>
      <c r="J495" s="151" t="b">
        <f xml:space="preserve"> _xlfn.IFNA(MATCH( ITSecondTable[[#This Row],[Tag]], StorageTable[Tag], 0)  &gt; -1, FALSE)</f>
        <v>0</v>
      </c>
      <c r="K495" s="168" t="b">
        <f>COUNTIFS(ITEquipmentTable[Serial], ITEquipmentTable[[#This Row],[Serial]], ITEquipmentTable[Serial], "&lt;&gt;N/A") &gt; 1</f>
        <v>0</v>
      </c>
      <c r="L495" s="168" t="b">
        <f>COUNTIFS(ITEquipmentTable[Name], ITEquipmentTable[[#This Row],[Name]], ITEquipmentTable[Name], "&lt;&gt;&lt;Unassigned&gt;",  ITEquipmentTable[Name], "&lt;&gt;N/A") &gt; 1</f>
        <v>0</v>
      </c>
      <c r="M495" s="168" t="b">
        <f>AND(COUNTIFS(ITEquipmentTable[IPv4 Address], ITEquipmentTable[[#This Row],[IPv4 Address]]) &gt; 1, ITEquipmentTable[[#This Row],[IPv4 Address]] &lt;&gt; "DHCP",  ITEquipmentTable[[#This Row],[IPv4 Address]] &lt;&gt; "N/A")</f>
        <v>0</v>
      </c>
    </row>
    <row r="496" spans="1:13" x14ac:dyDescent="0.2">
      <c r="A496" s="168">
        <f>IF(LEN(ITSecondTable[[#This Row],[Tag]]) &gt; 0, _xlfn.XLOOKUP(ITSecondTable[[#This Row],[Tag]],StorageTable[Tag], StorageTable[In Storage - Count Total], "Err", 0, 1), 0)</f>
        <v>17</v>
      </c>
      <c r="B496" s="1">
        <f>_xlfn.LET(_xlpm.loc, ITEquipmentTable[Storage Location],
COUNTIFS(ITSecondTable[Tag], ITSecondTable[[#This Row],[Tag]], _xlpm.loc, "&lt;&gt;In Use", _xlpm.loc, "&lt;&gt;",  _xlpm.loc, "&lt;&gt;E-Waste", _xlpm.loc, "&lt;&gt;Virtual",  _xlpm.loc, "&lt;&gt;Assigned to Employee", _xlpm.loc, "&lt;&gt;Decommisioned", _xlpm.loc, "&lt;&gt;Missing")
)</f>
        <v>13</v>
      </c>
      <c r="C496" s="1">
        <f>_xlfn.LET(_xlpm.loc, ITEquipmentTable[Storage Location],
COUNTIFS(ITSecondTable[Tag], ITSecondTable[[#This Row],[Tag]], _xlpm.loc, "&lt;&gt;E-Waste", _xlpm.loc, "&lt;&gt;Virtual", _xlpm.loc, "&lt;&gt;Decommisioned")
)</f>
        <v>16</v>
      </c>
      <c r="D496" s="168">
        <f>_xlfn.LET(_xlpm.loc, ITEquipmentTable[Storage Location],
COUNTIFS(ITSecondTable[Tag], ITSecondTable[[#This Row],[Tag]], _xlpm.loc, "Missing")
)</f>
        <v>0</v>
      </c>
      <c r="E496" s="168">
        <f>_xlfn.LET(_xlpm.loc, ITEquipmentTable[Storage Location],
COUNTIFS(ITSecondTable[Tag], ITSecondTable[[#This Row],[Tag]], _xlpm.loc, "In Use") + COUNTIFS(ITSecondTable[Tag], ITSecondTable[[#This Row],[Tag]], _xlpm.loc, "Assigned to Employee")
)</f>
        <v>3</v>
      </c>
      <c r="F496" s="168">
        <f>_xlfn.LET(_xlpm.loc, ITEquipmentTable[Storage Location],
COUNTIFS(ITSecondTable[Tag], ITSecondTable[[#This Row],[Tag]], _xlpm.loc, "")
)</f>
        <v>0</v>
      </c>
      <c r="G496" s="168">
        <f>MAX(ITSecondTable[[#This Row],[SQty]] - ITSecondTable[[#This Row],[IQty]], 0)</f>
        <v>0</v>
      </c>
      <c r="H496" s="168">
        <f>MAX(ITSecondTable[[#This Row],[IQty]]-ITSecondTable[[#This Row],[SQty]], 0)</f>
        <v>4</v>
      </c>
      <c r="I496" s="151" t="str">
        <f>IFERROR(_xlfn.TEXTJOIN("~", TRUE, ITEquipmentTable[[#This Row],[Type]],ITEquipmentTable[[#This Row],[Brand]],ITEquipmentTable[[#This Row],[Model]]), "")</f>
        <v>Radio~Motorola~CP200D</v>
      </c>
      <c r="J496" s="151" t="b">
        <f xml:space="preserve"> _xlfn.IFNA(MATCH( ITSecondTable[[#This Row],[Tag]], StorageTable[Tag], 0)  &gt; -1, FALSE)</f>
        <v>0</v>
      </c>
      <c r="K496" s="168" t="b">
        <f>COUNTIFS(ITEquipmentTable[Serial], ITEquipmentTable[[#This Row],[Serial]], ITEquipmentTable[Serial], "&lt;&gt;N/A") &gt; 1</f>
        <v>0</v>
      </c>
      <c r="L496" s="168" t="b">
        <f>COUNTIFS(ITEquipmentTable[Name], ITEquipmentTable[[#This Row],[Name]], ITEquipmentTable[Name], "&lt;&gt;&lt;Unassigned&gt;",  ITEquipmentTable[Name], "&lt;&gt;N/A") &gt; 1</f>
        <v>0</v>
      </c>
      <c r="M496" s="168" t="b">
        <f>AND(COUNTIFS(ITEquipmentTable[IPv4 Address], ITEquipmentTable[[#This Row],[IPv4 Address]]) &gt; 1, ITEquipmentTable[[#This Row],[IPv4 Address]] &lt;&gt; "DHCP",  ITEquipmentTable[[#This Row],[IPv4 Address]] &lt;&gt; "N/A")</f>
        <v>0</v>
      </c>
    </row>
    <row r="497" spans="1:13" x14ac:dyDescent="0.2">
      <c r="A497" s="168">
        <f>IF(LEN(ITSecondTable[[#This Row],[Tag]]) &gt; 0, _xlfn.XLOOKUP(ITSecondTable[[#This Row],[Tag]],StorageTable[Tag], StorageTable[In Storage - Count Total], "Err", 0, 1), 0)</f>
        <v>17</v>
      </c>
      <c r="B497" s="1">
        <f>_xlfn.LET(_xlpm.loc, ITEquipmentTable[Storage Location],
COUNTIFS(ITSecondTable[Tag], ITSecondTable[[#This Row],[Tag]], _xlpm.loc, "&lt;&gt;In Use", _xlpm.loc, "&lt;&gt;",  _xlpm.loc, "&lt;&gt;E-Waste", _xlpm.loc, "&lt;&gt;Virtual",  _xlpm.loc, "&lt;&gt;Assigned to Employee", _xlpm.loc, "&lt;&gt;Decommisioned", _xlpm.loc, "&lt;&gt;Missing")
)</f>
        <v>13</v>
      </c>
      <c r="C497" s="1">
        <f>_xlfn.LET(_xlpm.loc, ITEquipmentTable[Storage Location],
COUNTIFS(ITSecondTable[Tag], ITSecondTable[[#This Row],[Tag]], _xlpm.loc, "&lt;&gt;E-Waste", _xlpm.loc, "&lt;&gt;Virtual", _xlpm.loc, "&lt;&gt;Decommisioned")
)</f>
        <v>16</v>
      </c>
      <c r="D497" s="168">
        <f>_xlfn.LET(_xlpm.loc, ITEquipmentTable[Storage Location],
COUNTIFS(ITSecondTable[Tag], ITSecondTable[[#This Row],[Tag]], _xlpm.loc, "Missing")
)</f>
        <v>0</v>
      </c>
      <c r="E497" s="168">
        <f>_xlfn.LET(_xlpm.loc, ITEquipmentTable[Storage Location],
COUNTIFS(ITSecondTable[Tag], ITSecondTable[[#This Row],[Tag]], _xlpm.loc, "In Use") + COUNTIFS(ITSecondTable[Tag], ITSecondTable[[#This Row],[Tag]], _xlpm.loc, "Assigned to Employee")
)</f>
        <v>3</v>
      </c>
      <c r="F497" s="168">
        <f>_xlfn.LET(_xlpm.loc, ITEquipmentTable[Storage Location],
COUNTIFS(ITSecondTable[Tag], ITSecondTable[[#This Row],[Tag]], _xlpm.loc, "")
)</f>
        <v>0</v>
      </c>
      <c r="G497" s="168">
        <f>MAX(ITSecondTable[[#This Row],[SQty]] - ITSecondTable[[#This Row],[IQty]], 0)</f>
        <v>0</v>
      </c>
      <c r="H497" s="168">
        <f>MAX(ITSecondTable[[#This Row],[IQty]]-ITSecondTable[[#This Row],[SQty]], 0)</f>
        <v>4</v>
      </c>
      <c r="I497" s="151" t="str">
        <f>IFERROR(_xlfn.TEXTJOIN("~", TRUE, ITEquipmentTable[[#This Row],[Type]],ITEquipmentTable[[#This Row],[Brand]],ITEquipmentTable[[#This Row],[Model]]), "")</f>
        <v>Radio~Motorola~CP200D</v>
      </c>
      <c r="J497" s="151" t="b">
        <f xml:space="preserve"> _xlfn.IFNA(MATCH( ITSecondTable[[#This Row],[Tag]], StorageTable[Tag], 0)  &gt; -1, FALSE)</f>
        <v>0</v>
      </c>
      <c r="K497" s="168" t="b">
        <f>COUNTIFS(ITEquipmentTable[Serial], ITEquipmentTable[[#This Row],[Serial]], ITEquipmentTable[Serial], "&lt;&gt;N/A") &gt; 1</f>
        <v>0</v>
      </c>
      <c r="L497" s="168" t="b">
        <f>COUNTIFS(ITEquipmentTable[Name], ITEquipmentTable[[#This Row],[Name]], ITEquipmentTable[Name], "&lt;&gt;&lt;Unassigned&gt;",  ITEquipmentTable[Name], "&lt;&gt;N/A") &gt; 1</f>
        <v>0</v>
      </c>
      <c r="M497" s="168" t="b">
        <f>AND(COUNTIFS(ITEquipmentTable[IPv4 Address], ITEquipmentTable[[#This Row],[IPv4 Address]]) &gt; 1, ITEquipmentTable[[#This Row],[IPv4 Address]] &lt;&gt; "DHCP",  ITEquipmentTable[[#This Row],[IPv4 Address]] &lt;&gt; "N/A")</f>
        <v>0</v>
      </c>
    </row>
    <row r="498" spans="1:13" x14ac:dyDescent="0.2">
      <c r="A498" s="168">
        <f>IF(LEN(ITSecondTable[[#This Row],[Tag]]) &gt; 0, _xlfn.XLOOKUP(ITSecondTable[[#This Row],[Tag]],StorageTable[Tag], StorageTable[In Storage - Count Total], "Err", 0, 1), 0)</f>
        <v>17</v>
      </c>
      <c r="B498" s="1">
        <f>_xlfn.LET(_xlpm.loc, ITEquipmentTable[Storage Location],
COUNTIFS(ITSecondTable[Tag], ITSecondTable[[#This Row],[Tag]], _xlpm.loc, "&lt;&gt;In Use", _xlpm.loc, "&lt;&gt;",  _xlpm.loc, "&lt;&gt;E-Waste", _xlpm.loc, "&lt;&gt;Virtual",  _xlpm.loc, "&lt;&gt;Assigned to Employee", _xlpm.loc, "&lt;&gt;Decommisioned", _xlpm.loc, "&lt;&gt;Missing")
)</f>
        <v>13</v>
      </c>
      <c r="C498" s="1">
        <f>_xlfn.LET(_xlpm.loc, ITEquipmentTable[Storage Location],
COUNTIFS(ITSecondTable[Tag], ITSecondTable[[#This Row],[Tag]], _xlpm.loc, "&lt;&gt;E-Waste", _xlpm.loc, "&lt;&gt;Virtual", _xlpm.loc, "&lt;&gt;Decommisioned")
)</f>
        <v>16</v>
      </c>
      <c r="D498" s="168">
        <f>_xlfn.LET(_xlpm.loc, ITEquipmentTable[Storage Location],
COUNTIFS(ITSecondTable[Tag], ITSecondTable[[#This Row],[Tag]], _xlpm.loc, "Missing")
)</f>
        <v>0</v>
      </c>
      <c r="E498" s="168">
        <f>_xlfn.LET(_xlpm.loc, ITEquipmentTable[Storage Location],
COUNTIFS(ITSecondTable[Tag], ITSecondTable[[#This Row],[Tag]], _xlpm.loc, "In Use") + COUNTIFS(ITSecondTable[Tag], ITSecondTable[[#This Row],[Tag]], _xlpm.loc, "Assigned to Employee")
)</f>
        <v>3</v>
      </c>
      <c r="F498" s="168">
        <f>_xlfn.LET(_xlpm.loc, ITEquipmentTable[Storage Location],
COUNTIFS(ITSecondTable[Tag], ITSecondTable[[#This Row],[Tag]], _xlpm.loc, "")
)</f>
        <v>0</v>
      </c>
      <c r="G498" s="168">
        <f>MAX(ITSecondTable[[#This Row],[SQty]] - ITSecondTable[[#This Row],[IQty]], 0)</f>
        <v>0</v>
      </c>
      <c r="H498" s="168">
        <f>MAX(ITSecondTable[[#This Row],[IQty]]-ITSecondTable[[#This Row],[SQty]], 0)</f>
        <v>4</v>
      </c>
      <c r="I498" s="151" t="str">
        <f>IFERROR(_xlfn.TEXTJOIN("~", TRUE, ITEquipmentTable[[#This Row],[Type]],ITEquipmentTable[[#This Row],[Brand]],ITEquipmentTable[[#This Row],[Model]]), "")</f>
        <v>Radio~Motorola~CP200D</v>
      </c>
      <c r="J498" s="151" t="b">
        <f xml:space="preserve"> _xlfn.IFNA(MATCH( ITSecondTable[[#This Row],[Tag]], StorageTable[Tag], 0)  &gt; -1, FALSE)</f>
        <v>0</v>
      </c>
      <c r="K498" s="168" t="b">
        <f>COUNTIFS(ITEquipmentTable[Serial], ITEquipmentTable[[#This Row],[Serial]], ITEquipmentTable[Serial], "&lt;&gt;N/A") &gt; 1</f>
        <v>0</v>
      </c>
      <c r="L498" s="168" t="b">
        <f>COUNTIFS(ITEquipmentTable[Name], ITEquipmentTable[[#This Row],[Name]], ITEquipmentTable[Name], "&lt;&gt;&lt;Unassigned&gt;",  ITEquipmentTable[Name], "&lt;&gt;N/A") &gt; 1</f>
        <v>0</v>
      </c>
      <c r="M498" s="168" t="b">
        <f>AND(COUNTIFS(ITEquipmentTable[IPv4 Address], ITEquipmentTable[[#This Row],[IPv4 Address]]) &gt; 1, ITEquipmentTable[[#This Row],[IPv4 Address]] &lt;&gt; "DHCP",  ITEquipmentTable[[#This Row],[IPv4 Address]] &lt;&gt; "N/A")</f>
        <v>0</v>
      </c>
    </row>
    <row r="499" spans="1:13" x14ac:dyDescent="0.2">
      <c r="A499" s="168">
        <f>IF(LEN(ITSecondTable[[#This Row],[Tag]]) &gt; 0, _xlfn.XLOOKUP(ITSecondTable[[#This Row],[Tag]],StorageTable[Tag], StorageTable[In Storage - Count Total], "Err", 0, 1), 0)</f>
        <v>17</v>
      </c>
      <c r="B499" s="1">
        <f>_xlfn.LET(_xlpm.loc, ITEquipmentTable[Storage Location],
COUNTIFS(ITSecondTable[Tag], ITSecondTable[[#This Row],[Tag]], _xlpm.loc, "&lt;&gt;In Use", _xlpm.loc, "&lt;&gt;",  _xlpm.loc, "&lt;&gt;E-Waste", _xlpm.loc, "&lt;&gt;Virtual",  _xlpm.loc, "&lt;&gt;Assigned to Employee", _xlpm.loc, "&lt;&gt;Decommisioned", _xlpm.loc, "&lt;&gt;Missing")
)</f>
        <v>13</v>
      </c>
      <c r="C499" s="1">
        <f>_xlfn.LET(_xlpm.loc, ITEquipmentTable[Storage Location],
COUNTIFS(ITSecondTable[Tag], ITSecondTable[[#This Row],[Tag]], _xlpm.loc, "&lt;&gt;E-Waste", _xlpm.loc, "&lt;&gt;Virtual", _xlpm.loc, "&lt;&gt;Decommisioned")
)</f>
        <v>16</v>
      </c>
      <c r="D499" s="168">
        <f>_xlfn.LET(_xlpm.loc, ITEquipmentTable[Storage Location],
COUNTIFS(ITSecondTable[Tag], ITSecondTable[[#This Row],[Tag]], _xlpm.loc, "Missing")
)</f>
        <v>0</v>
      </c>
      <c r="E499" s="168">
        <f>_xlfn.LET(_xlpm.loc, ITEquipmentTable[Storage Location],
COUNTIFS(ITSecondTable[Tag], ITSecondTable[[#This Row],[Tag]], _xlpm.loc, "In Use") + COUNTIFS(ITSecondTable[Tag], ITSecondTable[[#This Row],[Tag]], _xlpm.loc, "Assigned to Employee")
)</f>
        <v>3</v>
      </c>
      <c r="F499" s="168">
        <f>_xlfn.LET(_xlpm.loc, ITEquipmentTable[Storage Location],
COUNTIFS(ITSecondTable[Tag], ITSecondTable[[#This Row],[Tag]], _xlpm.loc, "")
)</f>
        <v>0</v>
      </c>
      <c r="G499" s="168">
        <f>MAX(ITSecondTable[[#This Row],[SQty]] - ITSecondTable[[#This Row],[IQty]], 0)</f>
        <v>0</v>
      </c>
      <c r="H499" s="168">
        <f>MAX(ITSecondTable[[#This Row],[IQty]]-ITSecondTable[[#This Row],[SQty]], 0)</f>
        <v>4</v>
      </c>
      <c r="I499" s="151" t="str">
        <f>IFERROR(_xlfn.TEXTJOIN("~", TRUE, ITEquipmentTable[[#This Row],[Type]],ITEquipmentTable[[#This Row],[Brand]],ITEquipmentTable[[#This Row],[Model]]), "")</f>
        <v>Radio~Motorola~CP200D</v>
      </c>
      <c r="J499" s="151" t="b">
        <f xml:space="preserve"> _xlfn.IFNA(MATCH( ITSecondTable[[#This Row],[Tag]], StorageTable[Tag], 0)  &gt; -1, FALSE)</f>
        <v>0</v>
      </c>
      <c r="K499" s="168" t="b">
        <f>COUNTIFS(ITEquipmentTable[Serial], ITEquipmentTable[[#This Row],[Serial]], ITEquipmentTable[Serial], "&lt;&gt;N/A") &gt; 1</f>
        <v>0</v>
      </c>
      <c r="L499" s="168" t="b">
        <f>COUNTIFS(ITEquipmentTable[Name], ITEquipmentTable[[#This Row],[Name]], ITEquipmentTable[Name], "&lt;&gt;&lt;Unassigned&gt;",  ITEquipmentTable[Name], "&lt;&gt;N/A") &gt; 1</f>
        <v>0</v>
      </c>
      <c r="M499" s="168" t="b">
        <f>AND(COUNTIFS(ITEquipmentTable[IPv4 Address], ITEquipmentTable[[#This Row],[IPv4 Address]]) &gt; 1, ITEquipmentTable[[#This Row],[IPv4 Address]] &lt;&gt; "DHCP",  ITEquipmentTable[[#This Row],[IPv4 Address]] &lt;&gt; "N/A")</f>
        <v>0</v>
      </c>
    </row>
    <row r="500" spans="1:13" x14ac:dyDescent="0.2">
      <c r="A500" s="168">
        <f>IF(LEN(ITSecondTable[[#This Row],[Tag]]) &gt; 0, _xlfn.XLOOKUP(ITSecondTable[[#This Row],[Tag]],StorageTable[Tag], StorageTable[In Storage - Count Total], "Err", 0, 1), 0)</f>
        <v>17</v>
      </c>
      <c r="B500" s="1">
        <f>_xlfn.LET(_xlpm.loc, ITEquipmentTable[Storage Location],
COUNTIFS(ITSecondTable[Tag], ITSecondTable[[#This Row],[Tag]], _xlpm.loc, "&lt;&gt;In Use", _xlpm.loc, "&lt;&gt;",  _xlpm.loc, "&lt;&gt;E-Waste", _xlpm.loc, "&lt;&gt;Virtual",  _xlpm.loc, "&lt;&gt;Assigned to Employee", _xlpm.loc, "&lt;&gt;Decommisioned", _xlpm.loc, "&lt;&gt;Missing")
)</f>
        <v>13</v>
      </c>
      <c r="C500" s="1">
        <f>_xlfn.LET(_xlpm.loc, ITEquipmentTable[Storage Location],
COUNTIFS(ITSecondTable[Tag], ITSecondTable[[#This Row],[Tag]], _xlpm.loc, "&lt;&gt;E-Waste", _xlpm.loc, "&lt;&gt;Virtual", _xlpm.loc, "&lt;&gt;Decommisioned")
)</f>
        <v>16</v>
      </c>
      <c r="D500" s="168">
        <f>_xlfn.LET(_xlpm.loc, ITEquipmentTable[Storage Location],
COUNTIFS(ITSecondTable[Tag], ITSecondTable[[#This Row],[Tag]], _xlpm.loc, "Missing")
)</f>
        <v>0</v>
      </c>
      <c r="E500" s="168">
        <f>_xlfn.LET(_xlpm.loc, ITEquipmentTable[Storage Location],
COUNTIFS(ITSecondTable[Tag], ITSecondTable[[#This Row],[Tag]], _xlpm.loc, "In Use") + COUNTIFS(ITSecondTable[Tag], ITSecondTable[[#This Row],[Tag]], _xlpm.loc, "Assigned to Employee")
)</f>
        <v>3</v>
      </c>
      <c r="F500" s="168">
        <f>_xlfn.LET(_xlpm.loc, ITEquipmentTable[Storage Location],
COUNTIFS(ITSecondTable[Tag], ITSecondTable[[#This Row],[Tag]], _xlpm.loc, "")
)</f>
        <v>0</v>
      </c>
      <c r="G500" s="168">
        <f>MAX(ITSecondTable[[#This Row],[SQty]] - ITSecondTable[[#This Row],[IQty]], 0)</f>
        <v>0</v>
      </c>
      <c r="H500" s="168">
        <f>MAX(ITSecondTable[[#This Row],[IQty]]-ITSecondTable[[#This Row],[SQty]], 0)</f>
        <v>4</v>
      </c>
      <c r="I500" s="151" t="str">
        <f>IFERROR(_xlfn.TEXTJOIN("~", TRUE, ITEquipmentTable[[#This Row],[Type]],ITEquipmentTable[[#This Row],[Brand]],ITEquipmentTable[[#This Row],[Model]]), "")</f>
        <v>Radio~Motorola~CP200D</v>
      </c>
      <c r="J500" s="151" t="b">
        <f xml:space="preserve"> _xlfn.IFNA(MATCH( ITSecondTable[[#This Row],[Tag]], StorageTable[Tag], 0)  &gt; -1, FALSE)</f>
        <v>0</v>
      </c>
      <c r="K500" s="168" t="b">
        <f>COUNTIFS(ITEquipmentTable[Serial], ITEquipmentTable[[#This Row],[Serial]], ITEquipmentTable[Serial], "&lt;&gt;N/A") &gt; 1</f>
        <v>0</v>
      </c>
      <c r="L500" s="168" t="b">
        <f>COUNTIFS(ITEquipmentTable[Name], ITEquipmentTable[[#This Row],[Name]], ITEquipmentTable[Name], "&lt;&gt;&lt;Unassigned&gt;",  ITEquipmentTable[Name], "&lt;&gt;N/A") &gt; 1</f>
        <v>0</v>
      </c>
      <c r="M500" s="168" t="b">
        <f>AND(COUNTIFS(ITEquipmentTable[IPv4 Address], ITEquipmentTable[[#This Row],[IPv4 Address]]) &gt; 1, ITEquipmentTable[[#This Row],[IPv4 Address]] &lt;&gt; "DHCP",  ITEquipmentTable[[#This Row],[IPv4 Address]] &lt;&gt; "N/A")</f>
        <v>0</v>
      </c>
    </row>
    <row r="501" spans="1:13" x14ac:dyDescent="0.2">
      <c r="A501" s="168">
        <f>IF(LEN(ITSecondTable[[#This Row],[Tag]]) &gt; 0, _xlfn.XLOOKUP(ITSecondTable[[#This Row],[Tag]],StorageTable[Tag], StorageTable[In Storage - Count Total], "Err", 0, 1), 0)</f>
        <v>17</v>
      </c>
      <c r="B501" s="1">
        <f>_xlfn.LET(_xlpm.loc, ITEquipmentTable[Storage Location],
COUNTIFS(ITSecondTable[Tag], ITSecondTable[[#This Row],[Tag]], _xlpm.loc, "&lt;&gt;In Use", _xlpm.loc, "&lt;&gt;",  _xlpm.loc, "&lt;&gt;E-Waste", _xlpm.loc, "&lt;&gt;Virtual",  _xlpm.loc, "&lt;&gt;Assigned to Employee", _xlpm.loc, "&lt;&gt;Decommisioned", _xlpm.loc, "&lt;&gt;Missing")
)</f>
        <v>13</v>
      </c>
      <c r="C501" s="1">
        <f>_xlfn.LET(_xlpm.loc, ITEquipmentTable[Storage Location],
COUNTIFS(ITSecondTable[Tag], ITSecondTable[[#This Row],[Tag]], _xlpm.loc, "&lt;&gt;E-Waste", _xlpm.loc, "&lt;&gt;Virtual", _xlpm.loc, "&lt;&gt;Decommisioned")
)</f>
        <v>16</v>
      </c>
      <c r="D501" s="168">
        <f>_xlfn.LET(_xlpm.loc, ITEquipmentTable[Storage Location],
COUNTIFS(ITSecondTable[Tag], ITSecondTable[[#This Row],[Tag]], _xlpm.loc, "Missing")
)</f>
        <v>0</v>
      </c>
      <c r="E501" s="168">
        <f>_xlfn.LET(_xlpm.loc, ITEquipmentTable[Storage Location],
COUNTIFS(ITSecondTable[Tag], ITSecondTable[[#This Row],[Tag]], _xlpm.loc, "In Use") + COUNTIFS(ITSecondTable[Tag], ITSecondTable[[#This Row],[Tag]], _xlpm.loc, "Assigned to Employee")
)</f>
        <v>3</v>
      </c>
      <c r="F501" s="168">
        <f>_xlfn.LET(_xlpm.loc, ITEquipmentTable[Storage Location],
COUNTIFS(ITSecondTable[Tag], ITSecondTable[[#This Row],[Tag]], _xlpm.loc, "")
)</f>
        <v>0</v>
      </c>
      <c r="G501" s="168">
        <f>MAX(ITSecondTable[[#This Row],[SQty]] - ITSecondTable[[#This Row],[IQty]], 0)</f>
        <v>0</v>
      </c>
      <c r="H501" s="168">
        <f>MAX(ITSecondTable[[#This Row],[IQty]]-ITSecondTable[[#This Row],[SQty]], 0)</f>
        <v>4</v>
      </c>
      <c r="I501" s="151" t="str">
        <f>IFERROR(_xlfn.TEXTJOIN("~", TRUE, ITEquipmentTable[[#This Row],[Type]],ITEquipmentTable[[#This Row],[Brand]],ITEquipmentTable[[#This Row],[Model]]), "")</f>
        <v>Radio~Motorola~CP200D</v>
      </c>
      <c r="J501" s="151" t="b">
        <f xml:space="preserve"> _xlfn.IFNA(MATCH( ITSecondTable[[#This Row],[Tag]], StorageTable[Tag], 0)  &gt; -1, FALSE)</f>
        <v>0</v>
      </c>
      <c r="K501" s="168" t="b">
        <f>COUNTIFS(ITEquipmentTable[Serial], ITEquipmentTable[[#This Row],[Serial]], ITEquipmentTable[Serial], "&lt;&gt;N/A") &gt; 1</f>
        <v>0</v>
      </c>
      <c r="L501" s="168" t="b">
        <f>COUNTIFS(ITEquipmentTable[Name], ITEquipmentTable[[#This Row],[Name]], ITEquipmentTable[Name], "&lt;&gt;&lt;Unassigned&gt;",  ITEquipmentTable[Name], "&lt;&gt;N/A") &gt; 1</f>
        <v>0</v>
      </c>
      <c r="M501" s="168" t="b">
        <f>AND(COUNTIFS(ITEquipmentTable[IPv4 Address], ITEquipmentTable[[#This Row],[IPv4 Address]]) &gt; 1, ITEquipmentTable[[#This Row],[IPv4 Address]] &lt;&gt; "DHCP",  ITEquipmentTable[[#This Row],[IPv4 Address]] &lt;&gt; "N/A")</f>
        <v>0</v>
      </c>
    </row>
    <row r="502" spans="1:13" x14ac:dyDescent="0.2">
      <c r="A502" s="168">
        <f>IF(LEN(ITSecondTable[[#This Row],[Tag]]) &gt; 0, _xlfn.XLOOKUP(ITSecondTable[[#This Row],[Tag]],StorageTable[Tag], StorageTable[In Storage - Count Total], "Err", 0, 1), 0)</f>
        <v>17</v>
      </c>
      <c r="B502" s="1">
        <f>_xlfn.LET(_xlpm.loc, ITEquipmentTable[Storage Location],
COUNTIFS(ITSecondTable[Tag], ITSecondTable[[#This Row],[Tag]], _xlpm.loc, "&lt;&gt;In Use", _xlpm.loc, "&lt;&gt;",  _xlpm.loc, "&lt;&gt;E-Waste", _xlpm.loc, "&lt;&gt;Virtual",  _xlpm.loc, "&lt;&gt;Assigned to Employee", _xlpm.loc, "&lt;&gt;Decommisioned", _xlpm.loc, "&lt;&gt;Missing")
)</f>
        <v>13</v>
      </c>
      <c r="C502" s="1">
        <f>_xlfn.LET(_xlpm.loc, ITEquipmentTable[Storage Location],
COUNTIFS(ITSecondTable[Tag], ITSecondTable[[#This Row],[Tag]], _xlpm.loc, "&lt;&gt;E-Waste", _xlpm.loc, "&lt;&gt;Virtual", _xlpm.loc, "&lt;&gt;Decommisioned")
)</f>
        <v>16</v>
      </c>
      <c r="D502" s="168">
        <f>_xlfn.LET(_xlpm.loc, ITEquipmentTable[Storage Location],
COUNTIFS(ITSecondTable[Tag], ITSecondTable[[#This Row],[Tag]], _xlpm.loc, "Missing")
)</f>
        <v>0</v>
      </c>
      <c r="E502" s="168">
        <f>_xlfn.LET(_xlpm.loc, ITEquipmentTable[Storage Location],
COUNTIFS(ITSecondTable[Tag], ITSecondTable[[#This Row],[Tag]], _xlpm.loc, "In Use") + COUNTIFS(ITSecondTable[Tag], ITSecondTable[[#This Row],[Tag]], _xlpm.loc, "Assigned to Employee")
)</f>
        <v>3</v>
      </c>
      <c r="F502" s="168">
        <f>_xlfn.LET(_xlpm.loc, ITEquipmentTable[Storage Location],
COUNTIFS(ITSecondTable[Tag], ITSecondTable[[#This Row],[Tag]], _xlpm.loc, "")
)</f>
        <v>0</v>
      </c>
      <c r="G502" s="168">
        <f>MAX(ITSecondTable[[#This Row],[SQty]] - ITSecondTable[[#This Row],[IQty]], 0)</f>
        <v>0</v>
      </c>
      <c r="H502" s="168">
        <f>MAX(ITSecondTable[[#This Row],[IQty]]-ITSecondTable[[#This Row],[SQty]], 0)</f>
        <v>4</v>
      </c>
      <c r="I502" s="151" t="str">
        <f>IFERROR(_xlfn.TEXTJOIN("~", TRUE, ITEquipmentTable[[#This Row],[Type]],ITEquipmentTable[[#This Row],[Brand]],ITEquipmentTable[[#This Row],[Model]]), "")</f>
        <v>Radio~Motorola~CP200D</v>
      </c>
      <c r="J502" s="151" t="b">
        <f xml:space="preserve"> _xlfn.IFNA(MATCH( ITSecondTable[[#This Row],[Tag]], StorageTable[Tag], 0)  &gt; -1, FALSE)</f>
        <v>0</v>
      </c>
      <c r="K502" s="168" t="b">
        <f>COUNTIFS(ITEquipmentTable[Serial], ITEquipmentTable[[#This Row],[Serial]], ITEquipmentTable[Serial], "&lt;&gt;N/A") &gt; 1</f>
        <v>0</v>
      </c>
      <c r="L502" s="168" t="b">
        <f>COUNTIFS(ITEquipmentTable[Name], ITEquipmentTable[[#This Row],[Name]], ITEquipmentTable[Name], "&lt;&gt;&lt;Unassigned&gt;",  ITEquipmentTable[Name], "&lt;&gt;N/A") &gt; 1</f>
        <v>0</v>
      </c>
      <c r="M502" s="168" t="b">
        <f>AND(COUNTIFS(ITEquipmentTable[IPv4 Address], ITEquipmentTable[[#This Row],[IPv4 Address]]) &gt; 1, ITEquipmentTable[[#This Row],[IPv4 Address]] &lt;&gt; "DHCP",  ITEquipmentTable[[#This Row],[IPv4 Address]] &lt;&gt; "N/A")</f>
        <v>0</v>
      </c>
    </row>
    <row r="503" spans="1:13" x14ac:dyDescent="0.2">
      <c r="A503" s="168">
        <f>IF(LEN(ITSecondTable[[#This Row],[Tag]]) &gt; 0, _xlfn.XLOOKUP(ITSecondTable[[#This Row],[Tag]],StorageTable[Tag], StorageTable[In Storage - Count Total], "Err", 0, 1), 0)</f>
        <v>17</v>
      </c>
      <c r="B503" s="1">
        <f>_xlfn.LET(_xlpm.loc, ITEquipmentTable[Storage Location],
COUNTIFS(ITSecondTable[Tag], ITSecondTable[[#This Row],[Tag]], _xlpm.loc, "&lt;&gt;In Use", _xlpm.loc, "&lt;&gt;",  _xlpm.loc, "&lt;&gt;E-Waste", _xlpm.loc, "&lt;&gt;Virtual",  _xlpm.loc, "&lt;&gt;Assigned to Employee", _xlpm.loc, "&lt;&gt;Decommisioned", _xlpm.loc, "&lt;&gt;Missing")
)</f>
        <v>13</v>
      </c>
      <c r="C503" s="1">
        <f>_xlfn.LET(_xlpm.loc, ITEquipmentTable[Storage Location],
COUNTIFS(ITSecondTable[Tag], ITSecondTable[[#This Row],[Tag]], _xlpm.loc, "&lt;&gt;E-Waste", _xlpm.loc, "&lt;&gt;Virtual", _xlpm.loc, "&lt;&gt;Decommisioned")
)</f>
        <v>16</v>
      </c>
      <c r="D503" s="168">
        <f>_xlfn.LET(_xlpm.loc, ITEquipmentTable[Storage Location],
COUNTIFS(ITSecondTable[Tag], ITSecondTable[[#This Row],[Tag]], _xlpm.loc, "Missing")
)</f>
        <v>0</v>
      </c>
      <c r="E503" s="168">
        <f>_xlfn.LET(_xlpm.loc, ITEquipmentTable[Storage Location],
COUNTIFS(ITSecondTable[Tag], ITSecondTable[[#This Row],[Tag]], _xlpm.loc, "In Use") + COUNTIFS(ITSecondTable[Tag], ITSecondTable[[#This Row],[Tag]], _xlpm.loc, "Assigned to Employee")
)</f>
        <v>3</v>
      </c>
      <c r="F503" s="168">
        <f>_xlfn.LET(_xlpm.loc, ITEquipmentTable[Storage Location],
COUNTIFS(ITSecondTable[Tag], ITSecondTable[[#This Row],[Tag]], _xlpm.loc, "")
)</f>
        <v>0</v>
      </c>
      <c r="G503" s="168">
        <f>MAX(ITSecondTable[[#This Row],[SQty]] - ITSecondTable[[#This Row],[IQty]], 0)</f>
        <v>0</v>
      </c>
      <c r="H503" s="168">
        <f>MAX(ITSecondTable[[#This Row],[IQty]]-ITSecondTable[[#This Row],[SQty]], 0)</f>
        <v>4</v>
      </c>
      <c r="I503" s="151" t="str">
        <f>IFERROR(_xlfn.TEXTJOIN("~", TRUE, ITEquipmentTable[[#This Row],[Type]],ITEquipmentTable[[#This Row],[Brand]],ITEquipmentTable[[#This Row],[Model]]), "")</f>
        <v>Radio~Motorola~CP200D</v>
      </c>
      <c r="J503" s="151" t="b">
        <f xml:space="preserve"> _xlfn.IFNA(MATCH( ITSecondTable[[#This Row],[Tag]], StorageTable[Tag], 0)  &gt; -1, FALSE)</f>
        <v>0</v>
      </c>
      <c r="K503" s="168" t="b">
        <f>COUNTIFS(ITEquipmentTable[Serial], ITEquipmentTable[[#This Row],[Serial]], ITEquipmentTable[Serial], "&lt;&gt;N/A") &gt; 1</f>
        <v>0</v>
      </c>
      <c r="L503" s="168" t="b">
        <f>COUNTIFS(ITEquipmentTable[Name], ITEquipmentTable[[#This Row],[Name]], ITEquipmentTable[Name], "&lt;&gt;&lt;Unassigned&gt;",  ITEquipmentTable[Name], "&lt;&gt;N/A") &gt; 1</f>
        <v>0</v>
      </c>
      <c r="M503" s="168" t="b">
        <f>AND(COUNTIFS(ITEquipmentTable[IPv4 Address], ITEquipmentTable[[#This Row],[IPv4 Address]]) &gt; 1, ITEquipmentTable[[#This Row],[IPv4 Address]] &lt;&gt; "DHCP",  ITEquipmentTable[[#This Row],[IPv4 Address]] &lt;&gt; "N/A")</f>
        <v>0</v>
      </c>
    </row>
    <row r="504" spans="1:13" x14ac:dyDescent="0.2">
      <c r="A504" s="168">
        <f>IF(LEN(ITSecondTable[[#This Row],[Tag]]) &gt; 0, _xlfn.XLOOKUP(ITSecondTable[[#This Row],[Tag]],StorageTable[Tag], StorageTable[In Storage - Count Total], "Err", 0, 1), 0)</f>
        <v>17</v>
      </c>
      <c r="B504" s="1">
        <f>_xlfn.LET(_xlpm.loc, ITEquipmentTable[Storage Location],
COUNTIFS(ITSecondTable[Tag], ITSecondTable[[#This Row],[Tag]], _xlpm.loc, "&lt;&gt;In Use", _xlpm.loc, "&lt;&gt;",  _xlpm.loc, "&lt;&gt;E-Waste", _xlpm.loc, "&lt;&gt;Virtual",  _xlpm.loc, "&lt;&gt;Assigned to Employee", _xlpm.loc, "&lt;&gt;Decommisioned", _xlpm.loc, "&lt;&gt;Missing")
)</f>
        <v>13</v>
      </c>
      <c r="C504" s="1">
        <f>_xlfn.LET(_xlpm.loc, ITEquipmentTable[Storage Location],
COUNTIFS(ITSecondTable[Tag], ITSecondTable[[#This Row],[Tag]], _xlpm.loc, "&lt;&gt;E-Waste", _xlpm.loc, "&lt;&gt;Virtual", _xlpm.loc, "&lt;&gt;Decommisioned")
)</f>
        <v>16</v>
      </c>
      <c r="D504" s="168">
        <f>_xlfn.LET(_xlpm.loc, ITEquipmentTable[Storage Location],
COUNTIFS(ITSecondTable[Tag], ITSecondTable[[#This Row],[Tag]], _xlpm.loc, "Missing")
)</f>
        <v>0</v>
      </c>
      <c r="E504" s="168">
        <f>_xlfn.LET(_xlpm.loc, ITEquipmentTable[Storage Location],
COUNTIFS(ITSecondTable[Tag], ITSecondTable[[#This Row],[Tag]], _xlpm.loc, "In Use") + COUNTIFS(ITSecondTable[Tag], ITSecondTable[[#This Row],[Tag]], _xlpm.loc, "Assigned to Employee")
)</f>
        <v>3</v>
      </c>
      <c r="F504" s="168">
        <f>_xlfn.LET(_xlpm.loc, ITEquipmentTable[Storage Location],
COUNTIFS(ITSecondTable[Tag], ITSecondTable[[#This Row],[Tag]], _xlpm.loc, "")
)</f>
        <v>0</v>
      </c>
      <c r="G504" s="168">
        <f>MAX(ITSecondTable[[#This Row],[SQty]] - ITSecondTable[[#This Row],[IQty]], 0)</f>
        <v>0</v>
      </c>
      <c r="H504" s="168">
        <f>MAX(ITSecondTable[[#This Row],[IQty]]-ITSecondTable[[#This Row],[SQty]], 0)</f>
        <v>4</v>
      </c>
      <c r="I504" s="151" t="str">
        <f>IFERROR(_xlfn.TEXTJOIN("~", TRUE, ITEquipmentTable[[#This Row],[Type]],ITEquipmentTable[[#This Row],[Brand]],ITEquipmentTable[[#This Row],[Model]]), "")</f>
        <v>Radio~Motorola~CP200D</v>
      </c>
      <c r="J504" s="151" t="b">
        <f xml:space="preserve"> _xlfn.IFNA(MATCH( ITSecondTable[[#This Row],[Tag]], StorageTable[Tag], 0)  &gt; -1, FALSE)</f>
        <v>0</v>
      </c>
      <c r="K504" s="168" t="b">
        <f>COUNTIFS(ITEquipmentTable[Serial], ITEquipmentTable[[#This Row],[Serial]], ITEquipmentTable[Serial], "&lt;&gt;N/A") &gt; 1</f>
        <v>0</v>
      </c>
      <c r="L504" s="168" t="b">
        <f>COUNTIFS(ITEquipmentTable[Name], ITEquipmentTable[[#This Row],[Name]], ITEquipmentTable[Name], "&lt;&gt;&lt;Unassigned&gt;",  ITEquipmentTable[Name], "&lt;&gt;N/A") &gt; 1</f>
        <v>0</v>
      </c>
      <c r="M504" s="168" t="b">
        <f>AND(COUNTIFS(ITEquipmentTable[IPv4 Address], ITEquipmentTable[[#This Row],[IPv4 Address]]) &gt; 1, ITEquipmentTable[[#This Row],[IPv4 Address]] &lt;&gt; "DHCP",  ITEquipmentTable[[#This Row],[IPv4 Address]] &lt;&gt; "N/A")</f>
        <v>0</v>
      </c>
    </row>
    <row r="505" spans="1:13" x14ac:dyDescent="0.2">
      <c r="A505" s="168">
        <f>IF(LEN(ITSecondTable[[#This Row],[Tag]]) &gt; 0, _xlfn.XLOOKUP(ITSecondTable[[#This Row],[Tag]],StorageTable[Tag], StorageTable[In Storage - Count Total], "Err", 0, 1), 0)</f>
        <v>17</v>
      </c>
      <c r="B505" s="1">
        <f>_xlfn.LET(_xlpm.loc, ITEquipmentTable[Storage Location],
COUNTIFS(ITSecondTable[Tag], ITSecondTable[[#This Row],[Tag]], _xlpm.loc, "&lt;&gt;In Use", _xlpm.loc, "&lt;&gt;",  _xlpm.loc, "&lt;&gt;E-Waste", _xlpm.loc, "&lt;&gt;Virtual",  _xlpm.loc, "&lt;&gt;Assigned to Employee", _xlpm.loc, "&lt;&gt;Decommisioned", _xlpm.loc, "&lt;&gt;Missing")
)</f>
        <v>13</v>
      </c>
      <c r="C505" s="1">
        <f>_xlfn.LET(_xlpm.loc, ITEquipmentTable[Storage Location],
COUNTIFS(ITSecondTable[Tag], ITSecondTable[[#This Row],[Tag]], _xlpm.loc, "&lt;&gt;E-Waste", _xlpm.loc, "&lt;&gt;Virtual", _xlpm.loc, "&lt;&gt;Decommisioned")
)</f>
        <v>16</v>
      </c>
      <c r="D505" s="168">
        <f>_xlfn.LET(_xlpm.loc, ITEquipmentTable[Storage Location],
COUNTIFS(ITSecondTable[Tag], ITSecondTable[[#This Row],[Tag]], _xlpm.loc, "Missing")
)</f>
        <v>0</v>
      </c>
      <c r="E505" s="168">
        <f>_xlfn.LET(_xlpm.loc, ITEquipmentTable[Storage Location],
COUNTIFS(ITSecondTable[Tag], ITSecondTable[[#This Row],[Tag]], _xlpm.loc, "In Use") + COUNTIFS(ITSecondTable[Tag], ITSecondTable[[#This Row],[Tag]], _xlpm.loc, "Assigned to Employee")
)</f>
        <v>3</v>
      </c>
      <c r="F505" s="168">
        <f>_xlfn.LET(_xlpm.loc, ITEquipmentTable[Storage Location],
COUNTIFS(ITSecondTable[Tag], ITSecondTable[[#This Row],[Tag]], _xlpm.loc, "")
)</f>
        <v>0</v>
      </c>
      <c r="G505" s="168">
        <f>MAX(ITSecondTable[[#This Row],[SQty]] - ITSecondTable[[#This Row],[IQty]], 0)</f>
        <v>0</v>
      </c>
      <c r="H505" s="168">
        <f>MAX(ITSecondTable[[#This Row],[IQty]]-ITSecondTable[[#This Row],[SQty]], 0)</f>
        <v>4</v>
      </c>
      <c r="I505" s="151" t="str">
        <f>IFERROR(_xlfn.TEXTJOIN("~", TRUE, ITEquipmentTable[[#This Row],[Type]],ITEquipmentTable[[#This Row],[Brand]],ITEquipmentTable[[#This Row],[Model]]), "")</f>
        <v>Radio~Motorola~CP200D</v>
      </c>
      <c r="J505" s="151" t="b">
        <f xml:space="preserve"> _xlfn.IFNA(MATCH( ITSecondTable[[#This Row],[Tag]], StorageTable[Tag], 0)  &gt; -1, FALSE)</f>
        <v>0</v>
      </c>
      <c r="K505" s="168" t="b">
        <f>COUNTIFS(ITEquipmentTable[Serial], ITEquipmentTable[[#This Row],[Serial]], ITEquipmentTable[Serial], "&lt;&gt;N/A") &gt; 1</f>
        <v>0</v>
      </c>
      <c r="L505" s="168" t="b">
        <f>COUNTIFS(ITEquipmentTable[Name], ITEquipmentTable[[#This Row],[Name]], ITEquipmentTable[Name], "&lt;&gt;&lt;Unassigned&gt;",  ITEquipmentTable[Name], "&lt;&gt;N/A") &gt; 1</f>
        <v>0</v>
      </c>
      <c r="M505" s="168" t="b">
        <f>AND(COUNTIFS(ITEquipmentTable[IPv4 Address], ITEquipmentTable[[#This Row],[IPv4 Address]]) &gt; 1, ITEquipmentTable[[#This Row],[IPv4 Address]] &lt;&gt; "DHCP",  ITEquipmentTable[[#This Row],[IPv4 Address]] &lt;&gt; "N/A")</f>
        <v>0</v>
      </c>
    </row>
    <row r="506" spans="1:13" x14ac:dyDescent="0.2">
      <c r="A506" s="168">
        <f>IF(LEN(ITSecondTable[[#This Row],[Tag]]) &gt; 0, _xlfn.XLOOKUP(ITSecondTable[[#This Row],[Tag]],StorageTable[Tag], StorageTable[In Storage - Count Total], "Err", 0, 1), 0)</f>
        <v>17</v>
      </c>
      <c r="B506" s="1">
        <f>_xlfn.LET(_xlpm.loc, ITEquipmentTable[Storage Location],
COUNTIFS(ITSecondTable[Tag], ITSecondTable[[#This Row],[Tag]], _xlpm.loc, "&lt;&gt;In Use", _xlpm.loc, "&lt;&gt;",  _xlpm.loc, "&lt;&gt;E-Waste", _xlpm.loc, "&lt;&gt;Virtual",  _xlpm.loc, "&lt;&gt;Assigned to Employee", _xlpm.loc, "&lt;&gt;Decommisioned", _xlpm.loc, "&lt;&gt;Missing")
)</f>
        <v>13</v>
      </c>
      <c r="C506" s="1">
        <f>_xlfn.LET(_xlpm.loc, ITEquipmentTable[Storage Location],
COUNTIFS(ITSecondTable[Tag], ITSecondTable[[#This Row],[Tag]], _xlpm.loc, "&lt;&gt;E-Waste", _xlpm.loc, "&lt;&gt;Virtual", _xlpm.loc, "&lt;&gt;Decommisioned")
)</f>
        <v>16</v>
      </c>
      <c r="D506" s="168">
        <f>_xlfn.LET(_xlpm.loc, ITEquipmentTable[Storage Location],
COUNTIFS(ITSecondTable[Tag], ITSecondTable[[#This Row],[Tag]], _xlpm.loc, "Missing")
)</f>
        <v>0</v>
      </c>
      <c r="E506" s="168">
        <f>_xlfn.LET(_xlpm.loc, ITEquipmentTable[Storage Location],
COUNTIFS(ITSecondTable[Tag], ITSecondTable[[#This Row],[Tag]], _xlpm.loc, "In Use") + COUNTIFS(ITSecondTable[Tag], ITSecondTable[[#This Row],[Tag]], _xlpm.loc, "Assigned to Employee")
)</f>
        <v>3</v>
      </c>
      <c r="F506" s="168">
        <f>_xlfn.LET(_xlpm.loc, ITEquipmentTable[Storage Location],
COUNTIFS(ITSecondTable[Tag], ITSecondTable[[#This Row],[Tag]], _xlpm.loc, "")
)</f>
        <v>0</v>
      </c>
      <c r="G506" s="168">
        <f>MAX(ITSecondTable[[#This Row],[SQty]] - ITSecondTable[[#This Row],[IQty]], 0)</f>
        <v>0</v>
      </c>
      <c r="H506" s="168">
        <f>MAX(ITSecondTable[[#This Row],[IQty]]-ITSecondTable[[#This Row],[SQty]], 0)</f>
        <v>4</v>
      </c>
      <c r="I506" s="151" t="str">
        <f>IFERROR(_xlfn.TEXTJOIN("~", TRUE, ITEquipmentTable[[#This Row],[Type]],ITEquipmentTable[[#This Row],[Brand]],ITEquipmentTable[[#This Row],[Model]]), "")</f>
        <v>Radio~Motorola~CP200D</v>
      </c>
      <c r="J506" s="151" t="b">
        <f xml:space="preserve"> _xlfn.IFNA(MATCH( ITSecondTable[[#This Row],[Tag]], StorageTable[Tag], 0)  &gt; -1, FALSE)</f>
        <v>0</v>
      </c>
      <c r="K506" s="168" t="b">
        <f>COUNTIFS(ITEquipmentTable[Serial], ITEquipmentTable[[#This Row],[Serial]], ITEquipmentTable[Serial], "&lt;&gt;N/A") &gt; 1</f>
        <v>0</v>
      </c>
      <c r="L506" s="168" t="b">
        <f>COUNTIFS(ITEquipmentTable[Name], ITEquipmentTable[[#This Row],[Name]], ITEquipmentTable[Name], "&lt;&gt;&lt;Unassigned&gt;",  ITEquipmentTable[Name], "&lt;&gt;N/A") &gt; 1</f>
        <v>0</v>
      </c>
      <c r="M506" s="168" t="b">
        <f>AND(COUNTIFS(ITEquipmentTable[IPv4 Address], ITEquipmentTable[[#This Row],[IPv4 Address]]) &gt; 1, ITEquipmentTable[[#This Row],[IPv4 Address]] &lt;&gt; "DHCP",  ITEquipmentTable[[#This Row],[IPv4 Address]] &lt;&gt; "N/A")</f>
        <v>0</v>
      </c>
    </row>
    <row r="507" spans="1:13" x14ac:dyDescent="0.2">
      <c r="A507" s="168">
        <f>IF(LEN(ITSecondTable[[#This Row],[Tag]]) &gt; 0, _xlfn.XLOOKUP(ITSecondTable[[#This Row],[Tag]],StorageTable[Tag], StorageTable[In Storage - Count Total], "Err", 0, 1), 0)</f>
        <v>17</v>
      </c>
      <c r="B507" s="1">
        <f>_xlfn.LET(_xlpm.loc, ITEquipmentTable[Storage Location],
COUNTIFS(ITSecondTable[Tag], ITSecondTable[[#This Row],[Tag]], _xlpm.loc, "&lt;&gt;In Use", _xlpm.loc, "&lt;&gt;",  _xlpm.loc, "&lt;&gt;E-Waste", _xlpm.loc, "&lt;&gt;Virtual",  _xlpm.loc, "&lt;&gt;Assigned to Employee", _xlpm.loc, "&lt;&gt;Decommisioned", _xlpm.loc, "&lt;&gt;Missing")
)</f>
        <v>13</v>
      </c>
      <c r="C507" s="1">
        <f>_xlfn.LET(_xlpm.loc, ITEquipmentTable[Storage Location],
COUNTIFS(ITSecondTable[Tag], ITSecondTable[[#This Row],[Tag]], _xlpm.loc, "&lt;&gt;E-Waste", _xlpm.loc, "&lt;&gt;Virtual", _xlpm.loc, "&lt;&gt;Decommisioned")
)</f>
        <v>16</v>
      </c>
      <c r="D507" s="168">
        <f>_xlfn.LET(_xlpm.loc, ITEquipmentTable[Storage Location],
COUNTIFS(ITSecondTable[Tag], ITSecondTable[[#This Row],[Tag]], _xlpm.loc, "Missing")
)</f>
        <v>0</v>
      </c>
      <c r="E507" s="168">
        <f>_xlfn.LET(_xlpm.loc, ITEquipmentTable[Storage Location],
COUNTIFS(ITSecondTable[Tag], ITSecondTable[[#This Row],[Tag]], _xlpm.loc, "In Use") + COUNTIFS(ITSecondTable[Tag], ITSecondTable[[#This Row],[Tag]], _xlpm.loc, "Assigned to Employee")
)</f>
        <v>3</v>
      </c>
      <c r="F507" s="168">
        <f>_xlfn.LET(_xlpm.loc, ITEquipmentTable[Storage Location],
COUNTIFS(ITSecondTable[Tag], ITSecondTable[[#This Row],[Tag]], _xlpm.loc, "")
)</f>
        <v>0</v>
      </c>
      <c r="G507" s="168">
        <f>MAX(ITSecondTable[[#This Row],[SQty]] - ITSecondTable[[#This Row],[IQty]], 0)</f>
        <v>0</v>
      </c>
      <c r="H507" s="168">
        <f>MAX(ITSecondTable[[#This Row],[IQty]]-ITSecondTable[[#This Row],[SQty]], 0)</f>
        <v>4</v>
      </c>
      <c r="I507" s="151" t="str">
        <f>IFERROR(_xlfn.TEXTJOIN("~", TRUE, ITEquipmentTable[[#This Row],[Type]],ITEquipmentTable[[#This Row],[Brand]],ITEquipmentTable[[#This Row],[Model]]), "")</f>
        <v>Radio~Motorola~CP200D</v>
      </c>
      <c r="J507" s="151" t="b">
        <f xml:space="preserve"> _xlfn.IFNA(MATCH( ITSecondTable[[#This Row],[Tag]], StorageTable[Tag], 0)  &gt; -1, FALSE)</f>
        <v>0</v>
      </c>
      <c r="K507" s="168" t="b">
        <f>COUNTIFS(ITEquipmentTable[Serial], ITEquipmentTable[[#This Row],[Serial]], ITEquipmentTable[Serial], "&lt;&gt;N/A") &gt; 1</f>
        <v>0</v>
      </c>
      <c r="L507" s="168" t="b">
        <f>COUNTIFS(ITEquipmentTable[Name], ITEquipmentTable[[#This Row],[Name]], ITEquipmentTable[Name], "&lt;&gt;&lt;Unassigned&gt;",  ITEquipmentTable[Name], "&lt;&gt;N/A") &gt; 1</f>
        <v>0</v>
      </c>
      <c r="M507" s="168" t="b">
        <f>AND(COUNTIFS(ITEquipmentTable[IPv4 Address], ITEquipmentTable[[#This Row],[IPv4 Address]]) &gt; 1, ITEquipmentTable[[#This Row],[IPv4 Address]] &lt;&gt; "DHCP",  ITEquipmentTable[[#This Row],[IPv4 Address]] &lt;&gt; "N/A")</f>
        <v>0</v>
      </c>
    </row>
    <row r="508" spans="1:13" x14ac:dyDescent="0.2">
      <c r="A508" s="168">
        <f>IF(LEN(ITSecondTable[[#This Row],[Tag]]) &gt; 0, _xlfn.XLOOKUP(ITSecondTable[[#This Row],[Tag]],StorageTable[Tag], StorageTable[In Storage - Count Total], "Err", 0, 1), 0)</f>
        <v>17</v>
      </c>
      <c r="B508" s="1">
        <f>_xlfn.LET(_xlpm.loc, ITEquipmentTable[Storage Location],
COUNTIFS(ITSecondTable[Tag], ITSecondTable[[#This Row],[Tag]], _xlpm.loc, "&lt;&gt;In Use", _xlpm.loc, "&lt;&gt;",  _xlpm.loc, "&lt;&gt;E-Waste", _xlpm.loc, "&lt;&gt;Virtual",  _xlpm.loc, "&lt;&gt;Assigned to Employee", _xlpm.loc, "&lt;&gt;Decommisioned", _xlpm.loc, "&lt;&gt;Missing")
)</f>
        <v>13</v>
      </c>
      <c r="C508" s="1">
        <f>_xlfn.LET(_xlpm.loc, ITEquipmentTable[Storage Location],
COUNTIFS(ITSecondTable[Tag], ITSecondTable[[#This Row],[Tag]], _xlpm.loc, "&lt;&gt;E-Waste", _xlpm.loc, "&lt;&gt;Virtual", _xlpm.loc, "&lt;&gt;Decommisioned")
)</f>
        <v>16</v>
      </c>
      <c r="D508" s="168">
        <f>_xlfn.LET(_xlpm.loc, ITEquipmentTable[Storage Location],
COUNTIFS(ITSecondTable[Tag], ITSecondTable[[#This Row],[Tag]], _xlpm.loc, "Missing")
)</f>
        <v>0</v>
      </c>
      <c r="E508" s="168">
        <f>_xlfn.LET(_xlpm.loc, ITEquipmentTable[Storage Location],
COUNTIFS(ITSecondTable[Tag], ITSecondTable[[#This Row],[Tag]], _xlpm.loc, "In Use") + COUNTIFS(ITSecondTable[Tag], ITSecondTable[[#This Row],[Tag]], _xlpm.loc, "Assigned to Employee")
)</f>
        <v>3</v>
      </c>
      <c r="F508" s="168">
        <f>_xlfn.LET(_xlpm.loc, ITEquipmentTable[Storage Location],
COUNTIFS(ITSecondTable[Tag], ITSecondTable[[#This Row],[Tag]], _xlpm.loc, "")
)</f>
        <v>0</v>
      </c>
      <c r="G508" s="168">
        <f>MAX(ITSecondTable[[#This Row],[SQty]] - ITSecondTable[[#This Row],[IQty]], 0)</f>
        <v>0</v>
      </c>
      <c r="H508" s="168">
        <f>MAX(ITSecondTable[[#This Row],[IQty]]-ITSecondTable[[#This Row],[SQty]], 0)</f>
        <v>4</v>
      </c>
      <c r="I508" s="151" t="str">
        <f>IFERROR(_xlfn.TEXTJOIN("~", TRUE, ITEquipmentTable[[#This Row],[Type]],ITEquipmentTable[[#This Row],[Brand]],ITEquipmentTable[[#This Row],[Model]]), "")</f>
        <v>Radio~Motorola~CP200D</v>
      </c>
      <c r="J508" s="151" t="b">
        <f xml:space="preserve"> _xlfn.IFNA(MATCH( ITSecondTable[[#This Row],[Tag]], StorageTable[Tag], 0)  &gt; -1, FALSE)</f>
        <v>0</v>
      </c>
      <c r="K508" s="168" t="b">
        <f>COUNTIFS(ITEquipmentTable[Serial], ITEquipmentTable[[#This Row],[Serial]], ITEquipmentTable[Serial], "&lt;&gt;N/A") &gt; 1</f>
        <v>0</v>
      </c>
      <c r="L508" s="168" t="b">
        <f>COUNTIFS(ITEquipmentTable[Name], ITEquipmentTable[[#This Row],[Name]], ITEquipmentTable[Name], "&lt;&gt;&lt;Unassigned&gt;",  ITEquipmentTable[Name], "&lt;&gt;N/A") &gt; 1</f>
        <v>0</v>
      </c>
      <c r="M508" s="168" t="b">
        <f>AND(COUNTIFS(ITEquipmentTable[IPv4 Address], ITEquipmentTable[[#This Row],[IPv4 Address]]) &gt; 1, ITEquipmentTable[[#This Row],[IPv4 Address]] &lt;&gt; "DHCP",  ITEquipmentTable[[#This Row],[IPv4 Address]] &lt;&gt; "N/A")</f>
        <v>0</v>
      </c>
    </row>
    <row r="509" spans="1:13" x14ac:dyDescent="0.2">
      <c r="A509" s="168">
        <f>IF(LEN(ITSecondTable[[#This Row],[Tag]]) &gt; 0, _xlfn.XLOOKUP(ITSecondTable[[#This Row],[Tag]],StorageTable[Tag], StorageTable[In Storage - Count Total], "Err", 0, 1), 0)</f>
        <v>17</v>
      </c>
      <c r="B509" s="1">
        <f>_xlfn.LET(_xlpm.loc, ITEquipmentTable[Storage Location],
COUNTIFS(ITSecondTable[Tag], ITSecondTable[[#This Row],[Tag]], _xlpm.loc, "&lt;&gt;In Use", _xlpm.loc, "&lt;&gt;",  _xlpm.loc, "&lt;&gt;E-Waste", _xlpm.loc, "&lt;&gt;Virtual",  _xlpm.loc, "&lt;&gt;Assigned to Employee", _xlpm.loc, "&lt;&gt;Decommisioned", _xlpm.loc, "&lt;&gt;Missing")
)</f>
        <v>13</v>
      </c>
      <c r="C509" s="1">
        <f>_xlfn.LET(_xlpm.loc, ITEquipmentTable[Storage Location],
COUNTIFS(ITSecondTable[Tag], ITSecondTable[[#This Row],[Tag]], _xlpm.loc, "&lt;&gt;E-Waste", _xlpm.loc, "&lt;&gt;Virtual", _xlpm.loc, "&lt;&gt;Decommisioned")
)</f>
        <v>16</v>
      </c>
      <c r="D509" s="168">
        <f>_xlfn.LET(_xlpm.loc, ITEquipmentTable[Storage Location],
COUNTIFS(ITSecondTable[Tag], ITSecondTable[[#This Row],[Tag]], _xlpm.loc, "Missing")
)</f>
        <v>0</v>
      </c>
      <c r="E509" s="168">
        <f>_xlfn.LET(_xlpm.loc, ITEquipmentTable[Storage Location],
COUNTIFS(ITSecondTable[Tag], ITSecondTable[[#This Row],[Tag]], _xlpm.loc, "In Use") + COUNTIFS(ITSecondTable[Tag], ITSecondTable[[#This Row],[Tag]], _xlpm.loc, "Assigned to Employee")
)</f>
        <v>3</v>
      </c>
      <c r="F509" s="168">
        <f>_xlfn.LET(_xlpm.loc, ITEquipmentTable[Storage Location],
COUNTIFS(ITSecondTable[Tag], ITSecondTable[[#This Row],[Tag]], _xlpm.loc, "")
)</f>
        <v>0</v>
      </c>
      <c r="G509" s="168">
        <f>MAX(ITSecondTable[[#This Row],[SQty]] - ITSecondTable[[#This Row],[IQty]], 0)</f>
        <v>0</v>
      </c>
      <c r="H509" s="168">
        <f>MAX(ITSecondTable[[#This Row],[IQty]]-ITSecondTable[[#This Row],[SQty]], 0)</f>
        <v>4</v>
      </c>
      <c r="I509" s="151" t="str">
        <f>IFERROR(_xlfn.TEXTJOIN("~", TRUE, ITEquipmentTable[[#This Row],[Type]],ITEquipmentTable[[#This Row],[Brand]],ITEquipmentTable[[#This Row],[Model]]), "")</f>
        <v>Radio~Motorola~CP200D</v>
      </c>
      <c r="J509" s="151" t="b">
        <f xml:space="preserve"> _xlfn.IFNA(MATCH( ITSecondTable[[#This Row],[Tag]], StorageTable[Tag], 0)  &gt; -1, FALSE)</f>
        <v>0</v>
      </c>
      <c r="K509" s="168" t="b">
        <f>COUNTIFS(ITEquipmentTable[Serial], ITEquipmentTable[[#This Row],[Serial]], ITEquipmentTable[Serial], "&lt;&gt;N/A") &gt; 1</f>
        <v>0</v>
      </c>
      <c r="L509" s="168" t="b">
        <f>COUNTIFS(ITEquipmentTable[Name], ITEquipmentTable[[#This Row],[Name]], ITEquipmentTable[Name], "&lt;&gt;&lt;Unassigned&gt;",  ITEquipmentTable[Name], "&lt;&gt;N/A") &gt; 1</f>
        <v>0</v>
      </c>
      <c r="M509" s="168" t="b">
        <f>AND(COUNTIFS(ITEquipmentTable[IPv4 Address], ITEquipmentTable[[#This Row],[IPv4 Address]]) &gt; 1, ITEquipmentTable[[#This Row],[IPv4 Address]] &lt;&gt; "DHCP",  ITEquipmentTable[[#This Row],[IPv4 Address]] &lt;&gt; "N/A")</f>
        <v>0</v>
      </c>
    </row>
    <row r="510" spans="1:13" x14ac:dyDescent="0.2">
      <c r="A510" s="168">
        <f>IF(LEN(ITSecondTable[[#This Row],[Tag]]) &gt; 0, _xlfn.XLOOKUP(ITSecondTable[[#This Row],[Tag]],StorageTable[Tag], StorageTable[In Storage - Count Total], "Err", 0, 1), 0)</f>
        <v>1</v>
      </c>
      <c r="B510" s="1">
        <f>_xlfn.LET(_xlpm.loc, ITEquipmentTable[Storage Location],
COUNTIFS(ITSecondTable[Tag], ITSecondTable[[#This Row],[Tag]], _xlpm.loc, "&lt;&gt;In Use", _xlpm.loc, "&lt;&gt;",  _xlpm.loc, "&lt;&gt;E-Waste", _xlpm.loc, "&lt;&gt;Virtual",  _xlpm.loc, "&lt;&gt;Assigned to Employee", _xlpm.loc, "&lt;&gt;Decommisioned", _xlpm.loc, "&lt;&gt;Missing")
)</f>
        <v>3</v>
      </c>
      <c r="C510" s="1">
        <f>_xlfn.LET(_xlpm.loc, ITEquipmentTable[Storage Location],
COUNTIFS(ITSecondTable[Tag], ITSecondTable[[#This Row],[Tag]], _xlpm.loc, "&lt;&gt;E-Waste", _xlpm.loc, "&lt;&gt;Virtual", _xlpm.loc, "&lt;&gt;Decommisioned")
)</f>
        <v>10</v>
      </c>
      <c r="D510" s="168">
        <f>_xlfn.LET(_xlpm.loc, ITEquipmentTable[Storage Location],
COUNTIFS(ITSecondTable[Tag], ITSecondTable[[#This Row],[Tag]], _xlpm.loc, "Missing")
)</f>
        <v>0</v>
      </c>
      <c r="E510" s="168">
        <f>_xlfn.LET(_xlpm.loc, ITEquipmentTable[Storage Location],
COUNTIFS(ITSecondTable[Tag], ITSecondTable[[#This Row],[Tag]], _xlpm.loc, "In Use") + COUNTIFS(ITSecondTable[Tag], ITSecondTable[[#This Row],[Tag]], _xlpm.loc, "Assigned to Employee")
)</f>
        <v>6</v>
      </c>
      <c r="F510" s="168">
        <f>_xlfn.LET(_xlpm.loc, ITEquipmentTable[Storage Location],
COUNTIFS(ITSecondTable[Tag], ITSecondTable[[#This Row],[Tag]], _xlpm.loc, "")
)</f>
        <v>1</v>
      </c>
      <c r="G510" s="168">
        <f>MAX(ITSecondTable[[#This Row],[SQty]] - ITSecondTable[[#This Row],[IQty]], 0)</f>
        <v>2</v>
      </c>
      <c r="H510" s="168">
        <f>MAX(ITSecondTable[[#This Row],[IQty]]-ITSecondTable[[#This Row],[SQty]], 0)</f>
        <v>0</v>
      </c>
      <c r="I510" s="151" t="str">
        <f>IFERROR(_xlfn.TEXTJOIN("~", TRUE, ITEquipmentTable[[#This Row],[Type]],ITEquipmentTable[[#This Row],[Brand]],ITEquipmentTable[[#This Row],[Model]]), "")</f>
        <v>Desktop~Dell~OptiPlex 3060</v>
      </c>
      <c r="J510" s="151" t="b">
        <f xml:space="preserve"> _xlfn.IFNA(MATCH( ITSecondTable[[#This Row],[Tag]], StorageTable[Tag], 0)  &gt; -1, FALSE)</f>
        <v>0</v>
      </c>
      <c r="K510" s="168" t="b">
        <f>COUNTIFS(ITEquipmentTable[Serial], ITEquipmentTable[[#This Row],[Serial]], ITEquipmentTable[Serial], "&lt;&gt;N/A") &gt; 1</f>
        <v>0</v>
      </c>
      <c r="L510" s="168" t="b">
        <f>COUNTIFS(ITEquipmentTable[Name], ITEquipmentTable[[#This Row],[Name]], ITEquipmentTable[Name], "&lt;&gt;&lt;Unassigned&gt;",  ITEquipmentTable[Name], "&lt;&gt;N/A") &gt; 1</f>
        <v>0</v>
      </c>
      <c r="M510" s="168" t="b">
        <f>AND(COUNTIFS(ITEquipmentTable[IPv4 Address], ITEquipmentTable[[#This Row],[IPv4 Address]]) &gt; 1, ITEquipmentTable[[#This Row],[IPv4 Address]] &lt;&gt; "DHCP",  ITEquipmentTable[[#This Row],[IPv4 Address]] &lt;&gt; "N/A")</f>
        <v>0</v>
      </c>
    </row>
    <row r="511" spans="1:13" x14ac:dyDescent="0.2">
      <c r="A511" s="168">
        <f>IF(LEN(ITSecondTable[[#This Row],[Tag]]) &gt; 0, _xlfn.XLOOKUP(ITSecondTable[[#This Row],[Tag]],StorageTable[Tag], StorageTable[In Storage - Count Total], "Err", 0, 1), 0)</f>
        <v>1</v>
      </c>
      <c r="B511" s="1">
        <f>_xlfn.LET(_xlpm.loc, ITEquipmentTable[Storage Location],
COUNTIFS(ITSecondTable[Tag], ITSecondTable[[#This Row],[Tag]], _xlpm.loc, "&lt;&gt;In Use", _xlpm.loc, "&lt;&gt;",  _xlpm.loc, "&lt;&gt;E-Waste", _xlpm.loc, "&lt;&gt;Virtual",  _xlpm.loc, "&lt;&gt;Assigned to Employee", _xlpm.loc, "&lt;&gt;Decommisioned", _xlpm.loc, "&lt;&gt;Missing")
)</f>
        <v>3</v>
      </c>
      <c r="C511" s="1">
        <f>_xlfn.LET(_xlpm.loc, ITEquipmentTable[Storage Location],
COUNTIFS(ITSecondTable[Tag], ITSecondTable[[#This Row],[Tag]], _xlpm.loc, "&lt;&gt;E-Waste", _xlpm.loc, "&lt;&gt;Virtual", _xlpm.loc, "&lt;&gt;Decommisioned")
)</f>
        <v>10</v>
      </c>
      <c r="D511" s="168">
        <f>_xlfn.LET(_xlpm.loc, ITEquipmentTable[Storage Location],
COUNTIFS(ITSecondTable[Tag], ITSecondTable[[#This Row],[Tag]], _xlpm.loc, "Missing")
)</f>
        <v>0</v>
      </c>
      <c r="E511" s="168">
        <f>_xlfn.LET(_xlpm.loc, ITEquipmentTable[Storage Location],
COUNTIFS(ITSecondTable[Tag], ITSecondTable[[#This Row],[Tag]], _xlpm.loc, "In Use") + COUNTIFS(ITSecondTable[Tag], ITSecondTable[[#This Row],[Tag]], _xlpm.loc, "Assigned to Employee")
)</f>
        <v>6</v>
      </c>
      <c r="F511" s="168">
        <f>_xlfn.LET(_xlpm.loc, ITEquipmentTable[Storage Location],
COUNTIFS(ITSecondTable[Tag], ITSecondTable[[#This Row],[Tag]], _xlpm.loc, "")
)</f>
        <v>1</v>
      </c>
      <c r="G511" s="168">
        <f>MAX(ITSecondTable[[#This Row],[SQty]] - ITSecondTable[[#This Row],[IQty]], 0)</f>
        <v>2</v>
      </c>
      <c r="H511" s="168">
        <f>MAX(ITSecondTable[[#This Row],[IQty]]-ITSecondTable[[#This Row],[SQty]], 0)</f>
        <v>0</v>
      </c>
      <c r="I511" s="151" t="str">
        <f>IFERROR(_xlfn.TEXTJOIN("~", TRUE, ITEquipmentTable[[#This Row],[Type]],ITEquipmentTable[[#This Row],[Brand]],ITEquipmentTable[[#This Row],[Model]]), "")</f>
        <v>Desktop~Dell~OptiPlex 3060</v>
      </c>
      <c r="J511" s="151" t="b">
        <f xml:space="preserve"> _xlfn.IFNA(MATCH( ITSecondTable[[#This Row],[Tag]], StorageTable[Tag], 0)  &gt; -1, FALSE)</f>
        <v>0</v>
      </c>
      <c r="K511" s="168" t="b">
        <f>COUNTIFS(ITEquipmentTable[Serial], ITEquipmentTable[[#This Row],[Serial]], ITEquipmentTable[Serial], "&lt;&gt;N/A") &gt; 1</f>
        <v>0</v>
      </c>
      <c r="L511" s="168" t="b">
        <f>COUNTIFS(ITEquipmentTable[Name], ITEquipmentTable[[#This Row],[Name]], ITEquipmentTable[Name], "&lt;&gt;&lt;Unassigned&gt;",  ITEquipmentTable[Name], "&lt;&gt;N/A") &gt; 1</f>
        <v>0</v>
      </c>
      <c r="M511" s="168" t="b">
        <f>AND(COUNTIFS(ITEquipmentTable[IPv4 Address], ITEquipmentTable[[#This Row],[IPv4 Address]]) &gt; 1, ITEquipmentTable[[#This Row],[IPv4 Address]] &lt;&gt; "DHCP",  ITEquipmentTable[[#This Row],[IPv4 Address]] &lt;&gt; "N/A")</f>
        <v>0</v>
      </c>
    </row>
    <row r="512" spans="1:13" x14ac:dyDescent="0.2">
      <c r="A512" s="168">
        <f>IF(LEN(ITSecondTable[[#This Row],[Tag]]) &gt; 0, _xlfn.XLOOKUP(ITSecondTable[[#This Row],[Tag]],StorageTable[Tag], StorageTable[In Storage - Count Total], "Err", 0, 1), 0)</f>
        <v>0</v>
      </c>
      <c r="B512" s="1">
        <f>_xlfn.LET(_xlpm.loc, ITEquipmentTable[Storage Location],
COUNTIFS(ITSecondTable[Tag], ITSecondTable[[#This Row],[Tag]], _xlpm.loc, "&lt;&gt;In Use", _xlpm.loc, "&lt;&gt;",  _xlpm.loc, "&lt;&gt;E-Waste", _xlpm.loc, "&lt;&gt;Virtual",  _xlpm.loc, "&lt;&gt;Assigned to Employee", _xlpm.loc, "&lt;&gt;Decommisioned", _xlpm.loc, "&lt;&gt;Missing")
)</f>
        <v>1</v>
      </c>
      <c r="C512" s="1">
        <f>_xlfn.LET(_xlpm.loc, ITEquipmentTable[Storage Location],
COUNTIFS(ITSecondTable[Tag], ITSecondTable[[#This Row],[Tag]], _xlpm.loc, "&lt;&gt;E-Waste", _xlpm.loc, "&lt;&gt;Virtual", _xlpm.loc, "&lt;&gt;Decommisioned")
)</f>
        <v>2</v>
      </c>
      <c r="D512" s="168">
        <f>_xlfn.LET(_xlpm.loc, ITEquipmentTable[Storage Location],
COUNTIFS(ITSecondTable[Tag], ITSecondTable[[#This Row],[Tag]], _xlpm.loc, "Missing")
)</f>
        <v>0</v>
      </c>
      <c r="E512" s="168">
        <f>_xlfn.LET(_xlpm.loc, ITEquipmentTable[Storage Location],
COUNTIFS(ITSecondTable[Tag], ITSecondTable[[#This Row],[Tag]], _xlpm.loc, "In Use") + COUNTIFS(ITSecondTable[Tag], ITSecondTable[[#This Row],[Tag]], _xlpm.loc, "Assigned to Employee")
)</f>
        <v>0</v>
      </c>
      <c r="F512" s="168">
        <f>_xlfn.LET(_xlpm.loc, ITEquipmentTable[Storage Location],
COUNTIFS(ITSecondTable[Tag], ITSecondTable[[#This Row],[Tag]], _xlpm.loc, "")
)</f>
        <v>1</v>
      </c>
      <c r="G512" s="168">
        <f>MAX(ITSecondTable[[#This Row],[SQty]] - ITSecondTable[[#This Row],[IQty]], 0)</f>
        <v>1</v>
      </c>
      <c r="H512" s="168">
        <f>MAX(ITSecondTable[[#This Row],[IQty]]-ITSecondTable[[#This Row],[SQty]], 0)</f>
        <v>0</v>
      </c>
      <c r="I512" s="151" t="str">
        <f>IFERROR(_xlfn.TEXTJOIN("~", TRUE, ITEquipmentTable[[#This Row],[Type]],ITEquipmentTable[[#This Row],[Brand]],ITEquipmentTable[[#This Row],[Model]]), "")</f>
        <v>Monitor (Touch)~HP~HP E24t G4 Touch Monitor</v>
      </c>
      <c r="J512" s="151" t="b">
        <f xml:space="preserve"> _xlfn.IFNA(MATCH( ITSecondTable[[#This Row],[Tag]], StorageTable[Tag], 0)  &gt; -1, FALSE)</f>
        <v>0</v>
      </c>
      <c r="K512" s="168" t="b">
        <f>COUNTIFS(ITEquipmentTable[Serial], ITEquipmentTable[[#This Row],[Serial]], ITEquipmentTable[Serial], "&lt;&gt;N/A") &gt; 1</f>
        <v>0</v>
      </c>
      <c r="L512" s="168" t="b">
        <f>COUNTIFS(ITEquipmentTable[Name], ITEquipmentTable[[#This Row],[Name]], ITEquipmentTable[Name], "&lt;&gt;&lt;Unassigned&gt;",  ITEquipmentTable[Name], "&lt;&gt;N/A") &gt; 1</f>
        <v>0</v>
      </c>
      <c r="M512" s="168" t="b">
        <f>AND(COUNTIFS(ITEquipmentTable[IPv4 Address], ITEquipmentTable[[#This Row],[IPv4 Address]]) &gt; 1, ITEquipmentTable[[#This Row],[IPv4 Address]] &lt;&gt; "DHCP",  ITEquipmentTable[[#This Row],[IPv4 Address]] &lt;&gt; "N/A")</f>
        <v>0</v>
      </c>
    </row>
    <row r="513" spans="1:13" x14ac:dyDescent="0.2">
      <c r="A513" s="168">
        <f>IF(LEN(ITSecondTable[[#This Row],[Tag]]) &gt; 0, _xlfn.XLOOKUP(ITSecondTable[[#This Row],[Tag]],StorageTable[Tag], StorageTable[In Storage - Count Total], "Err", 0, 1), 0)</f>
        <v>0</v>
      </c>
      <c r="B513" s="1">
        <f>_xlfn.LET(_xlpm.loc, ITEquipmentTable[Storage Location],
COUNTIFS(ITSecondTable[Tag], ITSecondTable[[#This Row],[Tag]], _xlpm.loc, "&lt;&gt;In Use", _xlpm.loc, "&lt;&gt;",  _xlpm.loc, "&lt;&gt;E-Waste", _xlpm.loc, "&lt;&gt;Virtual",  _xlpm.loc, "&lt;&gt;Assigned to Employee", _xlpm.loc, "&lt;&gt;Decommisioned", _xlpm.loc, "&lt;&gt;Missing")
)</f>
        <v>1</v>
      </c>
      <c r="C513" s="1">
        <f>_xlfn.LET(_xlpm.loc, ITEquipmentTable[Storage Location],
COUNTIFS(ITSecondTable[Tag], ITSecondTable[[#This Row],[Tag]], _xlpm.loc, "&lt;&gt;E-Waste", _xlpm.loc, "&lt;&gt;Virtual", _xlpm.loc, "&lt;&gt;Decommisioned")
)</f>
        <v>1</v>
      </c>
      <c r="D513" s="168">
        <f>_xlfn.LET(_xlpm.loc, ITEquipmentTable[Storage Location],
COUNTIFS(ITSecondTable[Tag], ITSecondTable[[#This Row],[Tag]], _xlpm.loc, "Missing")
)</f>
        <v>0</v>
      </c>
      <c r="E513" s="168">
        <f>_xlfn.LET(_xlpm.loc, ITEquipmentTable[Storage Location],
COUNTIFS(ITSecondTable[Tag], ITSecondTable[[#This Row],[Tag]], _xlpm.loc, "In Use") + COUNTIFS(ITSecondTable[Tag], ITSecondTable[[#This Row],[Tag]], _xlpm.loc, "Assigned to Employee")
)</f>
        <v>0</v>
      </c>
      <c r="F513" s="168">
        <f>_xlfn.LET(_xlpm.loc, ITEquipmentTable[Storage Location],
COUNTIFS(ITSecondTable[Tag], ITSecondTable[[#This Row],[Tag]], _xlpm.loc, "")
)</f>
        <v>0</v>
      </c>
      <c r="G513" s="168">
        <f>MAX(ITSecondTable[[#This Row],[SQty]] - ITSecondTable[[#This Row],[IQty]], 0)</f>
        <v>1</v>
      </c>
      <c r="H513" s="168">
        <f>MAX(ITSecondTable[[#This Row],[IQty]]-ITSecondTable[[#This Row],[SQty]], 0)</f>
        <v>0</v>
      </c>
      <c r="I513" s="151" t="str">
        <f>IFERROR(_xlfn.TEXTJOIN("~", TRUE, ITEquipmentTable[[#This Row],[Type]],ITEquipmentTable[[#This Row],[Brand]],ITEquipmentTable[[#This Row],[Model]]), "")</f>
        <v>Printer~HP~Laser Jet Pro M402dw</v>
      </c>
      <c r="J513" s="151" t="b">
        <f xml:space="preserve"> _xlfn.IFNA(MATCH( ITSecondTable[[#This Row],[Tag]], StorageTable[Tag], 0)  &gt; -1, FALSE)</f>
        <v>0</v>
      </c>
      <c r="K513" s="168" t="b">
        <f>COUNTIFS(ITEquipmentTable[Serial], ITEquipmentTable[[#This Row],[Serial]], ITEquipmentTable[Serial], "&lt;&gt;N/A") &gt; 1</f>
        <v>0</v>
      </c>
      <c r="L513" s="168" t="b">
        <f>COUNTIFS(ITEquipmentTable[Name], ITEquipmentTable[[#This Row],[Name]], ITEquipmentTable[Name], "&lt;&gt;&lt;Unassigned&gt;",  ITEquipmentTable[Name], "&lt;&gt;N/A") &gt; 1</f>
        <v>0</v>
      </c>
      <c r="M513" s="168" t="b">
        <f>AND(COUNTIFS(ITEquipmentTable[IPv4 Address], ITEquipmentTable[[#This Row],[IPv4 Address]]) &gt; 1, ITEquipmentTable[[#This Row],[IPv4 Address]] &lt;&gt; "DHCP",  ITEquipmentTable[[#This Row],[IPv4 Address]] &lt;&gt; "N/A")</f>
        <v>0</v>
      </c>
    </row>
    <row r="514" spans="1:13" x14ac:dyDescent="0.2">
      <c r="A514" s="168">
        <f>IF(LEN(ITSecondTable[[#This Row],[Tag]]) &gt; 0, _xlfn.XLOOKUP(ITSecondTable[[#This Row],[Tag]],StorageTable[Tag], StorageTable[In Storage - Count Total], "Err", 0, 1), 0)</f>
        <v>4</v>
      </c>
      <c r="B514" s="1">
        <f>_xlfn.LET(_xlpm.loc, ITEquipmentTable[Storage Location],
COUNTIFS(ITSecondTable[Tag], ITSecondTable[[#This Row],[Tag]], _xlpm.loc, "&lt;&gt;In Use", _xlpm.loc, "&lt;&gt;",  _xlpm.loc, "&lt;&gt;E-Waste", _xlpm.loc, "&lt;&gt;Virtual",  _xlpm.loc, "&lt;&gt;Assigned to Employee", _xlpm.loc, "&lt;&gt;Decommisioned", _xlpm.loc, "&lt;&gt;Missing")
)</f>
        <v>3</v>
      </c>
      <c r="C514" s="1">
        <f>_xlfn.LET(_xlpm.loc, ITEquipmentTable[Storage Location],
COUNTIFS(ITSecondTable[Tag], ITSecondTable[[#This Row],[Tag]], _xlpm.loc, "&lt;&gt;E-Waste", _xlpm.loc, "&lt;&gt;Virtual", _xlpm.loc, "&lt;&gt;Decommisioned")
)</f>
        <v>6</v>
      </c>
      <c r="D514" s="168">
        <f>_xlfn.LET(_xlpm.loc, ITEquipmentTable[Storage Location],
COUNTIFS(ITSecondTable[Tag], ITSecondTable[[#This Row],[Tag]], _xlpm.loc, "Missing")
)</f>
        <v>0</v>
      </c>
      <c r="E514" s="168">
        <f>_xlfn.LET(_xlpm.loc, ITEquipmentTable[Storage Location],
COUNTIFS(ITSecondTable[Tag], ITSecondTable[[#This Row],[Tag]], _xlpm.loc, "In Use") + COUNTIFS(ITSecondTable[Tag], ITSecondTable[[#This Row],[Tag]], _xlpm.loc, "Assigned to Employee")
)</f>
        <v>2</v>
      </c>
      <c r="F514" s="168">
        <f>_xlfn.LET(_xlpm.loc, ITEquipmentTable[Storage Location],
COUNTIFS(ITSecondTable[Tag], ITSecondTable[[#This Row],[Tag]], _xlpm.loc, "")
)</f>
        <v>1</v>
      </c>
      <c r="G514" s="168">
        <f>MAX(ITSecondTable[[#This Row],[SQty]] - ITSecondTable[[#This Row],[IQty]], 0)</f>
        <v>0</v>
      </c>
      <c r="H514" s="168">
        <f>MAX(ITSecondTable[[#This Row],[IQty]]-ITSecondTable[[#This Row],[SQty]], 0)</f>
        <v>1</v>
      </c>
      <c r="I514" s="151" t="str">
        <f>IFERROR(_xlfn.TEXTJOIN("~", TRUE, ITEquipmentTable[[#This Row],[Type]],ITEquipmentTable[[#This Row],[Brand]],ITEquipmentTable[[#This Row],[Model]]), "")</f>
        <v>Printer~Intermec~PM43</v>
      </c>
      <c r="J514" s="151" t="b">
        <f xml:space="preserve"> _xlfn.IFNA(MATCH( ITSecondTable[[#This Row],[Tag]], StorageTable[Tag], 0)  &gt; -1, FALSE)</f>
        <v>0</v>
      </c>
      <c r="K514" s="168" t="b">
        <f>COUNTIFS(ITEquipmentTable[Serial], ITEquipmentTable[[#This Row],[Serial]], ITEquipmentTable[Serial], "&lt;&gt;N/A") &gt; 1</f>
        <v>0</v>
      </c>
      <c r="L514" s="168" t="b">
        <f>COUNTIFS(ITEquipmentTable[Name], ITEquipmentTable[[#This Row],[Name]], ITEquipmentTable[Name], "&lt;&gt;&lt;Unassigned&gt;",  ITEquipmentTable[Name], "&lt;&gt;N/A") &gt; 1</f>
        <v>0</v>
      </c>
      <c r="M514" s="168" t="b">
        <f>AND(COUNTIFS(ITEquipmentTable[IPv4 Address], ITEquipmentTable[[#This Row],[IPv4 Address]]) &gt; 1, ITEquipmentTable[[#This Row],[IPv4 Address]] &lt;&gt; "DHCP",  ITEquipmentTable[[#This Row],[IPv4 Address]] &lt;&gt; "N/A")</f>
        <v>0</v>
      </c>
    </row>
    <row r="515" spans="1:13" x14ac:dyDescent="0.2">
      <c r="A515" s="168">
        <f>IF(LEN(ITSecondTable[[#This Row],[Tag]]) &gt; 0, _xlfn.XLOOKUP(ITSecondTable[[#This Row],[Tag]],StorageTable[Tag], StorageTable[In Storage - Count Total], "Err", 0, 1), 0)</f>
        <v>9</v>
      </c>
      <c r="B515" s="1">
        <f>_xlfn.LET(_xlpm.loc, ITEquipmentTable[Storage Location],
COUNTIFS(ITSecondTable[Tag], ITSecondTable[[#This Row],[Tag]], _xlpm.loc, "&lt;&gt;In Use", _xlpm.loc, "&lt;&gt;",  _xlpm.loc, "&lt;&gt;E-Waste", _xlpm.loc, "&lt;&gt;Virtual",  _xlpm.loc, "&lt;&gt;Assigned to Employee", _xlpm.loc, "&lt;&gt;Decommisioned", _xlpm.loc, "&lt;&gt;Missing")
)</f>
        <v>11</v>
      </c>
      <c r="C515" s="1">
        <f>_xlfn.LET(_xlpm.loc, ITEquipmentTable[Storage Location],
COUNTIFS(ITSecondTable[Tag], ITSecondTable[[#This Row],[Tag]], _xlpm.loc, "&lt;&gt;E-Waste", _xlpm.loc, "&lt;&gt;Virtual", _xlpm.loc, "&lt;&gt;Decommisioned")
)</f>
        <v>24</v>
      </c>
      <c r="D515" s="168">
        <f>_xlfn.LET(_xlpm.loc, ITEquipmentTable[Storage Location],
COUNTIFS(ITSecondTable[Tag], ITSecondTable[[#This Row],[Tag]], _xlpm.loc, "Missing")
)</f>
        <v>0</v>
      </c>
      <c r="E515" s="168">
        <f>_xlfn.LET(_xlpm.loc, ITEquipmentTable[Storage Location],
COUNTIFS(ITSecondTable[Tag], ITSecondTable[[#This Row],[Tag]], _xlpm.loc, "In Use") + COUNTIFS(ITSecondTable[Tag], ITSecondTable[[#This Row],[Tag]], _xlpm.loc, "Assigned to Employee")
)</f>
        <v>13</v>
      </c>
      <c r="F515" s="168">
        <f>_xlfn.LET(_xlpm.loc, ITEquipmentTable[Storage Location],
COUNTIFS(ITSecondTable[Tag], ITSecondTable[[#This Row],[Tag]], _xlpm.loc, "")
)</f>
        <v>0</v>
      </c>
      <c r="G515" s="168">
        <f>MAX(ITSecondTable[[#This Row],[SQty]] - ITSecondTable[[#This Row],[IQty]], 0)</f>
        <v>2</v>
      </c>
      <c r="H515" s="168">
        <f>MAX(ITSecondTable[[#This Row],[IQty]]-ITSecondTable[[#This Row],[SQty]], 0)</f>
        <v>0</v>
      </c>
      <c r="I515" s="151" t="str">
        <f>IFERROR(_xlfn.TEXTJOIN("~", TRUE, ITEquipmentTable[[#This Row],[Type]],ITEquipmentTable[[#This Row],[Brand]],ITEquipmentTable[[#This Row],[Model]]), "")</f>
        <v>Monitor~HP~HP P224 Monitor</v>
      </c>
      <c r="J515" s="151" t="b">
        <f xml:space="preserve"> _xlfn.IFNA(MATCH( ITSecondTable[[#This Row],[Tag]], StorageTable[Tag], 0)  &gt; -1, FALSE)</f>
        <v>0</v>
      </c>
      <c r="K515" s="168" t="b">
        <f>COUNTIFS(ITEquipmentTable[Serial], ITEquipmentTable[[#This Row],[Serial]], ITEquipmentTable[Serial], "&lt;&gt;N/A") &gt; 1</f>
        <v>0</v>
      </c>
      <c r="L515" s="168" t="b">
        <f>COUNTIFS(ITEquipmentTable[Name], ITEquipmentTable[[#This Row],[Name]], ITEquipmentTable[Name], "&lt;&gt;&lt;Unassigned&gt;",  ITEquipmentTable[Name], "&lt;&gt;N/A") &gt; 1</f>
        <v>0</v>
      </c>
      <c r="M515" s="168" t="b">
        <f>AND(COUNTIFS(ITEquipmentTable[IPv4 Address], ITEquipmentTable[[#This Row],[IPv4 Address]]) &gt; 1, ITEquipmentTable[[#This Row],[IPv4 Address]] &lt;&gt; "DHCP",  ITEquipmentTable[[#This Row],[IPv4 Address]] &lt;&gt; "N/A")</f>
        <v>0</v>
      </c>
    </row>
    <row r="516" spans="1:13" x14ac:dyDescent="0.2">
      <c r="A516" s="168">
        <f>IF(LEN(ITSecondTable[[#This Row],[Tag]]) &gt; 0, _xlfn.XLOOKUP(ITSecondTable[[#This Row],[Tag]],StorageTable[Tag], StorageTable[In Storage - Count Total], "Err", 0, 1), 0)</f>
        <v>9</v>
      </c>
      <c r="B516" s="1">
        <f>_xlfn.LET(_xlpm.loc, ITEquipmentTable[Storage Location],
COUNTIFS(ITSecondTable[Tag], ITSecondTable[[#This Row],[Tag]], _xlpm.loc, "&lt;&gt;In Use", _xlpm.loc, "&lt;&gt;",  _xlpm.loc, "&lt;&gt;E-Waste", _xlpm.loc, "&lt;&gt;Virtual",  _xlpm.loc, "&lt;&gt;Assigned to Employee", _xlpm.loc, "&lt;&gt;Decommisioned", _xlpm.loc, "&lt;&gt;Missing")
)</f>
        <v>11</v>
      </c>
      <c r="C516" s="1">
        <f>_xlfn.LET(_xlpm.loc, ITEquipmentTable[Storage Location],
COUNTIFS(ITSecondTable[Tag], ITSecondTable[[#This Row],[Tag]], _xlpm.loc, "&lt;&gt;E-Waste", _xlpm.loc, "&lt;&gt;Virtual", _xlpm.loc, "&lt;&gt;Decommisioned")
)</f>
        <v>24</v>
      </c>
      <c r="D516" s="168">
        <f>_xlfn.LET(_xlpm.loc, ITEquipmentTable[Storage Location],
COUNTIFS(ITSecondTable[Tag], ITSecondTable[[#This Row],[Tag]], _xlpm.loc, "Missing")
)</f>
        <v>0</v>
      </c>
      <c r="E516" s="168">
        <f>_xlfn.LET(_xlpm.loc, ITEquipmentTable[Storage Location],
COUNTIFS(ITSecondTable[Tag], ITSecondTable[[#This Row],[Tag]], _xlpm.loc, "In Use") + COUNTIFS(ITSecondTable[Tag], ITSecondTable[[#This Row],[Tag]], _xlpm.loc, "Assigned to Employee")
)</f>
        <v>13</v>
      </c>
      <c r="F516" s="168">
        <f>_xlfn.LET(_xlpm.loc, ITEquipmentTable[Storage Location],
COUNTIFS(ITSecondTable[Tag], ITSecondTable[[#This Row],[Tag]], _xlpm.loc, "")
)</f>
        <v>0</v>
      </c>
      <c r="G516" s="168">
        <f>MAX(ITSecondTable[[#This Row],[SQty]] - ITSecondTable[[#This Row],[IQty]], 0)</f>
        <v>2</v>
      </c>
      <c r="H516" s="168">
        <f>MAX(ITSecondTable[[#This Row],[IQty]]-ITSecondTable[[#This Row],[SQty]], 0)</f>
        <v>0</v>
      </c>
      <c r="I516" s="151" t="str">
        <f>IFERROR(_xlfn.TEXTJOIN("~", TRUE, ITEquipmentTable[[#This Row],[Type]],ITEquipmentTable[[#This Row],[Brand]],ITEquipmentTable[[#This Row],[Model]]), "")</f>
        <v>Monitor~HP~HP P224 Monitor</v>
      </c>
      <c r="J516" s="151" t="b">
        <f xml:space="preserve"> _xlfn.IFNA(MATCH( ITSecondTable[[#This Row],[Tag]], StorageTable[Tag], 0)  &gt; -1, FALSE)</f>
        <v>0</v>
      </c>
      <c r="K516" s="168" t="b">
        <f>COUNTIFS(ITEquipmentTable[Serial], ITEquipmentTable[[#This Row],[Serial]], ITEquipmentTable[Serial], "&lt;&gt;N/A") &gt; 1</f>
        <v>0</v>
      </c>
      <c r="L516" s="168" t="b">
        <f>COUNTIFS(ITEquipmentTable[Name], ITEquipmentTable[[#This Row],[Name]], ITEquipmentTable[Name], "&lt;&gt;&lt;Unassigned&gt;",  ITEquipmentTable[Name], "&lt;&gt;N/A") &gt; 1</f>
        <v>0</v>
      </c>
      <c r="M516" s="168" t="b">
        <f>AND(COUNTIFS(ITEquipmentTable[IPv4 Address], ITEquipmentTable[[#This Row],[IPv4 Address]]) &gt; 1, ITEquipmentTable[[#This Row],[IPv4 Address]] &lt;&gt; "DHCP",  ITEquipmentTable[[#This Row],[IPv4 Address]] &lt;&gt; "N/A")</f>
        <v>0</v>
      </c>
    </row>
    <row r="517" spans="1:13" x14ac:dyDescent="0.2">
      <c r="A517" s="168">
        <f>IF(LEN(ITSecondTable[[#This Row],[Tag]]) &gt; 0, _xlfn.XLOOKUP(ITSecondTable[[#This Row],[Tag]],StorageTable[Tag], StorageTable[In Storage - Count Total], "Err", 0, 1), 0)</f>
        <v>0</v>
      </c>
      <c r="B517" s="1">
        <f>_xlfn.LET(_xlpm.loc, ITEquipmentTable[Storage Location],
COUNTIFS(ITSecondTable[Tag], ITSecondTable[[#This Row],[Tag]], _xlpm.loc, "&lt;&gt;In Use", _xlpm.loc, "&lt;&gt;",  _xlpm.loc, "&lt;&gt;E-Waste", _xlpm.loc, "&lt;&gt;Virtual",  _xlpm.loc, "&lt;&gt;Assigned to Employee", _xlpm.loc, "&lt;&gt;Decommisioned", _xlpm.loc, "&lt;&gt;Missing")
)</f>
        <v>1</v>
      </c>
      <c r="C517" s="1">
        <f>_xlfn.LET(_xlpm.loc, ITEquipmentTable[Storage Location],
COUNTIFS(ITSecondTable[Tag], ITSecondTable[[#This Row],[Tag]], _xlpm.loc, "&lt;&gt;E-Waste", _xlpm.loc, "&lt;&gt;Virtual", _xlpm.loc, "&lt;&gt;Decommisioned")
)</f>
        <v>1</v>
      </c>
      <c r="D517" s="168">
        <f>_xlfn.LET(_xlpm.loc, ITEquipmentTable[Storage Location],
COUNTIFS(ITSecondTable[Tag], ITSecondTable[[#This Row],[Tag]], _xlpm.loc, "Missing")
)</f>
        <v>0</v>
      </c>
      <c r="E517" s="168">
        <f>_xlfn.LET(_xlpm.loc, ITEquipmentTable[Storage Location],
COUNTIFS(ITSecondTable[Tag], ITSecondTable[[#This Row],[Tag]], _xlpm.loc, "In Use") + COUNTIFS(ITSecondTable[Tag], ITSecondTable[[#This Row],[Tag]], _xlpm.loc, "Assigned to Employee")
)</f>
        <v>0</v>
      </c>
      <c r="F517" s="168">
        <f>_xlfn.LET(_xlpm.loc, ITEquipmentTable[Storage Location],
COUNTIFS(ITSecondTable[Tag], ITSecondTable[[#This Row],[Tag]], _xlpm.loc, "")
)</f>
        <v>0</v>
      </c>
      <c r="G517" s="168">
        <f>MAX(ITSecondTable[[#This Row],[SQty]] - ITSecondTable[[#This Row],[IQty]], 0)</f>
        <v>1</v>
      </c>
      <c r="H517" s="168">
        <f>MAX(ITSecondTable[[#This Row],[IQty]]-ITSecondTable[[#This Row],[SQty]], 0)</f>
        <v>0</v>
      </c>
      <c r="I517" s="151" t="str">
        <f>IFERROR(_xlfn.TEXTJOIN("~", TRUE, ITEquipmentTable[[#This Row],[Type]],ITEquipmentTable[[#This Row],[Brand]],ITEquipmentTable[[#This Row],[Model]]), "")</f>
        <v>Printer~Honeywell~PM43</v>
      </c>
      <c r="J517" s="151" t="b">
        <f xml:space="preserve"> _xlfn.IFNA(MATCH( ITSecondTable[[#This Row],[Tag]], StorageTable[Tag], 0)  &gt; -1, FALSE)</f>
        <v>0</v>
      </c>
      <c r="K517" s="168" t="b">
        <f>COUNTIFS(ITEquipmentTable[Serial], ITEquipmentTable[[#This Row],[Serial]], ITEquipmentTable[Serial], "&lt;&gt;N/A") &gt; 1</f>
        <v>0</v>
      </c>
      <c r="L517" s="168" t="b">
        <f>COUNTIFS(ITEquipmentTable[Name], ITEquipmentTable[[#This Row],[Name]], ITEquipmentTable[Name], "&lt;&gt;&lt;Unassigned&gt;",  ITEquipmentTable[Name], "&lt;&gt;N/A") &gt; 1</f>
        <v>0</v>
      </c>
      <c r="M517" s="168" t="b">
        <f>AND(COUNTIFS(ITEquipmentTable[IPv4 Address], ITEquipmentTable[[#This Row],[IPv4 Address]]) &gt; 1, ITEquipmentTable[[#This Row],[IPv4 Address]] &lt;&gt; "DHCP",  ITEquipmentTable[[#This Row],[IPv4 Address]] &lt;&gt; "N/A")</f>
        <v>0</v>
      </c>
    </row>
    <row r="518" spans="1:13" x14ac:dyDescent="0.2">
      <c r="A518" s="168">
        <f>IF(LEN(ITSecondTable[[#This Row],[Tag]]) &gt; 0, _xlfn.XLOOKUP(ITSecondTable[[#This Row],[Tag]],StorageTable[Tag], StorageTable[In Storage - Count Total], "Err", 0, 1), 0)</f>
        <v>1</v>
      </c>
      <c r="B518" s="1">
        <f>_xlfn.LET(_xlpm.loc, ITEquipmentTable[Storage Location],
COUNTIFS(ITSecondTable[Tag], ITSecondTable[[#This Row],[Tag]], _xlpm.loc, "&lt;&gt;In Use", _xlpm.loc, "&lt;&gt;",  _xlpm.loc, "&lt;&gt;E-Waste", _xlpm.loc, "&lt;&gt;Virtual",  _xlpm.loc, "&lt;&gt;Assigned to Employee", _xlpm.loc, "&lt;&gt;Decommisioned", _xlpm.loc, "&lt;&gt;Missing")
)</f>
        <v>1</v>
      </c>
      <c r="C518" s="1">
        <f>_xlfn.LET(_xlpm.loc, ITEquipmentTable[Storage Location],
COUNTIFS(ITSecondTable[Tag], ITSecondTable[[#This Row],[Tag]], _xlpm.loc, "&lt;&gt;E-Waste", _xlpm.loc, "&lt;&gt;Virtual", _xlpm.loc, "&lt;&gt;Decommisioned")
)</f>
        <v>1</v>
      </c>
      <c r="D518" s="168">
        <f>_xlfn.LET(_xlpm.loc, ITEquipmentTable[Storage Location],
COUNTIFS(ITSecondTable[Tag], ITSecondTable[[#This Row],[Tag]], _xlpm.loc, "Missing")
)</f>
        <v>0</v>
      </c>
      <c r="E518" s="168">
        <f>_xlfn.LET(_xlpm.loc, ITEquipmentTable[Storage Location],
COUNTIFS(ITSecondTable[Tag], ITSecondTable[[#This Row],[Tag]], _xlpm.loc, "In Use") + COUNTIFS(ITSecondTable[Tag], ITSecondTable[[#This Row],[Tag]], _xlpm.loc, "Assigned to Employee")
)</f>
        <v>0</v>
      </c>
      <c r="F518" s="168">
        <f>_xlfn.LET(_xlpm.loc, ITEquipmentTable[Storage Location],
COUNTIFS(ITSecondTable[Tag], ITSecondTable[[#This Row],[Tag]], _xlpm.loc, "")
)</f>
        <v>0</v>
      </c>
      <c r="G518" s="168">
        <f>MAX(ITSecondTable[[#This Row],[SQty]] - ITSecondTable[[#This Row],[IQty]], 0)</f>
        <v>0</v>
      </c>
      <c r="H518" s="168">
        <f>MAX(ITSecondTable[[#This Row],[IQty]]-ITSecondTable[[#This Row],[SQty]], 0)</f>
        <v>0</v>
      </c>
      <c r="I518" s="151" t="str">
        <f>IFERROR(_xlfn.TEXTJOIN("~", TRUE, ITEquipmentTable[[#This Row],[Type]],ITEquipmentTable[[#This Row],[Brand]],ITEquipmentTable[[#This Row],[Model]]), "")</f>
        <v>Router~ASUS~RT-N12</v>
      </c>
      <c r="J518" s="151" t="b">
        <f xml:space="preserve"> _xlfn.IFNA(MATCH( ITSecondTable[[#This Row],[Tag]], StorageTable[Tag], 0)  &gt; -1, FALSE)</f>
        <v>0</v>
      </c>
      <c r="K518" s="168" t="b">
        <f>COUNTIFS(ITEquipmentTable[Serial], ITEquipmentTable[[#This Row],[Serial]], ITEquipmentTable[Serial], "&lt;&gt;N/A") &gt; 1</f>
        <v>0</v>
      </c>
      <c r="L518" s="168" t="b">
        <f>COUNTIFS(ITEquipmentTable[Name], ITEquipmentTable[[#This Row],[Name]], ITEquipmentTable[Name], "&lt;&gt;&lt;Unassigned&gt;",  ITEquipmentTable[Name], "&lt;&gt;N/A") &gt; 1</f>
        <v>0</v>
      </c>
      <c r="M518" s="168" t="b">
        <f>AND(COUNTIFS(ITEquipmentTable[IPv4 Address], ITEquipmentTable[[#This Row],[IPv4 Address]]) &gt; 1, ITEquipmentTable[[#This Row],[IPv4 Address]] &lt;&gt; "DHCP",  ITEquipmentTable[[#This Row],[IPv4 Address]] &lt;&gt; "N/A")</f>
        <v>0</v>
      </c>
    </row>
    <row r="519" spans="1:13" x14ac:dyDescent="0.2">
      <c r="A519" s="168">
        <f>IF(LEN(ITSecondTable[[#This Row],[Tag]]) &gt; 0, _xlfn.XLOOKUP(ITSecondTable[[#This Row],[Tag]],StorageTable[Tag], StorageTable[In Storage - Count Total], "Err", 0, 1), 0)</f>
        <v>1</v>
      </c>
      <c r="B519" s="1">
        <f>_xlfn.LET(_xlpm.loc, ITEquipmentTable[Storage Location],
COUNTIFS(ITSecondTable[Tag], ITSecondTable[[#This Row],[Tag]], _xlpm.loc, "&lt;&gt;In Use", _xlpm.loc, "&lt;&gt;",  _xlpm.loc, "&lt;&gt;E-Waste", _xlpm.loc, "&lt;&gt;Virtual",  _xlpm.loc, "&lt;&gt;Assigned to Employee", _xlpm.loc, "&lt;&gt;Decommisioned", _xlpm.loc, "&lt;&gt;Missing")
)</f>
        <v>1</v>
      </c>
      <c r="C519" s="1">
        <f>_xlfn.LET(_xlpm.loc, ITEquipmentTable[Storage Location],
COUNTIFS(ITSecondTable[Tag], ITSecondTable[[#This Row],[Tag]], _xlpm.loc, "&lt;&gt;E-Waste", _xlpm.loc, "&lt;&gt;Virtual", _xlpm.loc, "&lt;&gt;Decommisioned")
)</f>
        <v>1</v>
      </c>
      <c r="D519" s="168">
        <f>_xlfn.LET(_xlpm.loc, ITEquipmentTable[Storage Location],
COUNTIFS(ITSecondTable[Tag], ITSecondTable[[#This Row],[Tag]], _xlpm.loc, "Missing")
)</f>
        <v>0</v>
      </c>
      <c r="E519" s="168">
        <f>_xlfn.LET(_xlpm.loc, ITEquipmentTable[Storage Location],
COUNTIFS(ITSecondTable[Tag], ITSecondTable[[#This Row],[Tag]], _xlpm.loc, "In Use") + COUNTIFS(ITSecondTable[Tag], ITSecondTable[[#This Row],[Tag]], _xlpm.loc, "Assigned to Employee")
)</f>
        <v>0</v>
      </c>
      <c r="F519" s="168">
        <f>_xlfn.LET(_xlpm.loc, ITEquipmentTable[Storage Location],
COUNTIFS(ITSecondTable[Tag], ITSecondTable[[#This Row],[Tag]], _xlpm.loc, "")
)</f>
        <v>0</v>
      </c>
      <c r="G519" s="168">
        <f>MAX(ITSecondTable[[#This Row],[SQty]] - ITSecondTable[[#This Row],[IQty]], 0)</f>
        <v>0</v>
      </c>
      <c r="H519" s="168">
        <f>MAX(ITSecondTable[[#This Row],[IQty]]-ITSecondTable[[#This Row],[SQty]], 0)</f>
        <v>0</v>
      </c>
      <c r="I519" s="151" t="str">
        <f>IFERROR(_xlfn.TEXTJOIN("~", TRUE, ITEquipmentTable[[#This Row],[Type]],ITEquipmentTable[[#This Row],[Brand]],ITEquipmentTable[[#This Row],[Model]]), "")</f>
        <v>Router~ASUS~RT-N300 B1</v>
      </c>
      <c r="J519" s="151" t="b">
        <f xml:space="preserve"> _xlfn.IFNA(MATCH( ITSecondTable[[#This Row],[Tag]], StorageTable[Tag], 0)  &gt; -1, FALSE)</f>
        <v>0</v>
      </c>
      <c r="K519" s="168" t="b">
        <f>COUNTIFS(ITEquipmentTable[Serial], ITEquipmentTable[[#This Row],[Serial]], ITEquipmentTable[Serial], "&lt;&gt;N/A") &gt; 1</f>
        <v>0</v>
      </c>
      <c r="L519" s="168" t="b">
        <f>COUNTIFS(ITEquipmentTable[Name], ITEquipmentTable[[#This Row],[Name]], ITEquipmentTable[Name], "&lt;&gt;&lt;Unassigned&gt;",  ITEquipmentTable[Name], "&lt;&gt;N/A") &gt; 1</f>
        <v>0</v>
      </c>
      <c r="M519" s="168" t="b">
        <f>AND(COUNTIFS(ITEquipmentTable[IPv4 Address], ITEquipmentTable[[#This Row],[IPv4 Address]]) &gt; 1, ITEquipmentTable[[#This Row],[IPv4 Address]] &lt;&gt; "DHCP",  ITEquipmentTable[[#This Row],[IPv4 Address]] &lt;&gt; "N/A")</f>
        <v>0</v>
      </c>
    </row>
    <row r="520" spans="1:13" x14ac:dyDescent="0.2">
      <c r="A520" s="168">
        <f>IF(LEN(ITSecondTable[[#This Row],[Tag]]) &gt; 0, _xlfn.XLOOKUP(ITSecondTable[[#This Row],[Tag]],StorageTable[Tag], StorageTable[In Storage - Count Total], "Err", 0, 1), 0)</f>
        <v>0</v>
      </c>
      <c r="B520" s="1">
        <f>_xlfn.LET(_xlpm.loc, ITEquipmentTable[Storage Location],
COUNTIFS(ITSecondTable[Tag], ITSecondTable[[#This Row],[Tag]], _xlpm.loc, "&lt;&gt;In Use", _xlpm.loc, "&lt;&gt;",  _xlpm.loc, "&lt;&gt;E-Waste", _xlpm.loc, "&lt;&gt;Virtual",  _xlpm.loc, "&lt;&gt;Assigned to Employee", _xlpm.loc, "&lt;&gt;Decommisioned", _xlpm.loc, "&lt;&gt;Missing")
)</f>
        <v>4</v>
      </c>
      <c r="C520" s="1">
        <f>_xlfn.LET(_xlpm.loc, ITEquipmentTable[Storage Location],
COUNTIFS(ITSecondTable[Tag], ITSecondTable[[#This Row],[Tag]], _xlpm.loc, "&lt;&gt;E-Waste", _xlpm.loc, "&lt;&gt;Virtual", _xlpm.loc, "&lt;&gt;Decommisioned")
)</f>
        <v>4</v>
      </c>
      <c r="D520" s="168">
        <f>_xlfn.LET(_xlpm.loc, ITEquipmentTable[Storage Location],
COUNTIFS(ITSecondTable[Tag], ITSecondTable[[#This Row],[Tag]], _xlpm.loc, "Missing")
)</f>
        <v>0</v>
      </c>
      <c r="E520" s="168">
        <f>_xlfn.LET(_xlpm.loc, ITEquipmentTable[Storage Location],
COUNTIFS(ITSecondTable[Tag], ITSecondTable[[#This Row],[Tag]], _xlpm.loc, "In Use") + COUNTIFS(ITSecondTable[Tag], ITSecondTable[[#This Row],[Tag]], _xlpm.loc, "Assigned to Employee")
)</f>
        <v>0</v>
      </c>
      <c r="F520" s="168">
        <f>_xlfn.LET(_xlpm.loc, ITEquipmentTable[Storage Location],
COUNTIFS(ITSecondTable[Tag], ITSecondTable[[#This Row],[Tag]], _xlpm.loc, "")
)</f>
        <v>0</v>
      </c>
      <c r="G520" s="168">
        <f>MAX(ITSecondTable[[#This Row],[SQty]] - ITSecondTable[[#This Row],[IQty]], 0)</f>
        <v>4</v>
      </c>
      <c r="H520" s="168">
        <f>MAX(ITSecondTable[[#This Row],[IQty]]-ITSecondTable[[#This Row],[SQty]], 0)</f>
        <v>0</v>
      </c>
      <c r="I520" s="151" t="str">
        <f>IFERROR(_xlfn.TEXTJOIN("~", TRUE, ITEquipmentTable[[#This Row],[Type]],ITEquipmentTable[[#This Row],[Brand]],ITEquipmentTable[[#This Row],[Model]]), "")</f>
        <v>APC~APC~SC620</v>
      </c>
      <c r="J520" s="151" t="b">
        <f xml:space="preserve"> _xlfn.IFNA(MATCH( ITSecondTable[[#This Row],[Tag]], StorageTable[Tag], 0)  &gt; -1, FALSE)</f>
        <v>0</v>
      </c>
      <c r="K520" s="168" t="b">
        <f>COUNTIFS(ITEquipmentTable[Serial], ITEquipmentTable[[#This Row],[Serial]], ITEquipmentTable[Serial], "&lt;&gt;N/A") &gt; 1</f>
        <v>0</v>
      </c>
      <c r="L520" s="168" t="b">
        <f>COUNTIFS(ITEquipmentTable[Name], ITEquipmentTable[[#This Row],[Name]], ITEquipmentTable[Name], "&lt;&gt;&lt;Unassigned&gt;",  ITEquipmentTable[Name], "&lt;&gt;N/A") &gt; 1</f>
        <v>0</v>
      </c>
      <c r="M520" s="168" t="b">
        <f>AND(COUNTIFS(ITEquipmentTable[IPv4 Address], ITEquipmentTable[[#This Row],[IPv4 Address]]) &gt; 1, ITEquipmentTable[[#This Row],[IPv4 Address]] &lt;&gt; "DHCP",  ITEquipmentTable[[#This Row],[IPv4 Address]] &lt;&gt; "N/A")</f>
        <v>0</v>
      </c>
    </row>
    <row r="521" spans="1:13" x14ac:dyDescent="0.2">
      <c r="A521" s="168">
        <f>IF(LEN(ITSecondTable[[#This Row],[Tag]]) &gt; 0, _xlfn.XLOOKUP(ITSecondTable[[#This Row],[Tag]],StorageTable[Tag], StorageTable[In Storage - Count Total], "Err", 0, 1), 0)</f>
        <v>2</v>
      </c>
      <c r="B521" s="1">
        <f>_xlfn.LET(_xlpm.loc, ITEquipmentTable[Storage Location],
COUNTIFS(ITSecondTable[Tag], ITSecondTable[[#This Row],[Tag]], _xlpm.loc, "&lt;&gt;In Use", _xlpm.loc, "&lt;&gt;",  _xlpm.loc, "&lt;&gt;E-Waste", _xlpm.loc, "&lt;&gt;Virtual",  _xlpm.loc, "&lt;&gt;Assigned to Employee", _xlpm.loc, "&lt;&gt;Decommisioned", _xlpm.loc, "&lt;&gt;Missing")
)</f>
        <v>2</v>
      </c>
      <c r="C521" s="1">
        <f>_xlfn.LET(_xlpm.loc, ITEquipmentTable[Storage Location],
COUNTIFS(ITSecondTable[Tag], ITSecondTable[[#This Row],[Tag]], _xlpm.loc, "&lt;&gt;E-Waste", _xlpm.loc, "&lt;&gt;Virtual", _xlpm.loc, "&lt;&gt;Decommisioned")
)</f>
        <v>12</v>
      </c>
      <c r="D521" s="168">
        <f>_xlfn.LET(_xlpm.loc, ITEquipmentTable[Storage Location],
COUNTIFS(ITSecondTable[Tag], ITSecondTable[[#This Row],[Tag]], _xlpm.loc, "Missing")
)</f>
        <v>0</v>
      </c>
      <c r="E521" s="168">
        <f>_xlfn.LET(_xlpm.loc, ITEquipmentTable[Storage Location],
COUNTIFS(ITSecondTable[Tag], ITSecondTable[[#This Row],[Tag]], _xlpm.loc, "In Use") + COUNTIFS(ITSecondTable[Tag], ITSecondTable[[#This Row],[Tag]], _xlpm.loc, "Assigned to Employee")
)</f>
        <v>3</v>
      </c>
      <c r="F521" s="168">
        <f>_xlfn.LET(_xlpm.loc, ITEquipmentTable[Storage Location],
COUNTIFS(ITSecondTable[Tag], ITSecondTable[[#This Row],[Tag]], _xlpm.loc, "")
)</f>
        <v>7</v>
      </c>
      <c r="G521" s="168">
        <f>MAX(ITSecondTable[[#This Row],[SQty]] - ITSecondTable[[#This Row],[IQty]], 0)</f>
        <v>0</v>
      </c>
      <c r="H521" s="168">
        <f>MAX(ITSecondTable[[#This Row],[IQty]]-ITSecondTable[[#This Row],[SQty]], 0)</f>
        <v>0</v>
      </c>
      <c r="I521" s="151" t="str">
        <f>IFERROR(_xlfn.TEXTJOIN("~", TRUE, ITEquipmentTable[[#This Row],[Type]],ITEquipmentTable[[#This Row],[Brand]],ITEquipmentTable[[#This Row],[Model]]), "")</f>
        <v>Radio~Motorola~SL300</v>
      </c>
      <c r="J521" s="151" t="b">
        <f xml:space="preserve"> _xlfn.IFNA(MATCH( ITSecondTable[[#This Row],[Tag]], StorageTable[Tag], 0)  &gt; -1, FALSE)</f>
        <v>0</v>
      </c>
      <c r="K521" s="168" t="b">
        <f>COUNTIFS(ITEquipmentTable[Serial], ITEquipmentTable[[#This Row],[Serial]], ITEquipmentTable[Serial], "&lt;&gt;N/A") &gt; 1</f>
        <v>0</v>
      </c>
      <c r="L521" s="168" t="b">
        <f>COUNTIFS(ITEquipmentTable[Name], ITEquipmentTable[[#This Row],[Name]], ITEquipmentTable[Name], "&lt;&gt;&lt;Unassigned&gt;",  ITEquipmentTable[Name], "&lt;&gt;N/A") &gt; 1</f>
        <v>0</v>
      </c>
      <c r="M521" s="168" t="b">
        <f>AND(COUNTIFS(ITEquipmentTable[IPv4 Address], ITEquipmentTable[[#This Row],[IPv4 Address]]) &gt; 1, ITEquipmentTable[[#This Row],[IPv4 Address]] &lt;&gt; "DHCP",  ITEquipmentTable[[#This Row],[IPv4 Address]] &lt;&gt; "N/A")</f>
        <v>0</v>
      </c>
    </row>
    <row r="522" spans="1:13" x14ac:dyDescent="0.2">
      <c r="A522" s="168">
        <f>IF(LEN(ITSecondTable[[#This Row],[Tag]]) &gt; 0, _xlfn.XLOOKUP(ITSecondTable[[#This Row],[Tag]],StorageTable[Tag], StorageTable[In Storage - Count Total], "Err", 0, 1), 0)</f>
        <v>2</v>
      </c>
      <c r="B522" s="1">
        <f>_xlfn.LET(_xlpm.loc, ITEquipmentTable[Storage Location],
COUNTIFS(ITSecondTable[Tag], ITSecondTable[[#This Row],[Tag]], _xlpm.loc, "&lt;&gt;In Use", _xlpm.loc, "&lt;&gt;",  _xlpm.loc, "&lt;&gt;E-Waste", _xlpm.loc, "&lt;&gt;Virtual",  _xlpm.loc, "&lt;&gt;Assigned to Employee", _xlpm.loc, "&lt;&gt;Decommisioned", _xlpm.loc, "&lt;&gt;Missing")
)</f>
        <v>2</v>
      </c>
      <c r="C522" s="1">
        <f>_xlfn.LET(_xlpm.loc, ITEquipmentTable[Storage Location],
COUNTIFS(ITSecondTable[Tag], ITSecondTable[[#This Row],[Tag]], _xlpm.loc, "&lt;&gt;E-Waste", _xlpm.loc, "&lt;&gt;Virtual", _xlpm.loc, "&lt;&gt;Decommisioned")
)</f>
        <v>12</v>
      </c>
      <c r="D522" s="168">
        <f>_xlfn.LET(_xlpm.loc, ITEquipmentTable[Storage Location],
COUNTIFS(ITSecondTable[Tag], ITSecondTable[[#This Row],[Tag]], _xlpm.loc, "Missing")
)</f>
        <v>0</v>
      </c>
      <c r="E522" s="168">
        <f>_xlfn.LET(_xlpm.loc, ITEquipmentTable[Storage Location],
COUNTIFS(ITSecondTable[Tag], ITSecondTable[[#This Row],[Tag]], _xlpm.loc, "In Use") + COUNTIFS(ITSecondTable[Tag], ITSecondTable[[#This Row],[Tag]], _xlpm.loc, "Assigned to Employee")
)</f>
        <v>3</v>
      </c>
      <c r="F522" s="168">
        <f>_xlfn.LET(_xlpm.loc, ITEquipmentTable[Storage Location],
COUNTIFS(ITSecondTable[Tag], ITSecondTable[[#This Row],[Tag]], _xlpm.loc, "")
)</f>
        <v>7</v>
      </c>
      <c r="G522" s="168">
        <f>MAX(ITSecondTable[[#This Row],[SQty]] - ITSecondTable[[#This Row],[IQty]], 0)</f>
        <v>0</v>
      </c>
      <c r="H522" s="168">
        <f>MAX(ITSecondTable[[#This Row],[IQty]]-ITSecondTable[[#This Row],[SQty]], 0)</f>
        <v>0</v>
      </c>
      <c r="I522" s="151" t="str">
        <f>IFERROR(_xlfn.TEXTJOIN("~", TRUE, ITEquipmentTable[[#This Row],[Type]],ITEquipmentTable[[#This Row],[Brand]],ITEquipmentTable[[#This Row],[Model]]), "")</f>
        <v>Radio~Motorola~SL300</v>
      </c>
      <c r="J522" s="151" t="b">
        <f xml:space="preserve"> _xlfn.IFNA(MATCH( ITSecondTable[[#This Row],[Tag]], StorageTable[Tag], 0)  &gt; -1, FALSE)</f>
        <v>0</v>
      </c>
      <c r="K522" s="168" t="b">
        <f>COUNTIFS(ITEquipmentTable[Serial], ITEquipmentTable[[#This Row],[Serial]], ITEquipmentTable[Serial], "&lt;&gt;N/A") &gt; 1</f>
        <v>0</v>
      </c>
      <c r="L522" s="168" t="b">
        <f>COUNTIFS(ITEquipmentTable[Name], ITEquipmentTable[[#This Row],[Name]], ITEquipmentTable[Name], "&lt;&gt;&lt;Unassigned&gt;",  ITEquipmentTable[Name], "&lt;&gt;N/A") &gt; 1</f>
        <v>0</v>
      </c>
      <c r="M522" s="168" t="b">
        <f>AND(COUNTIFS(ITEquipmentTable[IPv4 Address], ITEquipmentTable[[#This Row],[IPv4 Address]]) &gt; 1, ITEquipmentTable[[#This Row],[IPv4 Address]] &lt;&gt; "DHCP",  ITEquipmentTable[[#This Row],[IPv4 Address]] &lt;&gt; "N/A")</f>
        <v>0</v>
      </c>
    </row>
    <row r="523" spans="1:13" x14ac:dyDescent="0.2">
      <c r="A523" s="168">
        <f>IF(LEN(ITSecondTable[[#This Row],[Tag]]) &gt; 0, _xlfn.XLOOKUP(ITSecondTable[[#This Row],[Tag]],StorageTable[Tag], StorageTable[In Storage - Count Total], "Err", 0, 1), 0)</f>
        <v>10</v>
      </c>
      <c r="B523" s="1">
        <f>_xlfn.LET(_xlpm.loc, ITEquipmentTable[Storage Location],
COUNTIFS(ITSecondTable[Tag], ITSecondTable[[#This Row],[Tag]], _xlpm.loc, "&lt;&gt;In Use", _xlpm.loc, "&lt;&gt;",  _xlpm.loc, "&lt;&gt;E-Waste", _xlpm.loc, "&lt;&gt;Virtual",  _xlpm.loc, "&lt;&gt;Assigned to Employee", _xlpm.loc, "&lt;&gt;Decommisioned", _xlpm.loc, "&lt;&gt;Missing")
)</f>
        <v>10</v>
      </c>
      <c r="C523" s="1">
        <f>_xlfn.LET(_xlpm.loc, ITEquipmentTable[Storage Location],
COUNTIFS(ITSecondTable[Tag], ITSecondTable[[#This Row],[Tag]], _xlpm.loc, "&lt;&gt;E-Waste", _xlpm.loc, "&lt;&gt;Virtual", _xlpm.loc, "&lt;&gt;Decommisioned")
)</f>
        <v>10</v>
      </c>
      <c r="D523" s="168">
        <f>_xlfn.LET(_xlpm.loc, ITEquipmentTable[Storage Location],
COUNTIFS(ITSecondTable[Tag], ITSecondTable[[#This Row],[Tag]], _xlpm.loc, "Missing")
)</f>
        <v>0</v>
      </c>
      <c r="E523" s="168">
        <f>_xlfn.LET(_xlpm.loc, ITEquipmentTable[Storage Location],
COUNTIFS(ITSecondTable[Tag], ITSecondTable[[#This Row],[Tag]], _xlpm.loc, "In Use") + COUNTIFS(ITSecondTable[Tag], ITSecondTable[[#This Row],[Tag]], _xlpm.loc, "Assigned to Employee")
)</f>
        <v>0</v>
      </c>
      <c r="F523" s="168">
        <f>_xlfn.LET(_xlpm.loc, ITEquipmentTable[Storage Location],
COUNTIFS(ITSecondTable[Tag], ITSecondTable[[#This Row],[Tag]], _xlpm.loc, "")
)</f>
        <v>0</v>
      </c>
      <c r="G523" s="168">
        <f>MAX(ITSecondTable[[#This Row],[SQty]] - ITSecondTable[[#This Row],[IQty]], 0)</f>
        <v>0</v>
      </c>
      <c r="H523" s="168">
        <f>MAX(ITSecondTable[[#This Row],[IQty]]-ITSecondTable[[#This Row],[SQty]], 0)</f>
        <v>0</v>
      </c>
      <c r="I523" s="151" t="str">
        <f>IFERROR(_xlfn.TEXTJOIN("~", TRUE, ITEquipmentTable[[#This Row],[Type]],ITEquipmentTable[[#This Row],[Brand]],ITEquipmentTable[[#This Row],[Model]]), "")</f>
        <v>Radio~Motorola~SL300 (2 Channel)</v>
      </c>
      <c r="J523" s="151" t="b">
        <f xml:space="preserve"> _xlfn.IFNA(MATCH( ITSecondTable[[#This Row],[Tag]], StorageTable[Tag], 0)  &gt; -1, FALSE)</f>
        <v>0</v>
      </c>
      <c r="K523" s="168" t="b">
        <f>COUNTIFS(ITEquipmentTable[Serial], ITEquipmentTable[[#This Row],[Serial]], ITEquipmentTable[Serial], "&lt;&gt;N/A") &gt; 1</f>
        <v>0</v>
      </c>
      <c r="L523" s="168" t="b">
        <f>COUNTIFS(ITEquipmentTable[Name], ITEquipmentTable[[#This Row],[Name]], ITEquipmentTable[Name], "&lt;&gt;&lt;Unassigned&gt;",  ITEquipmentTable[Name], "&lt;&gt;N/A") &gt; 1</f>
        <v>0</v>
      </c>
      <c r="M523" s="168" t="b">
        <f>AND(COUNTIFS(ITEquipmentTable[IPv4 Address], ITEquipmentTable[[#This Row],[IPv4 Address]]) &gt; 1, ITEquipmentTable[[#This Row],[IPv4 Address]] &lt;&gt; "DHCP",  ITEquipmentTable[[#This Row],[IPv4 Address]] &lt;&gt; "N/A")</f>
        <v>0</v>
      </c>
    </row>
    <row r="524" spans="1:13" x14ac:dyDescent="0.2">
      <c r="A524" s="168">
        <f>IF(LEN(ITSecondTable[[#This Row],[Tag]]) &gt; 0, _xlfn.XLOOKUP(ITSecondTable[[#This Row],[Tag]],StorageTable[Tag], StorageTable[In Storage - Count Total], "Err", 0, 1), 0)</f>
        <v>10</v>
      </c>
      <c r="B524" s="1">
        <f>_xlfn.LET(_xlpm.loc, ITEquipmentTable[Storage Location],
COUNTIFS(ITSecondTable[Tag], ITSecondTable[[#This Row],[Tag]], _xlpm.loc, "&lt;&gt;In Use", _xlpm.loc, "&lt;&gt;",  _xlpm.loc, "&lt;&gt;E-Waste", _xlpm.loc, "&lt;&gt;Virtual",  _xlpm.loc, "&lt;&gt;Assigned to Employee", _xlpm.loc, "&lt;&gt;Decommisioned", _xlpm.loc, "&lt;&gt;Missing")
)</f>
        <v>10</v>
      </c>
      <c r="C524" s="1">
        <f>_xlfn.LET(_xlpm.loc, ITEquipmentTable[Storage Location],
COUNTIFS(ITSecondTable[Tag], ITSecondTable[[#This Row],[Tag]], _xlpm.loc, "&lt;&gt;E-Waste", _xlpm.loc, "&lt;&gt;Virtual", _xlpm.loc, "&lt;&gt;Decommisioned")
)</f>
        <v>10</v>
      </c>
      <c r="D524" s="168">
        <f>_xlfn.LET(_xlpm.loc, ITEquipmentTable[Storage Location],
COUNTIFS(ITSecondTable[Tag], ITSecondTable[[#This Row],[Tag]], _xlpm.loc, "Missing")
)</f>
        <v>0</v>
      </c>
      <c r="E524" s="168">
        <f>_xlfn.LET(_xlpm.loc, ITEquipmentTable[Storage Location],
COUNTIFS(ITSecondTable[Tag], ITSecondTable[[#This Row],[Tag]], _xlpm.loc, "In Use") + COUNTIFS(ITSecondTable[Tag], ITSecondTable[[#This Row],[Tag]], _xlpm.loc, "Assigned to Employee")
)</f>
        <v>0</v>
      </c>
      <c r="F524" s="168">
        <f>_xlfn.LET(_xlpm.loc, ITEquipmentTable[Storage Location],
COUNTIFS(ITSecondTable[Tag], ITSecondTable[[#This Row],[Tag]], _xlpm.loc, "")
)</f>
        <v>0</v>
      </c>
      <c r="G524" s="168">
        <f>MAX(ITSecondTable[[#This Row],[SQty]] - ITSecondTable[[#This Row],[IQty]], 0)</f>
        <v>0</v>
      </c>
      <c r="H524" s="168">
        <f>MAX(ITSecondTable[[#This Row],[IQty]]-ITSecondTable[[#This Row],[SQty]], 0)</f>
        <v>0</v>
      </c>
      <c r="I524" s="151" t="str">
        <f>IFERROR(_xlfn.TEXTJOIN("~", TRUE, ITEquipmentTable[[#This Row],[Type]],ITEquipmentTable[[#This Row],[Brand]],ITEquipmentTable[[#This Row],[Model]]), "")</f>
        <v>Radio~Motorola~SL300 (2 Channel)</v>
      </c>
      <c r="J524" s="151" t="b">
        <f xml:space="preserve"> _xlfn.IFNA(MATCH( ITSecondTable[[#This Row],[Tag]], StorageTable[Tag], 0)  &gt; -1, FALSE)</f>
        <v>0</v>
      </c>
      <c r="K524" s="168" t="b">
        <f>COUNTIFS(ITEquipmentTable[Serial], ITEquipmentTable[[#This Row],[Serial]], ITEquipmentTable[Serial], "&lt;&gt;N/A") &gt; 1</f>
        <v>0</v>
      </c>
      <c r="L524" s="168" t="b">
        <f>COUNTIFS(ITEquipmentTable[Name], ITEquipmentTable[[#This Row],[Name]], ITEquipmentTable[Name], "&lt;&gt;&lt;Unassigned&gt;",  ITEquipmentTable[Name], "&lt;&gt;N/A") &gt; 1</f>
        <v>0</v>
      </c>
      <c r="M524" s="168" t="b">
        <f>AND(COUNTIFS(ITEquipmentTable[IPv4 Address], ITEquipmentTable[[#This Row],[IPv4 Address]]) &gt; 1, ITEquipmentTable[[#This Row],[IPv4 Address]] &lt;&gt; "DHCP",  ITEquipmentTable[[#This Row],[IPv4 Address]] &lt;&gt; "N/A")</f>
        <v>0</v>
      </c>
    </row>
    <row r="525" spans="1:13" x14ac:dyDescent="0.2">
      <c r="A525" s="168">
        <f>IF(LEN(ITSecondTable[[#This Row],[Tag]]) &gt; 0, _xlfn.XLOOKUP(ITSecondTable[[#This Row],[Tag]],StorageTable[Tag], StorageTable[In Storage - Count Total], "Err", 0, 1), 0)</f>
        <v>10</v>
      </c>
      <c r="B525" s="1">
        <f>_xlfn.LET(_xlpm.loc, ITEquipmentTable[Storage Location],
COUNTIFS(ITSecondTable[Tag], ITSecondTable[[#This Row],[Tag]], _xlpm.loc, "&lt;&gt;In Use", _xlpm.loc, "&lt;&gt;",  _xlpm.loc, "&lt;&gt;E-Waste", _xlpm.loc, "&lt;&gt;Virtual",  _xlpm.loc, "&lt;&gt;Assigned to Employee", _xlpm.loc, "&lt;&gt;Decommisioned", _xlpm.loc, "&lt;&gt;Missing")
)</f>
        <v>10</v>
      </c>
      <c r="C525" s="1">
        <f>_xlfn.LET(_xlpm.loc, ITEquipmentTable[Storage Location],
COUNTIFS(ITSecondTable[Tag], ITSecondTable[[#This Row],[Tag]], _xlpm.loc, "&lt;&gt;E-Waste", _xlpm.loc, "&lt;&gt;Virtual", _xlpm.loc, "&lt;&gt;Decommisioned")
)</f>
        <v>10</v>
      </c>
      <c r="D525" s="168">
        <f>_xlfn.LET(_xlpm.loc, ITEquipmentTable[Storage Location],
COUNTIFS(ITSecondTable[Tag], ITSecondTable[[#This Row],[Tag]], _xlpm.loc, "Missing")
)</f>
        <v>0</v>
      </c>
      <c r="E525" s="168">
        <f>_xlfn.LET(_xlpm.loc, ITEquipmentTable[Storage Location],
COUNTIFS(ITSecondTable[Tag], ITSecondTable[[#This Row],[Tag]], _xlpm.loc, "In Use") + COUNTIFS(ITSecondTable[Tag], ITSecondTable[[#This Row],[Tag]], _xlpm.loc, "Assigned to Employee")
)</f>
        <v>0</v>
      </c>
      <c r="F525" s="168">
        <f>_xlfn.LET(_xlpm.loc, ITEquipmentTable[Storage Location],
COUNTIFS(ITSecondTable[Tag], ITSecondTable[[#This Row],[Tag]], _xlpm.loc, "")
)</f>
        <v>0</v>
      </c>
      <c r="G525" s="168">
        <f>MAX(ITSecondTable[[#This Row],[SQty]] - ITSecondTable[[#This Row],[IQty]], 0)</f>
        <v>0</v>
      </c>
      <c r="H525" s="168">
        <f>MAX(ITSecondTable[[#This Row],[IQty]]-ITSecondTable[[#This Row],[SQty]], 0)</f>
        <v>0</v>
      </c>
      <c r="I525" s="151" t="str">
        <f>IFERROR(_xlfn.TEXTJOIN("~", TRUE, ITEquipmentTable[[#This Row],[Type]],ITEquipmentTable[[#This Row],[Brand]],ITEquipmentTable[[#This Row],[Model]]), "")</f>
        <v>Radio~Motorola~SL300 (2 Channel)</v>
      </c>
      <c r="J525" s="151" t="b">
        <f xml:space="preserve"> _xlfn.IFNA(MATCH( ITSecondTable[[#This Row],[Tag]], StorageTable[Tag], 0)  &gt; -1, FALSE)</f>
        <v>0</v>
      </c>
      <c r="K525" s="168" t="b">
        <f>COUNTIFS(ITEquipmentTable[Serial], ITEquipmentTable[[#This Row],[Serial]], ITEquipmentTable[Serial], "&lt;&gt;N/A") &gt; 1</f>
        <v>0</v>
      </c>
      <c r="L525" s="168" t="b">
        <f>COUNTIFS(ITEquipmentTable[Name], ITEquipmentTable[[#This Row],[Name]], ITEquipmentTable[Name], "&lt;&gt;&lt;Unassigned&gt;",  ITEquipmentTable[Name], "&lt;&gt;N/A") &gt; 1</f>
        <v>0</v>
      </c>
      <c r="M525" s="168" t="b">
        <f>AND(COUNTIFS(ITEquipmentTable[IPv4 Address], ITEquipmentTable[[#This Row],[IPv4 Address]]) &gt; 1, ITEquipmentTable[[#This Row],[IPv4 Address]] &lt;&gt; "DHCP",  ITEquipmentTable[[#This Row],[IPv4 Address]] &lt;&gt; "N/A")</f>
        <v>0</v>
      </c>
    </row>
    <row r="526" spans="1:13" x14ac:dyDescent="0.2">
      <c r="A526" s="168">
        <f>IF(LEN(ITSecondTable[[#This Row],[Tag]]) &gt; 0, _xlfn.XLOOKUP(ITSecondTable[[#This Row],[Tag]],StorageTable[Tag], StorageTable[In Storage - Count Total], "Err", 0, 1), 0)</f>
        <v>10</v>
      </c>
      <c r="B526" s="1">
        <f>_xlfn.LET(_xlpm.loc, ITEquipmentTable[Storage Location],
COUNTIFS(ITSecondTable[Tag], ITSecondTable[[#This Row],[Tag]], _xlpm.loc, "&lt;&gt;In Use", _xlpm.loc, "&lt;&gt;",  _xlpm.loc, "&lt;&gt;E-Waste", _xlpm.loc, "&lt;&gt;Virtual",  _xlpm.loc, "&lt;&gt;Assigned to Employee", _xlpm.loc, "&lt;&gt;Decommisioned", _xlpm.loc, "&lt;&gt;Missing")
)</f>
        <v>10</v>
      </c>
      <c r="C526" s="1">
        <f>_xlfn.LET(_xlpm.loc, ITEquipmentTable[Storage Location],
COUNTIFS(ITSecondTable[Tag], ITSecondTable[[#This Row],[Tag]], _xlpm.loc, "&lt;&gt;E-Waste", _xlpm.loc, "&lt;&gt;Virtual", _xlpm.loc, "&lt;&gt;Decommisioned")
)</f>
        <v>10</v>
      </c>
      <c r="D526" s="168">
        <f>_xlfn.LET(_xlpm.loc, ITEquipmentTable[Storage Location],
COUNTIFS(ITSecondTable[Tag], ITSecondTable[[#This Row],[Tag]], _xlpm.loc, "Missing")
)</f>
        <v>0</v>
      </c>
      <c r="E526" s="168">
        <f>_xlfn.LET(_xlpm.loc, ITEquipmentTable[Storage Location],
COUNTIFS(ITSecondTable[Tag], ITSecondTable[[#This Row],[Tag]], _xlpm.loc, "In Use") + COUNTIFS(ITSecondTable[Tag], ITSecondTable[[#This Row],[Tag]], _xlpm.loc, "Assigned to Employee")
)</f>
        <v>0</v>
      </c>
      <c r="F526" s="168">
        <f>_xlfn.LET(_xlpm.loc, ITEquipmentTable[Storage Location],
COUNTIFS(ITSecondTable[Tag], ITSecondTable[[#This Row],[Tag]], _xlpm.loc, "")
)</f>
        <v>0</v>
      </c>
      <c r="G526" s="168">
        <f>MAX(ITSecondTable[[#This Row],[SQty]] - ITSecondTable[[#This Row],[IQty]], 0)</f>
        <v>0</v>
      </c>
      <c r="H526" s="168">
        <f>MAX(ITSecondTable[[#This Row],[IQty]]-ITSecondTable[[#This Row],[SQty]], 0)</f>
        <v>0</v>
      </c>
      <c r="I526" s="151" t="str">
        <f>IFERROR(_xlfn.TEXTJOIN("~", TRUE, ITEquipmentTable[[#This Row],[Type]],ITEquipmentTable[[#This Row],[Brand]],ITEquipmentTable[[#This Row],[Model]]), "")</f>
        <v>Radio~Motorola~SL300 (2 Channel)</v>
      </c>
      <c r="J526" s="151" t="b">
        <f xml:space="preserve"> _xlfn.IFNA(MATCH( ITSecondTable[[#This Row],[Tag]], StorageTable[Tag], 0)  &gt; -1, FALSE)</f>
        <v>0</v>
      </c>
      <c r="K526" s="168" t="b">
        <f>COUNTIFS(ITEquipmentTable[Serial], ITEquipmentTable[[#This Row],[Serial]], ITEquipmentTable[Serial], "&lt;&gt;N/A") &gt; 1</f>
        <v>0</v>
      </c>
      <c r="L526" s="168" t="b">
        <f>COUNTIFS(ITEquipmentTable[Name], ITEquipmentTable[[#This Row],[Name]], ITEquipmentTable[Name], "&lt;&gt;&lt;Unassigned&gt;",  ITEquipmentTable[Name], "&lt;&gt;N/A") &gt; 1</f>
        <v>0</v>
      </c>
      <c r="M526" s="168" t="b">
        <f>AND(COUNTIFS(ITEquipmentTable[IPv4 Address], ITEquipmentTable[[#This Row],[IPv4 Address]]) &gt; 1, ITEquipmentTable[[#This Row],[IPv4 Address]] &lt;&gt; "DHCP",  ITEquipmentTable[[#This Row],[IPv4 Address]] &lt;&gt; "N/A")</f>
        <v>0</v>
      </c>
    </row>
    <row r="527" spans="1:13" x14ac:dyDescent="0.2">
      <c r="A527" s="168">
        <f>IF(LEN(ITSecondTable[[#This Row],[Tag]]) &gt; 0, _xlfn.XLOOKUP(ITSecondTable[[#This Row],[Tag]],StorageTable[Tag], StorageTable[In Storage - Count Total], "Err", 0, 1), 0)</f>
        <v>10</v>
      </c>
      <c r="B527" s="1">
        <f>_xlfn.LET(_xlpm.loc, ITEquipmentTable[Storage Location],
COUNTIFS(ITSecondTable[Tag], ITSecondTable[[#This Row],[Tag]], _xlpm.loc, "&lt;&gt;In Use", _xlpm.loc, "&lt;&gt;",  _xlpm.loc, "&lt;&gt;E-Waste", _xlpm.loc, "&lt;&gt;Virtual",  _xlpm.loc, "&lt;&gt;Assigned to Employee", _xlpm.loc, "&lt;&gt;Decommisioned", _xlpm.loc, "&lt;&gt;Missing")
)</f>
        <v>10</v>
      </c>
      <c r="C527" s="1">
        <f>_xlfn.LET(_xlpm.loc, ITEquipmentTable[Storage Location],
COUNTIFS(ITSecondTable[Tag], ITSecondTable[[#This Row],[Tag]], _xlpm.loc, "&lt;&gt;E-Waste", _xlpm.loc, "&lt;&gt;Virtual", _xlpm.loc, "&lt;&gt;Decommisioned")
)</f>
        <v>10</v>
      </c>
      <c r="D527" s="168">
        <f>_xlfn.LET(_xlpm.loc, ITEquipmentTable[Storage Location],
COUNTIFS(ITSecondTable[Tag], ITSecondTable[[#This Row],[Tag]], _xlpm.loc, "Missing")
)</f>
        <v>0</v>
      </c>
      <c r="E527" s="168">
        <f>_xlfn.LET(_xlpm.loc, ITEquipmentTable[Storage Location],
COUNTIFS(ITSecondTable[Tag], ITSecondTable[[#This Row],[Tag]], _xlpm.loc, "In Use") + COUNTIFS(ITSecondTable[Tag], ITSecondTable[[#This Row],[Tag]], _xlpm.loc, "Assigned to Employee")
)</f>
        <v>0</v>
      </c>
      <c r="F527" s="168">
        <f>_xlfn.LET(_xlpm.loc, ITEquipmentTable[Storage Location],
COUNTIFS(ITSecondTable[Tag], ITSecondTable[[#This Row],[Tag]], _xlpm.loc, "")
)</f>
        <v>0</v>
      </c>
      <c r="G527" s="168">
        <f>MAX(ITSecondTable[[#This Row],[SQty]] - ITSecondTable[[#This Row],[IQty]], 0)</f>
        <v>0</v>
      </c>
      <c r="H527" s="168">
        <f>MAX(ITSecondTable[[#This Row],[IQty]]-ITSecondTable[[#This Row],[SQty]], 0)</f>
        <v>0</v>
      </c>
      <c r="I527" s="151" t="str">
        <f>IFERROR(_xlfn.TEXTJOIN("~", TRUE, ITEquipmentTable[[#This Row],[Type]],ITEquipmentTable[[#This Row],[Brand]],ITEquipmentTable[[#This Row],[Model]]), "")</f>
        <v>Radio~Motorola~SL300 (2 Channel)</v>
      </c>
      <c r="J527" s="151" t="b">
        <f xml:space="preserve"> _xlfn.IFNA(MATCH( ITSecondTable[[#This Row],[Tag]], StorageTable[Tag], 0)  &gt; -1, FALSE)</f>
        <v>0</v>
      </c>
      <c r="K527" s="168" t="b">
        <f>COUNTIFS(ITEquipmentTable[Serial], ITEquipmentTable[[#This Row],[Serial]], ITEquipmentTable[Serial], "&lt;&gt;N/A") &gt; 1</f>
        <v>0</v>
      </c>
      <c r="L527" s="168" t="b">
        <f>COUNTIFS(ITEquipmentTable[Name], ITEquipmentTable[[#This Row],[Name]], ITEquipmentTable[Name], "&lt;&gt;&lt;Unassigned&gt;",  ITEquipmentTable[Name], "&lt;&gt;N/A") &gt; 1</f>
        <v>0</v>
      </c>
      <c r="M527" s="168" t="b">
        <f>AND(COUNTIFS(ITEquipmentTable[IPv4 Address], ITEquipmentTable[[#This Row],[IPv4 Address]]) &gt; 1, ITEquipmentTable[[#This Row],[IPv4 Address]] &lt;&gt; "DHCP",  ITEquipmentTable[[#This Row],[IPv4 Address]] &lt;&gt; "N/A")</f>
        <v>0</v>
      </c>
    </row>
    <row r="528" spans="1:13" x14ac:dyDescent="0.2">
      <c r="A528" s="168">
        <f>IF(LEN(ITSecondTable[[#This Row],[Tag]]) &gt; 0, _xlfn.XLOOKUP(ITSecondTable[[#This Row],[Tag]],StorageTable[Tag], StorageTable[In Storage - Count Total], "Err", 0, 1), 0)</f>
        <v>10</v>
      </c>
      <c r="B528" s="1">
        <f>_xlfn.LET(_xlpm.loc, ITEquipmentTable[Storage Location],
COUNTIFS(ITSecondTable[Tag], ITSecondTable[[#This Row],[Tag]], _xlpm.loc, "&lt;&gt;In Use", _xlpm.loc, "&lt;&gt;",  _xlpm.loc, "&lt;&gt;E-Waste", _xlpm.loc, "&lt;&gt;Virtual",  _xlpm.loc, "&lt;&gt;Assigned to Employee", _xlpm.loc, "&lt;&gt;Decommisioned", _xlpm.loc, "&lt;&gt;Missing")
)</f>
        <v>10</v>
      </c>
      <c r="C528" s="1">
        <f>_xlfn.LET(_xlpm.loc, ITEquipmentTable[Storage Location],
COUNTIFS(ITSecondTable[Tag], ITSecondTable[[#This Row],[Tag]], _xlpm.loc, "&lt;&gt;E-Waste", _xlpm.loc, "&lt;&gt;Virtual", _xlpm.loc, "&lt;&gt;Decommisioned")
)</f>
        <v>10</v>
      </c>
      <c r="D528" s="168">
        <f>_xlfn.LET(_xlpm.loc, ITEquipmentTable[Storage Location],
COUNTIFS(ITSecondTable[Tag], ITSecondTable[[#This Row],[Tag]], _xlpm.loc, "Missing")
)</f>
        <v>0</v>
      </c>
      <c r="E528" s="168">
        <f>_xlfn.LET(_xlpm.loc, ITEquipmentTable[Storage Location],
COUNTIFS(ITSecondTable[Tag], ITSecondTable[[#This Row],[Tag]], _xlpm.loc, "In Use") + COUNTIFS(ITSecondTable[Tag], ITSecondTable[[#This Row],[Tag]], _xlpm.loc, "Assigned to Employee")
)</f>
        <v>0</v>
      </c>
      <c r="F528" s="168">
        <f>_xlfn.LET(_xlpm.loc, ITEquipmentTable[Storage Location],
COUNTIFS(ITSecondTable[Tag], ITSecondTable[[#This Row],[Tag]], _xlpm.loc, "")
)</f>
        <v>0</v>
      </c>
      <c r="G528" s="168">
        <f>MAX(ITSecondTable[[#This Row],[SQty]] - ITSecondTable[[#This Row],[IQty]], 0)</f>
        <v>0</v>
      </c>
      <c r="H528" s="168">
        <f>MAX(ITSecondTable[[#This Row],[IQty]]-ITSecondTable[[#This Row],[SQty]], 0)</f>
        <v>0</v>
      </c>
      <c r="I528" s="151" t="str">
        <f>IFERROR(_xlfn.TEXTJOIN("~", TRUE, ITEquipmentTable[[#This Row],[Type]],ITEquipmentTable[[#This Row],[Brand]],ITEquipmentTable[[#This Row],[Model]]), "")</f>
        <v>Radio~Motorola~SL300 (2 Channel)</v>
      </c>
      <c r="J528" s="151" t="b">
        <f xml:space="preserve"> _xlfn.IFNA(MATCH( ITSecondTable[[#This Row],[Tag]], StorageTable[Tag], 0)  &gt; -1, FALSE)</f>
        <v>0</v>
      </c>
      <c r="K528" s="168" t="b">
        <f>COUNTIFS(ITEquipmentTable[Serial], ITEquipmentTable[[#This Row],[Serial]], ITEquipmentTable[Serial], "&lt;&gt;N/A") &gt; 1</f>
        <v>0</v>
      </c>
      <c r="L528" s="168" t="b">
        <f>COUNTIFS(ITEquipmentTable[Name], ITEquipmentTable[[#This Row],[Name]], ITEquipmentTable[Name], "&lt;&gt;&lt;Unassigned&gt;",  ITEquipmentTable[Name], "&lt;&gt;N/A") &gt; 1</f>
        <v>0</v>
      </c>
      <c r="M528" s="168" t="b">
        <f>AND(COUNTIFS(ITEquipmentTable[IPv4 Address], ITEquipmentTable[[#This Row],[IPv4 Address]]) &gt; 1, ITEquipmentTable[[#This Row],[IPv4 Address]] &lt;&gt; "DHCP",  ITEquipmentTable[[#This Row],[IPv4 Address]] &lt;&gt; "N/A")</f>
        <v>0</v>
      </c>
    </row>
    <row r="529" spans="1:13" x14ac:dyDescent="0.2">
      <c r="A529" s="168">
        <f>IF(LEN(ITSecondTable[[#This Row],[Tag]]) &gt; 0, _xlfn.XLOOKUP(ITSecondTable[[#This Row],[Tag]],StorageTable[Tag], StorageTable[In Storage - Count Total], "Err", 0, 1), 0)</f>
        <v>10</v>
      </c>
      <c r="B529" s="1">
        <f>_xlfn.LET(_xlpm.loc, ITEquipmentTable[Storage Location],
COUNTIFS(ITSecondTable[Tag], ITSecondTable[[#This Row],[Tag]], _xlpm.loc, "&lt;&gt;In Use", _xlpm.loc, "&lt;&gt;",  _xlpm.loc, "&lt;&gt;E-Waste", _xlpm.loc, "&lt;&gt;Virtual",  _xlpm.loc, "&lt;&gt;Assigned to Employee", _xlpm.loc, "&lt;&gt;Decommisioned", _xlpm.loc, "&lt;&gt;Missing")
)</f>
        <v>10</v>
      </c>
      <c r="C529" s="1">
        <f>_xlfn.LET(_xlpm.loc, ITEquipmentTable[Storage Location],
COUNTIFS(ITSecondTable[Tag], ITSecondTable[[#This Row],[Tag]], _xlpm.loc, "&lt;&gt;E-Waste", _xlpm.loc, "&lt;&gt;Virtual", _xlpm.loc, "&lt;&gt;Decommisioned")
)</f>
        <v>10</v>
      </c>
      <c r="D529" s="168">
        <f>_xlfn.LET(_xlpm.loc, ITEquipmentTable[Storage Location],
COUNTIFS(ITSecondTable[Tag], ITSecondTable[[#This Row],[Tag]], _xlpm.loc, "Missing")
)</f>
        <v>0</v>
      </c>
      <c r="E529" s="168">
        <f>_xlfn.LET(_xlpm.loc, ITEquipmentTable[Storage Location],
COUNTIFS(ITSecondTable[Tag], ITSecondTable[[#This Row],[Tag]], _xlpm.loc, "In Use") + COUNTIFS(ITSecondTable[Tag], ITSecondTable[[#This Row],[Tag]], _xlpm.loc, "Assigned to Employee")
)</f>
        <v>0</v>
      </c>
      <c r="F529" s="168">
        <f>_xlfn.LET(_xlpm.loc, ITEquipmentTable[Storage Location],
COUNTIFS(ITSecondTable[Tag], ITSecondTable[[#This Row],[Tag]], _xlpm.loc, "")
)</f>
        <v>0</v>
      </c>
      <c r="G529" s="168">
        <f>MAX(ITSecondTable[[#This Row],[SQty]] - ITSecondTable[[#This Row],[IQty]], 0)</f>
        <v>0</v>
      </c>
      <c r="H529" s="168">
        <f>MAX(ITSecondTable[[#This Row],[IQty]]-ITSecondTable[[#This Row],[SQty]], 0)</f>
        <v>0</v>
      </c>
      <c r="I529" s="151" t="str">
        <f>IFERROR(_xlfn.TEXTJOIN("~", TRUE, ITEquipmentTable[[#This Row],[Type]],ITEquipmentTable[[#This Row],[Brand]],ITEquipmentTable[[#This Row],[Model]]), "")</f>
        <v>Radio~Motorola~SL300 (2 Channel)</v>
      </c>
      <c r="J529" s="151" t="b">
        <f xml:space="preserve"> _xlfn.IFNA(MATCH( ITSecondTable[[#This Row],[Tag]], StorageTable[Tag], 0)  &gt; -1, FALSE)</f>
        <v>0</v>
      </c>
      <c r="K529" s="168" t="b">
        <f>COUNTIFS(ITEquipmentTable[Serial], ITEquipmentTable[[#This Row],[Serial]], ITEquipmentTable[Serial], "&lt;&gt;N/A") &gt; 1</f>
        <v>0</v>
      </c>
      <c r="L529" s="168" t="b">
        <f>COUNTIFS(ITEquipmentTable[Name], ITEquipmentTable[[#This Row],[Name]], ITEquipmentTable[Name], "&lt;&gt;&lt;Unassigned&gt;",  ITEquipmentTable[Name], "&lt;&gt;N/A") &gt; 1</f>
        <v>0</v>
      </c>
      <c r="M529" s="168" t="b">
        <f>AND(COUNTIFS(ITEquipmentTable[IPv4 Address], ITEquipmentTable[[#This Row],[IPv4 Address]]) &gt; 1, ITEquipmentTable[[#This Row],[IPv4 Address]] &lt;&gt; "DHCP",  ITEquipmentTable[[#This Row],[IPv4 Address]] &lt;&gt; "N/A")</f>
        <v>0</v>
      </c>
    </row>
    <row r="530" spans="1:13" x14ac:dyDescent="0.2">
      <c r="A530" s="168">
        <f>IF(LEN(ITSecondTable[[#This Row],[Tag]]) &gt; 0, _xlfn.XLOOKUP(ITSecondTable[[#This Row],[Tag]],StorageTable[Tag], StorageTable[In Storage - Count Total], "Err", 0, 1), 0)</f>
        <v>10</v>
      </c>
      <c r="B530" s="1">
        <f>_xlfn.LET(_xlpm.loc, ITEquipmentTable[Storage Location],
COUNTIFS(ITSecondTable[Tag], ITSecondTable[[#This Row],[Tag]], _xlpm.loc, "&lt;&gt;In Use", _xlpm.loc, "&lt;&gt;",  _xlpm.loc, "&lt;&gt;E-Waste", _xlpm.loc, "&lt;&gt;Virtual",  _xlpm.loc, "&lt;&gt;Assigned to Employee", _xlpm.loc, "&lt;&gt;Decommisioned", _xlpm.loc, "&lt;&gt;Missing")
)</f>
        <v>10</v>
      </c>
      <c r="C530" s="1">
        <f>_xlfn.LET(_xlpm.loc, ITEquipmentTable[Storage Location],
COUNTIFS(ITSecondTable[Tag], ITSecondTable[[#This Row],[Tag]], _xlpm.loc, "&lt;&gt;E-Waste", _xlpm.loc, "&lt;&gt;Virtual", _xlpm.loc, "&lt;&gt;Decommisioned")
)</f>
        <v>10</v>
      </c>
      <c r="D530" s="168">
        <f>_xlfn.LET(_xlpm.loc, ITEquipmentTable[Storage Location],
COUNTIFS(ITSecondTable[Tag], ITSecondTable[[#This Row],[Tag]], _xlpm.loc, "Missing")
)</f>
        <v>0</v>
      </c>
      <c r="E530" s="168">
        <f>_xlfn.LET(_xlpm.loc, ITEquipmentTable[Storage Location],
COUNTIFS(ITSecondTable[Tag], ITSecondTable[[#This Row],[Tag]], _xlpm.loc, "In Use") + COUNTIFS(ITSecondTable[Tag], ITSecondTable[[#This Row],[Tag]], _xlpm.loc, "Assigned to Employee")
)</f>
        <v>0</v>
      </c>
      <c r="F530" s="168">
        <f>_xlfn.LET(_xlpm.loc, ITEquipmentTable[Storage Location],
COUNTIFS(ITSecondTable[Tag], ITSecondTable[[#This Row],[Tag]], _xlpm.loc, "")
)</f>
        <v>0</v>
      </c>
      <c r="G530" s="168">
        <f>MAX(ITSecondTable[[#This Row],[SQty]] - ITSecondTable[[#This Row],[IQty]], 0)</f>
        <v>0</v>
      </c>
      <c r="H530" s="168">
        <f>MAX(ITSecondTable[[#This Row],[IQty]]-ITSecondTable[[#This Row],[SQty]], 0)</f>
        <v>0</v>
      </c>
      <c r="I530" s="151" t="str">
        <f>IFERROR(_xlfn.TEXTJOIN("~", TRUE, ITEquipmentTable[[#This Row],[Type]],ITEquipmentTable[[#This Row],[Brand]],ITEquipmentTable[[#This Row],[Model]]), "")</f>
        <v>Radio~Motorola~SL300 (2 Channel)</v>
      </c>
      <c r="J530" s="151" t="b">
        <f xml:space="preserve"> _xlfn.IFNA(MATCH( ITSecondTable[[#This Row],[Tag]], StorageTable[Tag], 0)  &gt; -1, FALSE)</f>
        <v>0</v>
      </c>
      <c r="K530" s="168" t="b">
        <f>COUNTIFS(ITEquipmentTable[Serial], ITEquipmentTable[[#This Row],[Serial]], ITEquipmentTable[Serial], "&lt;&gt;N/A") &gt; 1</f>
        <v>0</v>
      </c>
      <c r="L530" s="168" t="b">
        <f>COUNTIFS(ITEquipmentTable[Name], ITEquipmentTable[[#This Row],[Name]], ITEquipmentTable[Name], "&lt;&gt;&lt;Unassigned&gt;",  ITEquipmentTable[Name], "&lt;&gt;N/A") &gt; 1</f>
        <v>0</v>
      </c>
      <c r="M530" s="168" t="b">
        <f>AND(COUNTIFS(ITEquipmentTable[IPv4 Address], ITEquipmentTable[[#This Row],[IPv4 Address]]) &gt; 1, ITEquipmentTable[[#This Row],[IPv4 Address]] &lt;&gt; "DHCP",  ITEquipmentTable[[#This Row],[IPv4 Address]] &lt;&gt; "N/A")</f>
        <v>0</v>
      </c>
    </row>
    <row r="531" spans="1:13" x14ac:dyDescent="0.2">
      <c r="A531" s="168">
        <f>IF(LEN(ITSecondTable[[#This Row],[Tag]]) &gt; 0, _xlfn.XLOOKUP(ITSecondTable[[#This Row],[Tag]],StorageTable[Tag], StorageTable[In Storage - Count Total], "Err", 0, 1), 0)</f>
        <v>10</v>
      </c>
      <c r="B531" s="1">
        <f>_xlfn.LET(_xlpm.loc, ITEquipmentTable[Storage Location],
COUNTIFS(ITSecondTable[Tag], ITSecondTable[[#This Row],[Tag]], _xlpm.loc, "&lt;&gt;In Use", _xlpm.loc, "&lt;&gt;",  _xlpm.loc, "&lt;&gt;E-Waste", _xlpm.loc, "&lt;&gt;Virtual",  _xlpm.loc, "&lt;&gt;Assigned to Employee", _xlpm.loc, "&lt;&gt;Decommisioned", _xlpm.loc, "&lt;&gt;Missing")
)</f>
        <v>10</v>
      </c>
      <c r="C531" s="1">
        <f>_xlfn.LET(_xlpm.loc, ITEquipmentTable[Storage Location],
COUNTIFS(ITSecondTable[Tag], ITSecondTable[[#This Row],[Tag]], _xlpm.loc, "&lt;&gt;E-Waste", _xlpm.loc, "&lt;&gt;Virtual", _xlpm.loc, "&lt;&gt;Decommisioned")
)</f>
        <v>10</v>
      </c>
      <c r="D531" s="168">
        <f>_xlfn.LET(_xlpm.loc, ITEquipmentTable[Storage Location],
COUNTIFS(ITSecondTable[Tag], ITSecondTable[[#This Row],[Tag]], _xlpm.loc, "Missing")
)</f>
        <v>0</v>
      </c>
      <c r="E531" s="168">
        <f>_xlfn.LET(_xlpm.loc, ITEquipmentTable[Storage Location],
COUNTIFS(ITSecondTable[Tag], ITSecondTable[[#This Row],[Tag]], _xlpm.loc, "In Use") + COUNTIFS(ITSecondTable[Tag], ITSecondTable[[#This Row],[Tag]], _xlpm.loc, "Assigned to Employee")
)</f>
        <v>0</v>
      </c>
      <c r="F531" s="168">
        <f>_xlfn.LET(_xlpm.loc, ITEquipmentTable[Storage Location],
COUNTIFS(ITSecondTable[Tag], ITSecondTable[[#This Row],[Tag]], _xlpm.loc, "")
)</f>
        <v>0</v>
      </c>
      <c r="G531" s="168">
        <f>MAX(ITSecondTable[[#This Row],[SQty]] - ITSecondTable[[#This Row],[IQty]], 0)</f>
        <v>0</v>
      </c>
      <c r="H531" s="168">
        <f>MAX(ITSecondTable[[#This Row],[IQty]]-ITSecondTable[[#This Row],[SQty]], 0)</f>
        <v>0</v>
      </c>
      <c r="I531" s="151" t="str">
        <f>IFERROR(_xlfn.TEXTJOIN("~", TRUE, ITEquipmentTable[[#This Row],[Type]],ITEquipmentTable[[#This Row],[Brand]],ITEquipmentTable[[#This Row],[Model]]), "")</f>
        <v>Radio~Motorola~SL300 (2 Channel)</v>
      </c>
      <c r="J531" s="151" t="b">
        <f xml:space="preserve"> _xlfn.IFNA(MATCH( ITSecondTable[[#This Row],[Tag]], StorageTable[Tag], 0)  &gt; -1, FALSE)</f>
        <v>0</v>
      </c>
      <c r="K531" s="168" t="b">
        <f>COUNTIFS(ITEquipmentTable[Serial], ITEquipmentTable[[#This Row],[Serial]], ITEquipmentTable[Serial], "&lt;&gt;N/A") &gt; 1</f>
        <v>0</v>
      </c>
      <c r="L531" s="168" t="b">
        <f>COUNTIFS(ITEquipmentTable[Name], ITEquipmentTable[[#This Row],[Name]], ITEquipmentTable[Name], "&lt;&gt;&lt;Unassigned&gt;",  ITEquipmentTable[Name], "&lt;&gt;N/A") &gt; 1</f>
        <v>0</v>
      </c>
      <c r="M531" s="168" t="b">
        <f>AND(COUNTIFS(ITEquipmentTable[IPv4 Address], ITEquipmentTable[[#This Row],[IPv4 Address]]) &gt; 1, ITEquipmentTable[[#This Row],[IPv4 Address]] &lt;&gt; "DHCP",  ITEquipmentTable[[#This Row],[IPv4 Address]] &lt;&gt; "N/A")</f>
        <v>0</v>
      </c>
    </row>
    <row r="532" spans="1:13" x14ac:dyDescent="0.2">
      <c r="A532" s="168">
        <f>IF(LEN(ITSecondTable[[#This Row],[Tag]]) &gt; 0, _xlfn.XLOOKUP(ITSecondTable[[#This Row],[Tag]],StorageTable[Tag], StorageTable[In Storage - Count Total], "Err", 0, 1), 0)</f>
        <v>10</v>
      </c>
      <c r="B532" s="1">
        <f>_xlfn.LET(_xlpm.loc, ITEquipmentTable[Storage Location],
COUNTIFS(ITSecondTable[Tag], ITSecondTable[[#This Row],[Tag]], _xlpm.loc, "&lt;&gt;In Use", _xlpm.loc, "&lt;&gt;",  _xlpm.loc, "&lt;&gt;E-Waste", _xlpm.loc, "&lt;&gt;Virtual",  _xlpm.loc, "&lt;&gt;Assigned to Employee", _xlpm.loc, "&lt;&gt;Decommisioned", _xlpm.loc, "&lt;&gt;Missing")
)</f>
        <v>10</v>
      </c>
      <c r="C532" s="1">
        <f>_xlfn.LET(_xlpm.loc, ITEquipmentTable[Storage Location],
COUNTIFS(ITSecondTable[Tag], ITSecondTable[[#This Row],[Tag]], _xlpm.loc, "&lt;&gt;E-Waste", _xlpm.loc, "&lt;&gt;Virtual", _xlpm.loc, "&lt;&gt;Decommisioned")
)</f>
        <v>10</v>
      </c>
      <c r="D532" s="168">
        <f>_xlfn.LET(_xlpm.loc, ITEquipmentTable[Storage Location],
COUNTIFS(ITSecondTable[Tag], ITSecondTable[[#This Row],[Tag]], _xlpm.loc, "Missing")
)</f>
        <v>0</v>
      </c>
      <c r="E532" s="168">
        <f>_xlfn.LET(_xlpm.loc, ITEquipmentTable[Storage Location],
COUNTIFS(ITSecondTable[Tag], ITSecondTable[[#This Row],[Tag]], _xlpm.loc, "In Use") + COUNTIFS(ITSecondTable[Tag], ITSecondTable[[#This Row],[Tag]], _xlpm.loc, "Assigned to Employee")
)</f>
        <v>0</v>
      </c>
      <c r="F532" s="168">
        <f>_xlfn.LET(_xlpm.loc, ITEquipmentTable[Storage Location],
COUNTIFS(ITSecondTable[Tag], ITSecondTable[[#This Row],[Tag]], _xlpm.loc, "")
)</f>
        <v>0</v>
      </c>
      <c r="G532" s="168">
        <f>MAX(ITSecondTable[[#This Row],[SQty]] - ITSecondTable[[#This Row],[IQty]], 0)</f>
        <v>0</v>
      </c>
      <c r="H532" s="168">
        <f>MAX(ITSecondTable[[#This Row],[IQty]]-ITSecondTable[[#This Row],[SQty]], 0)</f>
        <v>0</v>
      </c>
      <c r="I532" s="151" t="str">
        <f>IFERROR(_xlfn.TEXTJOIN("~", TRUE, ITEquipmentTable[[#This Row],[Type]],ITEquipmentTable[[#This Row],[Brand]],ITEquipmentTable[[#This Row],[Model]]), "")</f>
        <v>Radio~Motorola~SL300 (2 Channel)</v>
      </c>
      <c r="J532" s="151" t="b">
        <f xml:space="preserve"> _xlfn.IFNA(MATCH( ITSecondTable[[#This Row],[Tag]], StorageTable[Tag], 0)  &gt; -1, FALSE)</f>
        <v>0</v>
      </c>
      <c r="K532" s="168" t="b">
        <f>COUNTIFS(ITEquipmentTable[Serial], ITEquipmentTable[[#This Row],[Serial]], ITEquipmentTable[Serial], "&lt;&gt;N/A") &gt; 1</f>
        <v>0</v>
      </c>
      <c r="L532" s="168" t="b">
        <f>COUNTIFS(ITEquipmentTable[Name], ITEquipmentTable[[#This Row],[Name]], ITEquipmentTable[Name], "&lt;&gt;&lt;Unassigned&gt;",  ITEquipmentTable[Name], "&lt;&gt;N/A") &gt; 1</f>
        <v>0</v>
      </c>
      <c r="M532" s="168" t="b">
        <f>AND(COUNTIFS(ITEquipmentTable[IPv4 Address], ITEquipmentTable[[#This Row],[IPv4 Address]]) &gt; 1, ITEquipmentTable[[#This Row],[IPv4 Address]] &lt;&gt; "DHCP",  ITEquipmentTable[[#This Row],[IPv4 Address]] &lt;&gt; "N/A")</f>
        <v>0</v>
      </c>
    </row>
    <row r="533" spans="1:13" x14ac:dyDescent="0.2">
      <c r="A533" s="168">
        <f>IF(LEN(ITSecondTable[[#This Row],[Tag]]) &gt; 0, _xlfn.XLOOKUP(ITSecondTable[[#This Row],[Tag]],StorageTable[Tag], StorageTable[In Storage - Count Total], "Err", 0, 1), 0)</f>
        <v>2</v>
      </c>
      <c r="B533" s="1">
        <f>_xlfn.LET(_xlpm.loc, ITEquipmentTable[Storage Location],
COUNTIFS(ITSecondTable[Tag], ITSecondTable[[#This Row],[Tag]], _xlpm.loc, "&lt;&gt;In Use", _xlpm.loc, "&lt;&gt;",  _xlpm.loc, "&lt;&gt;E-Waste", _xlpm.loc, "&lt;&gt;Virtual",  _xlpm.loc, "&lt;&gt;Assigned to Employee", _xlpm.loc, "&lt;&gt;Decommisioned", _xlpm.loc, "&lt;&gt;Missing")
)</f>
        <v>2</v>
      </c>
      <c r="C533" s="1">
        <f>_xlfn.LET(_xlpm.loc, ITEquipmentTable[Storage Location],
COUNTIFS(ITSecondTable[Tag], ITSecondTable[[#This Row],[Tag]], _xlpm.loc, "&lt;&gt;E-Waste", _xlpm.loc, "&lt;&gt;Virtual", _xlpm.loc, "&lt;&gt;Decommisioned")
)</f>
        <v>12</v>
      </c>
      <c r="D533" s="168">
        <f>_xlfn.LET(_xlpm.loc, ITEquipmentTable[Storage Location],
COUNTIFS(ITSecondTable[Tag], ITSecondTable[[#This Row],[Tag]], _xlpm.loc, "Missing")
)</f>
        <v>0</v>
      </c>
      <c r="E533" s="168">
        <f>_xlfn.LET(_xlpm.loc, ITEquipmentTable[Storage Location],
COUNTIFS(ITSecondTable[Tag], ITSecondTable[[#This Row],[Tag]], _xlpm.loc, "In Use") + COUNTIFS(ITSecondTable[Tag], ITSecondTable[[#This Row],[Tag]], _xlpm.loc, "Assigned to Employee")
)</f>
        <v>3</v>
      </c>
      <c r="F533" s="168">
        <f>_xlfn.LET(_xlpm.loc, ITEquipmentTable[Storage Location],
COUNTIFS(ITSecondTable[Tag], ITSecondTable[[#This Row],[Tag]], _xlpm.loc, "")
)</f>
        <v>7</v>
      </c>
      <c r="G533" s="168">
        <f>MAX(ITSecondTable[[#This Row],[SQty]] - ITSecondTable[[#This Row],[IQty]], 0)</f>
        <v>0</v>
      </c>
      <c r="H533" s="168">
        <f>MAX(ITSecondTable[[#This Row],[IQty]]-ITSecondTable[[#This Row],[SQty]], 0)</f>
        <v>0</v>
      </c>
      <c r="I533" s="151" t="str">
        <f>IFERROR(_xlfn.TEXTJOIN("~", TRUE, ITEquipmentTable[[#This Row],[Type]],ITEquipmentTable[[#This Row],[Brand]],ITEquipmentTable[[#This Row],[Model]]), "")</f>
        <v>Radio~Motorola~SL300</v>
      </c>
      <c r="J533" s="151" t="b">
        <f xml:space="preserve"> _xlfn.IFNA(MATCH( ITSecondTable[[#This Row],[Tag]], StorageTable[Tag], 0)  &gt; -1, FALSE)</f>
        <v>0</v>
      </c>
      <c r="K533" s="168" t="b">
        <f>COUNTIFS(ITEquipmentTable[Serial], ITEquipmentTable[[#This Row],[Serial]], ITEquipmentTable[Serial], "&lt;&gt;N/A") &gt; 1</f>
        <v>0</v>
      </c>
      <c r="L533" s="168" t="b">
        <f>COUNTIFS(ITEquipmentTable[Name], ITEquipmentTable[[#This Row],[Name]], ITEquipmentTable[Name], "&lt;&gt;&lt;Unassigned&gt;",  ITEquipmentTable[Name], "&lt;&gt;N/A") &gt; 1</f>
        <v>0</v>
      </c>
      <c r="M533" s="168" t="b">
        <f>AND(COUNTIFS(ITEquipmentTable[IPv4 Address], ITEquipmentTable[[#This Row],[IPv4 Address]]) &gt; 1, ITEquipmentTable[[#This Row],[IPv4 Address]] &lt;&gt; "DHCP",  ITEquipmentTable[[#This Row],[IPv4 Address]] &lt;&gt; "N/A")</f>
        <v>0</v>
      </c>
    </row>
    <row r="534" spans="1:13" x14ac:dyDescent="0.2">
      <c r="A534" s="168">
        <f>IF(LEN(ITSecondTable[[#This Row],[Tag]]) &gt; 0, _xlfn.XLOOKUP(ITSecondTable[[#This Row],[Tag]],StorageTable[Tag], StorageTable[In Storage - Count Total], "Err", 0, 1), 0)</f>
        <v>2</v>
      </c>
      <c r="B534" s="1">
        <f>_xlfn.LET(_xlpm.loc, ITEquipmentTable[Storage Location],
COUNTIFS(ITSecondTable[Tag], ITSecondTable[[#This Row],[Tag]], _xlpm.loc, "&lt;&gt;In Use", _xlpm.loc, "&lt;&gt;",  _xlpm.loc, "&lt;&gt;E-Waste", _xlpm.loc, "&lt;&gt;Virtual",  _xlpm.loc, "&lt;&gt;Assigned to Employee", _xlpm.loc, "&lt;&gt;Decommisioned", _xlpm.loc, "&lt;&gt;Missing")
)</f>
        <v>2</v>
      </c>
      <c r="C534" s="1">
        <f>_xlfn.LET(_xlpm.loc, ITEquipmentTable[Storage Location],
COUNTIFS(ITSecondTable[Tag], ITSecondTable[[#This Row],[Tag]], _xlpm.loc, "&lt;&gt;E-Waste", _xlpm.loc, "&lt;&gt;Virtual", _xlpm.loc, "&lt;&gt;Decommisioned")
)</f>
        <v>12</v>
      </c>
      <c r="D534" s="168">
        <f>_xlfn.LET(_xlpm.loc, ITEquipmentTable[Storage Location],
COUNTIFS(ITSecondTable[Tag], ITSecondTable[[#This Row],[Tag]], _xlpm.loc, "Missing")
)</f>
        <v>0</v>
      </c>
      <c r="E534" s="168">
        <f>_xlfn.LET(_xlpm.loc, ITEquipmentTable[Storage Location],
COUNTIFS(ITSecondTable[Tag], ITSecondTable[[#This Row],[Tag]], _xlpm.loc, "In Use") + COUNTIFS(ITSecondTable[Tag], ITSecondTable[[#This Row],[Tag]], _xlpm.loc, "Assigned to Employee")
)</f>
        <v>3</v>
      </c>
      <c r="F534" s="168">
        <f>_xlfn.LET(_xlpm.loc, ITEquipmentTable[Storage Location],
COUNTIFS(ITSecondTable[Tag], ITSecondTable[[#This Row],[Tag]], _xlpm.loc, "")
)</f>
        <v>7</v>
      </c>
      <c r="G534" s="168">
        <f>MAX(ITSecondTable[[#This Row],[SQty]] - ITSecondTable[[#This Row],[IQty]], 0)</f>
        <v>0</v>
      </c>
      <c r="H534" s="168">
        <f>MAX(ITSecondTable[[#This Row],[IQty]]-ITSecondTable[[#This Row],[SQty]], 0)</f>
        <v>0</v>
      </c>
      <c r="I534" s="151" t="str">
        <f>IFERROR(_xlfn.TEXTJOIN("~", TRUE, ITEquipmentTable[[#This Row],[Type]],ITEquipmentTable[[#This Row],[Brand]],ITEquipmentTable[[#This Row],[Model]]), "")</f>
        <v>Radio~Motorola~SL300</v>
      </c>
      <c r="J534" s="151" t="b">
        <f xml:space="preserve"> _xlfn.IFNA(MATCH( ITSecondTable[[#This Row],[Tag]], StorageTable[Tag], 0)  &gt; -1, FALSE)</f>
        <v>0</v>
      </c>
      <c r="K534" s="168" t="b">
        <f>COUNTIFS(ITEquipmentTable[Serial], ITEquipmentTable[[#This Row],[Serial]], ITEquipmentTable[Serial], "&lt;&gt;N/A") &gt; 1</f>
        <v>0</v>
      </c>
      <c r="L534" s="168" t="b">
        <f>COUNTIFS(ITEquipmentTable[Name], ITEquipmentTable[[#This Row],[Name]], ITEquipmentTable[Name], "&lt;&gt;&lt;Unassigned&gt;",  ITEquipmentTable[Name], "&lt;&gt;N/A") &gt; 1</f>
        <v>0</v>
      </c>
      <c r="M534" s="168" t="b">
        <f>AND(COUNTIFS(ITEquipmentTable[IPv4 Address], ITEquipmentTable[[#This Row],[IPv4 Address]]) &gt; 1, ITEquipmentTable[[#This Row],[IPv4 Address]] &lt;&gt; "DHCP",  ITEquipmentTable[[#This Row],[IPv4 Address]] &lt;&gt; "N/A")</f>
        <v>0</v>
      </c>
    </row>
    <row r="535" spans="1:13" x14ac:dyDescent="0.2">
      <c r="A535" s="168">
        <f>IF(LEN(ITSecondTable[[#This Row],[Tag]]) &gt; 0, _xlfn.XLOOKUP(ITSecondTable[[#This Row],[Tag]],StorageTable[Tag], StorageTable[In Storage - Count Total], "Err", 0, 1), 0)</f>
        <v>2</v>
      </c>
      <c r="B535" s="1">
        <f>_xlfn.LET(_xlpm.loc, ITEquipmentTable[Storage Location],
COUNTIFS(ITSecondTable[Tag], ITSecondTable[[#This Row],[Tag]], _xlpm.loc, "&lt;&gt;In Use", _xlpm.loc, "&lt;&gt;",  _xlpm.loc, "&lt;&gt;E-Waste", _xlpm.loc, "&lt;&gt;Virtual",  _xlpm.loc, "&lt;&gt;Assigned to Employee", _xlpm.loc, "&lt;&gt;Decommisioned", _xlpm.loc, "&lt;&gt;Missing")
)</f>
        <v>2</v>
      </c>
      <c r="C535" s="1">
        <f>_xlfn.LET(_xlpm.loc, ITEquipmentTable[Storage Location],
COUNTIFS(ITSecondTable[Tag], ITSecondTable[[#This Row],[Tag]], _xlpm.loc, "&lt;&gt;E-Waste", _xlpm.loc, "&lt;&gt;Virtual", _xlpm.loc, "&lt;&gt;Decommisioned")
)</f>
        <v>12</v>
      </c>
      <c r="D535" s="168">
        <f>_xlfn.LET(_xlpm.loc, ITEquipmentTable[Storage Location],
COUNTIFS(ITSecondTable[Tag], ITSecondTable[[#This Row],[Tag]], _xlpm.loc, "Missing")
)</f>
        <v>0</v>
      </c>
      <c r="E535" s="168">
        <f>_xlfn.LET(_xlpm.loc, ITEquipmentTable[Storage Location],
COUNTIFS(ITSecondTable[Tag], ITSecondTable[[#This Row],[Tag]], _xlpm.loc, "In Use") + COUNTIFS(ITSecondTable[Tag], ITSecondTable[[#This Row],[Tag]], _xlpm.loc, "Assigned to Employee")
)</f>
        <v>3</v>
      </c>
      <c r="F535" s="168">
        <f>_xlfn.LET(_xlpm.loc, ITEquipmentTable[Storage Location],
COUNTIFS(ITSecondTable[Tag], ITSecondTable[[#This Row],[Tag]], _xlpm.loc, "")
)</f>
        <v>7</v>
      </c>
      <c r="G535" s="168">
        <f>MAX(ITSecondTable[[#This Row],[SQty]] - ITSecondTable[[#This Row],[IQty]], 0)</f>
        <v>0</v>
      </c>
      <c r="H535" s="168">
        <f>MAX(ITSecondTable[[#This Row],[IQty]]-ITSecondTable[[#This Row],[SQty]], 0)</f>
        <v>0</v>
      </c>
      <c r="I535" s="151" t="str">
        <f>IFERROR(_xlfn.TEXTJOIN("~", TRUE, ITEquipmentTable[[#This Row],[Type]],ITEquipmentTable[[#This Row],[Brand]],ITEquipmentTable[[#This Row],[Model]]), "")</f>
        <v>Radio~Motorola~SL300</v>
      </c>
      <c r="J535" s="151" t="b">
        <f xml:space="preserve"> _xlfn.IFNA(MATCH( ITSecondTable[[#This Row],[Tag]], StorageTable[Tag], 0)  &gt; -1, FALSE)</f>
        <v>0</v>
      </c>
      <c r="K535" s="168" t="b">
        <f>COUNTIFS(ITEquipmentTable[Serial], ITEquipmentTable[[#This Row],[Serial]], ITEquipmentTable[Serial], "&lt;&gt;N/A") &gt; 1</f>
        <v>0</v>
      </c>
      <c r="L535" s="168" t="b">
        <f>COUNTIFS(ITEquipmentTable[Name], ITEquipmentTable[[#This Row],[Name]], ITEquipmentTable[Name], "&lt;&gt;&lt;Unassigned&gt;",  ITEquipmentTable[Name], "&lt;&gt;N/A") &gt; 1</f>
        <v>0</v>
      </c>
      <c r="M535" s="168" t="b">
        <f>AND(COUNTIFS(ITEquipmentTable[IPv4 Address], ITEquipmentTable[[#This Row],[IPv4 Address]]) &gt; 1, ITEquipmentTable[[#This Row],[IPv4 Address]] &lt;&gt; "DHCP",  ITEquipmentTable[[#This Row],[IPv4 Address]] &lt;&gt; "N/A")</f>
        <v>0</v>
      </c>
    </row>
    <row r="536" spans="1:13" x14ac:dyDescent="0.2">
      <c r="A536" s="168">
        <f>IF(LEN(ITSecondTable[[#This Row],[Tag]]) &gt; 0, _xlfn.XLOOKUP(ITSecondTable[[#This Row],[Tag]],StorageTable[Tag], StorageTable[In Storage - Count Total], "Err", 0, 1), 0)</f>
        <v>2</v>
      </c>
      <c r="B536" s="1">
        <f>_xlfn.LET(_xlpm.loc, ITEquipmentTable[Storage Location],
COUNTIFS(ITSecondTable[Tag], ITSecondTable[[#This Row],[Tag]], _xlpm.loc, "&lt;&gt;In Use", _xlpm.loc, "&lt;&gt;",  _xlpm.loc, "&lt;&gt;E-Waste", _xlpm.loc, "&lt;&gt;Virtual",  _xlpm.loc, "&lt;&gt;Assigned to Employee", _xlpm.loc, "&lt;&gt;Decommisioned", _xlpm.loc, "&lt;&gt;Missing")
)</f>
        <v>2</v>
      </c>
      <c r="C536" s="1">
        <f>_xlfn.LET(_xlpm.loc, ITEquipmentTable[Storage Location],
COUNTIFS(ITSecondTable[Tag], ITSecondTable[[#This Row],[Tag]], _xlpm.loc, "&lt;&gt;E-Waste", _xlpm.loc, "&lt;&gt;Virtual", _xlpm.loc, "&lt;&gt;Decommisioned")
)</f>
        <v>12</v>
      </c>
      <c r="D536" s="168">
        <f>_xlfn.LET(_xlpm.loc, ITEquipmentTable[Storage Location],
COUNTIFS(ITSecondTable[Tag], ITSecondTable[[#This Row],[Tag]], _xlpm.loc, "Missing")
)</f>
        <v>0</v>
      </c>
      <c r="E536" s="168">
        <f>_xlfn.LET(_xlpm.loc, ITEquipmentTable[Storage Location],
COUNTIFS(ITSecondTable[Tag], ITSecondTable[[#This Row],[Tag]], _xlpm.loc, "In Use") + COUNTIFS(ITSecondTable[Tag], ITSecondTable[[#This Row],[Tag]], _xlpm.loc, "Assigned to Employee")
)</f>
        <v>3</v>
      </c>
      <c r="F536" s="168">
        <f>_xlfn.LET(_xlpm.loc, ITEquipmentTable[Storage Location],
COUNTIFS(ITSecondTable[Tag], ITSecondTable[[#This Row],[Tag]], _xlpm.loc, "")
)</f>
        <v>7</v>
      </c>
      <c r="G536" s="168">
        <f>MAX(ITSecondTable[[#This Row],[SQty]] - ITSecondTable[[#This Row],[IQty]], 0)</f>
        <v>0</v>
      </c>
      <c r="H536" s="168">
        <f>MAX(ITSecondTable[[#This Row],[IQty]]-ITSecondTable[[#This Row],[SQty]], 0)</f>
        <v>0</v>
      </c>
      <c r="I536" s="151" t="str">
        <f>IFERROR(_xlfn.TEXTJOIN("~", TRUE, ITEquipmentTable[[#This Row],[Type]],ITEquipmentTable[[#This Row],[Brand]],ITEquipmentTable[[#This Row],[Model]]), "")</f>
        <v>Radio~Motorola~SL300</v>
      </c>
      <c r="J536" s="151" t="b">
        <f xml:space="preserve"> _xlfn.IFNA(MATCH( ITSecondTable[[#This Row],[Tag]], StorageTable[Tag], 0)  &gt; -1, FALSE)</f>
        <v>0</v>
      </c>
      <c r="K536" s="168" t="b">
        <f>COUNTIFS(ITEquipmentTable[Serial], ITEquipmentTable[[#This Row],[Serial]], ITEquipmentTable[Serial], "&lt;&gt;N/A") &gt; 1</f>
        <v>0</v>
      </c>
      <c r="L536" s="168" t="b">
        <f>COUNTIFS(ITEquipmentTable[Name], ITEquipmentTable[[#This Row],[Name]], ITEquipmentTable[Name], "&lt;&gt;&lt;Unassigned&gt;",  ITEquipmentTable[Name], "&lt;&gt;N/A") &gt; 1</f>
        <v>0</v>
      </c>
      <c r="M536" s="168" t="b">
        <f>AND(COUNTIFS(ITEquipmentTable[IPv4 Address], ITEquipmentTable[[#This Row],[IPv4 Address]]) &gt; 1, ITEquipmentTable[[#This Row],[IPv4 Address]] &lt;&gt; "DHCP",  ITEquipmentTable[[#This Row],[IPv4 Address]] &lt;&gt; "N/A")</f>
        <v>0</v>
      </c>
    </row>
    <row r="537" spans="1:13" x14ac:dyDescent="0.2">
      <c r="A537" s="168">
        <f>IF(LEN(ITSecondTable[[#This Row],[Tag]]) &gt; 0, _xlfn.XLOOKUP(ITSecondTable[[#This Row],[Tag]],StorageTable[Tag], StorageTable[In Storage - Count Total], "Err", 0, 1), 0)</f>
        <v>2</v>
      </c>
      <c r="B537" s="1">
        <f>_xlfn.LET(_xlpm.loc, ITEquipmentTable[Storage Location],
COUNTIFS(ITSecondTable[Tag], ITSecondTable[[#This Row],[Tag]], _xlpm.loc, "&lt;&gt;In Use", _xlpm.loc, "&lt;&gt;",  _xlpm.loc, "&lt;&gt;E-Waste", _xlpm.loc, "&lt;&gt;Virtual",  _xlpm.loc, "&lt;&gt;Assigned to Employee", _xlpm.loc, "&lt;&gt;Decommisioned", _xlpm.loc, "&lt;&gt;Missing")
)</f>
        <v>2</v>
      </c>
      <c r="C537" s="1">
        <f>_xlfn.LET(_xlpm.loc, ITEquipmentTable[Storage Location],
COUNTIFS(ITSecondTable[Tag], ITSecondTable[[#This Row],[Tag]], _xlpm.loc, "&lt;&gt;E-Waste", _xlpm.loc, "&lt;&gt;Virtual", _xlpm.loc, "&lt;&gt;Decommisioned")
)</f>
        <v>12</v>
      </c>
      <c r="D537" s="168">
        <f>_xlfn.LET(_xlpm.loc, ITEquipmentTable[Storage Location],
COUNTIFS(ITSecondTable[Tag], ITSecondTable[[#This Row],[Tag]], _xlpm.loc, "Missing")
)</f>
        <v>0</v>
      </c>
      <c r="E537" s="168">
        <f>_xlfn.LET(_xlpm.loc, ITEquipmentTable[Storage Location],
COUNTIFS(ITSecondTable[Tag], ITSecondTable[[#This Row],[Tag]], _xlpm.loc, "In Use") + COUNTIFS(ITSecondTable[Tag], ITSecondTable[[#This Row],[Tag]], _xlpm.loc, "Assigned to Employee")
)</f>
        <v>3</v>
      </c>
      <c r="F537" s="168">
        <f>_xlfn.LET(_xlpm.loc, ITEquipmentTable[Storage Location],
COUNTIFS(ITSecondTable[Tag], ITSecondTable[[#This Row],[Tag]], _xlpm.loc, "")
)</f>
        <v>7</v>
      </c>
      <c r="G537" s="168">
        <f>MAX(ITSecondTable[[#This Row],[SQty]] - ITSecondTable[[#This Row],[IQty]], 0)</f>
        <v>0</v>
      </c>
      <c r="H537" s="168">
        <f>MAX(ITSecondTable[[#This Row],[IQty]]-ITSecondTable[[#This Row],[SQty]], 0)</f>
        <v>0</v>
      </c>
      <c r="I537" s="151" t="str">
        <f>IFERROR(_xlfn.TEXTJOIN("~", TRUE, ITEquipmentTable[[#This Row],[Type]],ITEquipmentTable[[#This Row],[Brand]],ITEquipmentTable[[#This Row],[Model]]), "")</f>
        <v>Radio~Motorola~SL300</v>
      </c>
      <c r="J537" s="151" t="b">
        <f xml:space="preserve"> _xlfn.IFNA(MATCH( ITSecondTable[[#This Row],[Tag]], StorageTable[Tag], 0)  &gt; -1, FALSE)</f>
        <v>0</v>
      </c>
      <c r="K537" s="168" t="b">
        <f>COUNTIFS(ITEquipmentTable[Serial], ITEquipmentTable[[#This Row],[Serial]], ITEquipmentTable[Serial], "&lt;&gt;N/A") &gt; 1</f>
        <v>0</v>
      </c>
      <c r="L537" s="168" t="b">
        <f>COUNTIFS(ITEquipmentTable[Name], ITEquipmentTable[[#This Row],[Name]], ITEquipmentTable[Name], "&lt;&gt;&lt;Unassigned&gt;",  ITEquipmentTable[Name], "&lt;&gt;N/A") &gt; 1</f>
        <v>0</v>
      </c>
      <c r="M537" s="168" t="b">
        <f>AND(COUNTIFS(ITEquipmentTable[IPv4 Address], ITEquipmentTable[[#This Row],[IPv4 Address]]) &gt; 1, ITEquipmentTable[[#This Row],[IPv4 Address]] &lt;&gt; "DHCP",  ITEquipmentTable[[#This Row],[IPv4 Address]] &lt;&gt; "N/A")</f>
        <v>0</v>
      </c>
    </row>
    <row r="538" spans="1:13" x14ac:dyDescent="0.2">
      <c r="A538" s="168">
        <f>IF(LEN(ITSecondTable[[#This Row],[Tag]]) &gt; 0, _xlfn.XLOOKUP(ITSecondTable[[#This Row],[Tag]],StorageTable[Tag], StorageTable[In Storage - Count Total], "Err", 0, 1), 0)</f>
        <v>2</v>
      </c>
      <c r="B538" s="1">
        <f>_xlfn.LET(_xlpm.loc, ITEquipmentTable[Storage Location],
COUNTIFS(ITSecondTable[Tag], ITSecondTable[[#This Row],[Tag]], _xlpm.loc, "&lt;&gt;In Use", _xlpm.loc, "&lt;&gt;",  _xlpm.loc, "&lt;&gt;E-Waste", _xlpm.loc, "&lt;&gt;Virtual",  _xlpm.loc, "&lt;&gt;Assigned to Employee", _xlpm.loc, "&lt;&gt;Decommisioned", _xlpm.loc, "&lt;&gt;Missing")
)</f>
        <v>2</v>
      </c>
      <c r="C538" s="1">
        <f>_xlfn.LET(_xlpm.loc, ITEquipmentTable[Storage Location],
COUNTIFS(ITSecondTable[Tag], ITSecondTable[[#This Row],[Tag]], _xlpm.loc, "&lt;&gt;E-Waste", _xlpm.loc, "&lt;&gt;Virtual", _xlpm.loc, "&lt;&gt;Decommisioned")
)</f>
        <v>12</v>
      </c>
      <c r="D538" s="168">
        <f>_xlfn.LET(_xlpm.loc, ITEquipmentTable[Storage Location],
COUNTIFS(ITSecondTable[Tag], ITSecondTable[[#This Row],[Tag]], _xlpm.loc, "Missing")
)</f>
        <v>0</v>
      </c>
      <c r="E538" s="168">
        <f>_xlfn.LET(_xlpm.loc, ITEquipmentTable[Storage Location],
COUNTIFS(ITSecondTable[Tag], ITSecondTable[[#This Row],[Tag]], _xlpm.loc, "In Use") + COUNTIFS(ITSecondTable[Tag], ITSecondTable[[#This Row],[Tag]], _xlpm.loc, "Assigned to Employee")
)</f>
        <v>3</v>
      </c>
      <c r="F538" s="168">
        <f>_xlfn.LET(_xlpm.loc, ITEquipmentTable[Storage Location],
COUNTIFS(ITSecondTable[Tag], ITSecondTable[[#This Row],[Tag]], _xlpm.loc, "")
)</f>
        <v>7</v>
      </c>
      <c r="G538" s="168">
        <f>MAX(ITSecondTable[[#This Row],[SQty]] - ITSecondTable[[#This Row],[IQty]], 0)</f>
        <v>0</v>
      </c>
      <c r="H538" s="168">
        <f>MAX(ITSecondTable[[#This Row],[IQty]]-ITSecondTable[[#This Row],[SQty]], 0)</f>
        <v>0</v>
      </c>
      <c r="I538" s="151" t="str">
        <f>IFERROR(_xlfn.TEXTJOIN("~", TRUE, ITEquipmentTable[[#This Row],[Type]],ITEquipmentTable[[#This Row],[Brand]],ITEquipmentTable[[#This Row],[Model]]), "")</f>
        <v>Radio~Motorola~SL300</v>
      </c>
      <c r="J538" s="151" t="b">
        <f xml:space="preserve"> _xlfn.IFNA(MATCH( ITSecondTable[[#This Row],[Tag]], StorageTable[Tag], 0)  &gt; -1, FALSE)</f>
        <v>0</v>
      </c>
      <c r="K538" s="168" t="b">
        <f>COUNTIFS(ITEquipmentTable[Serial], ITEquipmentTable[[#This Row],[Serial]], ITEquipmentTable[Serial], "&lt;&gt;N/A") &gt; 1</f>
        <v>0</v>
      </c>
      <c r="L538" s="168" t="b">
        <f>COUNTIFS(ITEquipmentTable[Name], ITEquipmentTable[[#This Row],[Name]], ITEquipmentTable[Name], "&lt;&gt;&lt;Unassigned&gt;",  ITEquipmentTable[Name], "&lt;&gt;N/A") &gt; 1</f>
        <v>0</v>
      </c>
      <c r="M538" s="168" t="b">
        <f>AND(COUNTIFS(ITEquipmentTable[IPv4 Address], ITEquipmentTable[[#This Row],[IPv4 Address]]) &gt; 1, ITEquipmentTable[[#This Row],[IPv4 Address]] &lt;&gt; "DHCP",  ITEquipmentTable[[#This Row],[IPv4 Address]] &lt;&gt; "N/A")</f>
        <v>0</v>
      </c>
    </row>
    <row r="539" spans="1:13" x14ac:dyDescent="0.2">
      <c r="A539" s="168">
        <f>IF(LEN(ITSecondTable[[#This Row],[Tag]]) &gt; 0, _xlfn.XLOOKUP(ITSecondTable[[#This Row],[Tag]],StorageTable[Tag], StorageTable[In Storage - Count Total], "Err", 0, 1), 0)</f>
        <v>0</v>
      </c>
      <c r="B539" s="1">
        <f>_xlfn.LET(_xlpm.loc, ITEquipmentTable[Storage Location],
COUNTIFS(ITSecondTable[Tag], ITSecondTable[[#This Row],[Tag]], _xlpm.loc, "&lt;&gt;In Use", _xlpm.loc, "&lt;&gt;",  _xlpm.loc, "&lt;&gt;E-Waste", _xlpm.loc, "&lt;&gt;Virtual",  _xlpm.loc, "&lt;&gt;Assigned to Employee", _xlpm.loc, "&lt;&gt;Decommisioned", _xlpm.loc, "&lt;&gt;Missing")
)</f>
        <v>1</v>
      </c>
      <c r="C539" s="1">
        <f>_xlfn.LET(_xlpm.loc, ITEquipmentTable[Storage Location],
COUNTIFS(ITSecondTable[Tag], ITSecondTable[[#This Row],[Tag]], _xlpm.loc, "&lt;&gt;E-Waste", _xlpm.loc, "&lt;&gt;Virtual", _xlpm.loc, "&lt;&gt;Decommisioned")
)</f>
        <v>1</v>
      </c>
      <c r="D539" s="168">
        <f>_xlfn.LET(_xlpm.loc, ITEquipmentTable[Storage Location],
COUNTIFS(ITSecondTable[Tag], ITSecondTable[[#This Row],[Tag]], _xlpm.loc, "Missing")
)</f>
        <v>0</v>
      </c>
      <c r="E539" s="168">
        <f>_xlfn.LET(_xlpm.loc, ITEquipmentTable[Storage Location],
COUNTIFS(ITSecondTable[Tag], ITSecondTable[[#This Row],[Tag]], _xlpm.loc, "In Use") + COUNTIFS(ITSecondTable[Tag], ITSecondTable[[#This Row],[Tag]], _xlpm.loc, "Assigned to Employee")
)</f>
        <v>0</v>
      </c>
      <c r="F539" s="168">
        <f>_xlfn.LET(_xlpm.loc, ITEquipmentTable[Storage Location],
COUNTIFS(ITSecondTable[Tag], ITSecondTable[[#This Row],[Tag]], _xlpm.loc, "")
)</f>
        <v>0</v>
      </c>
      <c r="G539" s="168">
        <f>MAX(ITSecondTable[[#This Row],[SQty]] - ITSecondTable[[#This Row],[IQty]], 0)</f>
        <v>1</v>
      </c>
      <c r="H539" s="168">
        <f>MAX(ITSecondTable[[#This Row],[IQty]]-ITSecondTable[[#This Row],[SQty]], 0)</f>
        <v>0</v>
      </c>
      <c r="I539" s="151" t="str">
        <f>IFERROR(_xlfn.TEXTJOIN("~", TRUE, ITEquipmentTable[[#This Row],[Type]],ITEquipmentTable[[#This Row],[Brand]],ITEquipmentTable[[#This Row],[Model]]), "")</f>
        <v>TV~RCA~SLD40HG45RQ</v>
      </c>
      <c r="J539" s="151" t="b">
        <f xml:space="preserve"> _xlfn.IFNA(MATCH( ITSecondTable[[#This Row],[Tag]], StorageTable[Tag], 0)  &gt; -1, FALSE)</f>
        <v>0</v>
      </c>
      <c r="K539" s="168" t="b">
        <f>COUNTIFS(ITEquipmentTable[Serial], ITEquipmentTable[[#This Row],[Serial]], ITEquipmentTable[Serial], "&lt;&gt;N/A") &gt; 1</f>
        <v>0</v>
      </c>
      <c r="L539" s="168" t="b">
        <f>COUNTIFS(ITEquipmentTable[Name], ITEquipmentTable[[#This Row],[Name]], ITEquipmentTable[Name], "&lt;&gt;&lt;Unassigned&gt;",  ITEquipmentTable[Name], "&lt;&gt;N/A") &gt; 1</f>
        <v>0</v>
      </c>
      <c r="M539" s="168" t="b">
        <f>AND(COUNTIFS(ITEquipmentTable[IPv4 Address], ITEquipmentTable[[#This Row],[IPv4 Address]]) &gt; 1, ITEquipmentTable[[#This Row],[IPv4 Address]] &lt;&gt; "DHCP",  ITEquipmentTable[[#This Row],[IPv4 Address]] &lt;&gt; "N/A")</f>
        <v>0</v>
      </c>
    </row>
    <row r="540" spans="1:13" x14ac:dyDescent="0.2">
      <c r="A540" s="168">
        <f>IF(LEN(ITSecondTable[[#This Row],[Tag]]) &gt; 0, _xlfn.XLOOKUP(ITSecondTable[[#This Row],[Tag]],StorageTable[Tag], StorageTable[In Storage - Count Total], "Err", 0, 1), 0)</f>
        <v>25</v>
      </c>
      <c r="B540" s="1">
        <f>_xlfn.LET(_xlpm.loc, ITEquipmentTable[Storage Location],
COUNTIFS(ITSecondTable[Tag], ITSecondTable[[#This Row],[Tag]], _xlpm.loc, "&lt;&gt;In Use", _xlpm.loc, "&lt;&gt;",  _xlpm.loc, "&lt;&gt;E-Waste", _xlpm.loc, "&lt;&gt;Virtual",  _xlpm.loc, "&lt;&gt;Assigned to Employee", _xlpm.loc, "&lt;&gt;Decommisioned", _xlpm.loc, "&lt;&gt;Missing")
)</f>
        <v>36</v>
      </c>
      <c r="C540" s="1">
        <f>_xlfn.LET(_xlpm.loc, ITEquipmentTable[Storage Location],
COUNTIFS(ITSecondTable[Tag], ITSecondTable[[#This Row],[Tag]], _xlpm.loc, "&lt;&gt;E-Waste", _xlpm.loc, "&lt;&gt;Virtual", _xlpm.loc, "&lt;&gt;Decommisioned")
)</f>
        <v>41</v>
      </c>
      <c r="D540" s="168">
        <f>_xlfn.LET(_xlpm.loc, ITEquipmentTable[Storage Location],
COUNTIFS(ITSecondTable[Tag], ITSecondTable[[#This Row],[Tag]], _xlpm.loc, "Missing")
)</f>
        <v>0</v>
      </c>
      <c r="E540" s="168">
        <f>_xlfn.LET(_xlpm.loc, ITEquipmentTable[Storage Location],
COUNTIFS(ITSecondTable[Tag], ITSecondTable[[#This Row],[Tag]], _xlpm.loc, "In Use") + COUNTIFS(ITSecondTable[Tag], ITSecondTable[[#This Row],[Tag]], _xlpm.loc, "Assigned to Employee")
)</f>
        <v>5</v>
      </c>
      <c r="F540" s="168">
        <f>_xlfn.LET(_xlpm.loc, ITEquipmentTable[Storage Location],
COUNTIFS(ITSecondTable[Tag], ITSecondTable[[#This Row],[Tag]], _xlpm.loc, "")
)</f>
        <v>0</v>
      </c>
      <c r="G540" s="168">
        <f>MAX(ITSecondTable[[#This Row],[SQty]] - ITSecondTable[[#This Row],[IQty]], 0)</f>
        <v>11</v>
      </c>
      <c r="H540" s="168">
        <f>MAX(ITSecondTable[[#This Row],[IQty]]-ITSecondTable[[#This Row],[SQty]], 0)</f>
        <v>0</v>
      </c>
      <c r="I540" s="151" t="str">
        <f>IFERROR(_xlfn.TEXTJOIN("~", TRUE, ITEquipmentTable[[#This Row],[Type]],ITEquipmentTable[[#This Row],[Brand]],ITEquipmentTable[[#This Row],[Model]]), "")</f>
        <v>Monitor~Acer~V206HQL</v>
      </c>
      <c r="J540" s="151" t="b">
        <f xml:space="preserve"> _xlfn.IFNA(MATCH( ITSecondTable[[#This Row],[Tag]], StorageTable[Tag], 0)  &gt; -1, FALSE)</f>
        <v>0</v>
      </c>
      <c r="K540" s="168" t="b">
        <f>COUNTIFS(ITEquipmentTable[Serial], ITEquipmentTable[[#This Row],[Serial]], ITEquipmentTable[Serial], "&lt;&gt;N/A") &gt; 1</f>
        <v>0</v>
      </c>
      <c r="L540" s="168" t="b">
        <f>COUNTIFS(ITEquipmentTable[Name], ITEquipmentTable[[#This Row],[Name]], ITEquipmentTable[Name], "&lt;&gt;&lt;Unassigned&gt;",  ITEquipmentTable[Name], "&lt;&gt;N/A") &gt; 1</f>
        <v>0</v>
      </c>
      <c r="M540" s="168" t="b">
        <f>AND(COUNTIFS(ITEquipmentTable[IPv4 Address], ITEquipmentTable[[#This Row],[IPv4 Address]]) &gt; 1, ITEquipmentTable[[#This Row],[IPv4 Address]] &lt;&gt; "DHCP",  ITEquipmentTable[[#This Row],[IPv4 Address]] &lt;&gt; "N/A")</f>
        <v>0</v>
      </c>
    </row>
    <row r="541" spans="1:13" x14ac:dyDescent="0.2">
      <c r="A541" s="168">
        <f>IF(LEN(ITSecondTable[[#This Row],[Tag]]) &gt; 0, _xlfn.XLOOKUP(ITSecondTable[[#This Row],[Tag]],StorageTable[Tag], StorageTable[In Storage - Count Total], "Err", 0, 1), 0)</f>
        <v>25</v>
      </c>
      <c r="B541" s="1">
        <f>_xlfn.LET(_xlpm.loc, ITEquipmentTable[Storage Location],
COUNTIFS(ITSecondTable[Tag], ITSecondTable[[#This Row],[Tag]], _xlpm.loc, "&lt;&gt;In Use", _xlpm.loc, "&lt;&gt;",  _xlpm.loc, "&lt;&gt;E-Waste", _xlpm.loc, "&lt;&gt;Virtual",  _xlpm.loc, "&lt;&gt;Assigned to Employee", _xlpm.loc, "&lt;&gt;Decommisioned", _xlpm.loc, "&lt;&gt;Missing")
)</f>
        <v>36</v>
      </c>
      <c r="C541" s="1">
        <f>_xlfn.LET(_xlpm.loc, ITEquipmentTable[Storage Location],
COUNTIFS(ITSecondTable[Tag], ITSecondTable[[#This Row],[Tag]], _xlpm.loc, "&lt;&gt;E-Waste", _xlpm.loc, "&lt;&gt;Virtual", _xlpm.loc, "&lt;&gt;Decommisioned")
)</f>
        <v>41</v>
      </c>
      <c r="D541" s="168">
        <f>_xlfn.LET(_xlpm.loc, ITEquipmentTable[Storage Location],
COUNTIFS(ITSecondTable[Tag], ITSecondTable[[#This Row],[Tag]], _xlpm.loc, "Missing")
)</f>
        <v>0</v>
      </c>
      <c r="E541" s="168">
        <f>_xlfn.LET(_xlpm.loc, ITEquipmentTable[Storage Location],
COUNTIFS(ITSecondTable[Tag], ITSecondTable[[#This Row],[Tag]], _xlpm.loc, "In Use") + COUNTIFS(ITSecondTable[Tag], ITSecondTable[[#This Row],[Tag]], _xlpm.loc, "Assigned to Employee")
)</f>
        <v>5</v>
      </c>
      <c r="F541" s="168">
        <f>_xlfn.LET(_xlpm.loc, ITEquipmentTable[Storage Location],
COUNTIFS(ITSecondTable[Tag], ITSecondTable[[#This Row],[Tag]], _xlpm.loc, "")
)</f>
        <v>0</v>
      </c>
      <c r="G541" s="168">
        <f>MAX(ITSecondTable[[#This Row],[SQty]] - ITSecondTable[[#This Row],[IQty]], 0)</f>
        <v>11</v>
      </c>
      <c r="H541" s="168">
        <f>MAX(ITSecondTable[[#This Row],[IQty]]-ITSecondTable[[#This Row],[SQty]], 0)</f>
        <v>0</v>
      </c>
      <c r="I541" s="151" t="str">
        <f>IFERROR(_xlfn.TEXTJOIN("~", TRUE, ITEquipmentTable[[#This Row],[Type]],ITEquipmentTable[[#This Row],[Brand]],ITEquipmentTable[[#This Row],[Model]]), "")</f>
        <v>Monitor~Acer~V206HQL</v>
      </c>
      <c r="J541" s="151" t="b">
        <f xml:space="preserve"> _xlfn.IFNA(MATCH( ITSecondTable[[#This Row],[Tag]], StorageTable[Tag], 0)  &gt; -1, FALSE)</f>
        <v>0</v>
      </c>
      <c r="K541" s="168" t="b">
        <f>COUNTIFS(ITEquipmentTable[Serial], ITEquipmentTable[[#This Row],[Serial]], ITEquipmentTable[Serial], "&lt;&gt;N/A") &gt; 1</f>
        <v>0</v>
      </c>
      <c r="L541" s="168" t="b">
        <f>COUNTIFS(ITEquipmentTable[Name], ITEquipmentTable[[#This Row],[Name]], ITEquipmentTable[Name], "&lt;&gt;&lt;Unassigned&gt;",  ITEquipmentTable[Name], "&lt;&gt;N/A") &gt; 1</f>
        <v>0</v>
      </c>
      <c r="M541" s="168" t="b">
        <f>AND(COUNTIFS(ITEquipmentTable[IPv4 Address], ITEquipmentTable[[#This Row],[IPv4 Address]]) &gt; 1, ITEquipmentTable[[#This Row],[IPv4 Address]] &lt;&gt; "DHCP",  ITEquipmentTable[[#This Row],[IPv4 Address]] &lt;&gt; "N/A")</f>
        <v>0</v>
      </c>
    </row>
    <row r="542" spans="1:13" x14ac:dyDescent="0.2">
      <c r="A542" s="168">
        <f>IF(LEN(ITSecondTable[[#This Row],[Tag]]) &gt; 0, _xlfn.XLOOKUP(ITSecondTable[[#This Row],[Tag]],StorageTable[Tag], StorageTable[In Storage - Count Total], "Err", 0, 1), 0)</f>
        <v>25</v>
      </c>
      <c r="B542" s="1">
        <f>_xlfn.LET(_xlpm.loc, ITEquipmentTable[Storage Location],
COUNTIFS(ITSecondTable[Tag], ITSecondTable[[#This Row],[Tag]], _xlpm.loc, "&lt;&gt;In Use", _xlpm.loc, "&lt;&gt;",  _xlpm.loc, "&lt;&gt;E-Waste", _xlpm.loc, "&lt;&gt;Virtual",  _xlpm.loc, "&lt;&gt;Assigned to Employee", _xlpm.loc, "&lt;&gt;Decommisioned", _xlpm.loc, "&lt;&gt;Missing")
)</f>
        <v>36</v>
      </c>
      <c r="C542" s="1">
        <f>_xlfn.LET(_xlpm.loc, ITEquipmentTable[Storage Location],
COUNTIFS(ITSecondTable[Tag], ITSecondTable[[#This Row],[Tag]], _xlpm.loc, "&lt;&gt;E-Waste", _xlpm.loc, "&lt;&gt;Virtual", _xlpm.loc, "&lt;&gt;Decommisioned")
)</f>
        <v>41</v>
      </c>
      <c r="D542" s="168">
        <f>_xlfn.LET(_xlpm.loc, ITEquipmentTable[Storage Location],
COUNTIFS(ITSecondTable[Tag], ITSecondTable[[#This Row],[Tag]], _xlpm.loc, "Missing")
)</f>
        <v>0</v>
      </c>
      <c r="E542" s="168">
        <f>_xlfn.LET(_xlpm.loc, ITEquipmentTable[Storage Location],
COUNTIFS(ITSecondTable[Tag], ITSecondTable[[#This Row],[Tag]], _xlpm.loc, "In Use") + COUNTIFS(ITSecondTable[Tag], ITSecondTable[[#This Row],[Tag]], _xlpm.loc, "Assigned to Employee")
)</f>
        <v>5</v>
      </c>
      <c r="F542" s="168">
        <f>_xlfn.LET(_xlpm.loc, ITEquipmentTable[Storage Location],
COUNTIFS(ITSecondTable[Tag], ITSecondTable[[#This Row],[Tag]], _xlpm.loc, "")
)</f>
        <v>0</v>
      </c>
      <c r="G542" s="168">
        <f>MAX(ITSecondTable[[#This Row],[SQty]] - ITSecondTable[[#This Row],[IQty]], 0)</f>
        <v>11</v>
      </c>
      <c r="H542" s="168">
        <f>MAX(ITSecondTable[[#This Row],[IQty]]-ITSecondTable[[#This Row],[SQty]], 0)</f>
        <v>0</v>
      </c>
      <c r="I542" s="151" t="str">
        <f>IFERROR(_xlfn.TEXTJOIN("~", TRUE, ITEquipmentTable[[#This Row],[Type]],ITEquipmentTable[[#This Row],[Brand]],ITEquipmentTable[[#This Row],[Model]]), "")</f>
        <v>Monitor~Acer~V206HQL</v>
      </c>
      <c r="J542" s="151" t="b">
        <f xml:space="preserve"> _xlfn.IFNA(MATCH( ITSecondTable[[#This Row],[Tag]], StorageTable[Tag], 0)  &gt; -1, FALSE)</f>
        <v>0</v>
      </c>
      <c r="K542" s="168" t="b">
        <f>COUNTIFS(ITEquipmentTable[Serial], ITEquipmentTable[[#This Row],[Serial]], ITEquipmentTable[Serial], "&lt;&gt;N/A") &gt; 1</f>
        <v>0</v>
      </c>
      <c r="L542" s="168" t="b">
        <f>COUNTIFS(ITEquipmentTable[Name], ITEquipmentTable[[#This Row],[Name]], ITEquipmentTable[Name], "&lt;&gt;&lt;Unassigned&gt;",  ITEquipmentTable[Name], "&lt;&gt;N/A") &gt; 1</f>
        <v>0</v>
      </c>
      <c r="M542" s="168" t="b">
        <f>AND(COUNTIFS(ITEquipmentTable[IPv4 Address], ITEquipmentTable[[#This Row],[IPv4 Address]]) &gt; 1, ITEquipmentTable[[#This Row],[IPv4 Address]] &lt;&gt; "DHCP",  ITEquipmentTable[[#This Row],[IPv4 Address]] &lt;&gt; "N/A")</f>
        <v>0</v>
      </c>
    </row>
    <row r="543" spans="1:13" x14ac:dyDescent="0.2">
      <c r="A543" s="168">
        <f>IF(LEN(ITSecondTable[[#This Row],[Tag]]) &gt; 0, _xlfn.XLOOKUP(ITSecondTable[[#This Row],[Tag]],StorageTable[Tag], StorageTable[In Storage - Count Total], "Err", 0, 1), 0)</f>
        <v>25</v>
      </c>
      <c r="B543" s="1">
        <f>_xlfn.LET(_xlpm.loc, ITEquipmentTable[Storage Location],
COUNTIFS(ITSecondTable[Tag], ITSecondTable[[#This Row],[Tag]], _xlpm.loc, "&lt;&gt;In Use", _xlpm.loc, "&lt;&gt;",  _xlpm.loc, "&lt;&gt;E-Waste", _xlpm.loc, "&lt;&gt;Virtual",  _xlpm.loc, "&lt;&gt;Assigned to Employee", _xlpm.loc, "&lt;&gt;Decommisioned", _xlpm.loc, "&lt;&gt;Missing")
)</f>
        <v>36</v>
      </c>
      <c r="C543" s="1">
        <f>_xlfn.LET(_xlpm.loc, ITEquipmentTable[Storage Location],
COUNTIFS(ITSecondTable[Tag], ITSecondTable[[#This Row],[Tag]], _xlpm.loc, "&lt;&gt;E-Waste", _xlpm.loc, "&lt;&gt;Virtual", _xlpm.loc, "&lt;&gt;Decommisioned")
)</f>
        <v>41</v>
      </c>
      <c r="D543" s="168">
        <f>_xlfn.LET(_xlpm.loc, ITEquipmentTable[Storage Location],
COUNTIFS(ITSecondTable[Tag], ITSecondTable[[#This Row],[Tag]], _xlpm.loc, "Missing")
)</f>
        <v>0</v>
      </c>
      <c r="E543" s="168">
        <f>_xlfn.LET(_xlpm.loc, ITEquipmentTable[Storage Location],
COUNTIFS(ITSecondTable[Tag], ITSecondTable[[#This Row],[Tag]], _xlpm.loc, "In Use") + COUNTIFS(ITSecondTable[Tag], ITSecondTable[[#This Row],[Tag]], _xlpm.loc, "Assigned to Employee")
)</f>
        <v>5</v>
      </c>
      <c r="F543" s="168">
        <f>_xlfn.LET(_xlpm.loc, ITEquipmentTable[Storage Location],
COUNTIFS(ITSecondTable[Tag], ITSecondTable[[#This Row],[Tag]], _xlpm.loc, "")
)</f>
        <v>0</v>
      </c>
      <c r="G543" s="168">
        <f>MAX(ITSecondTable[[#This Row],[SQty]] - ITSecondTable[[#This Row],[IQty]], 0)</f>
        <v>11</v>
      </c>
      <c r="H543" s="168">
        <f>MAX(ITSecondTable[[#This Row],[IQty]]-ITSecondTable[[#This Row],[SQty]], 0)</f>
        <v>0</v>
      </c>
      <c r="I543" s="151" t="str">
        <f>IFERROR(_xlfn.TEXTJOIN("~", TRUE, ITEquipmentTable[[#This Row],[Type]],ITEquipmentTable[[#This Row],[Brand]],ITEquipmentTable[[#This Row],[Model]]), "")</f>
        <v>Monitor~Acer~V206HQL</v>
      </c>
      <c r="J543" s="151" t="b">
        <f xml:space="preserve"> _xlfn.IFNA(MATCH( ITSecondTable[[#This Row],[Tag]], StorageTable[Tag], 0)  &gt; -1, FALSE)</f>
        <v>0</v>
      </c>
      <c r="K543" s="168" t="b">
        <f>COUNTIFS(ITEquipmentTable[Serial], ITEquipmentTable[[#This Row],[Serial]], ITEquipmentTable[Serial], "&lt;&gt;N/A") &gt; 1</f>
        <v>0</v>
      </c>
      <c r="L543" s="168" t="b">
        <f>COUNTIFS(ITEquipmentTable[Name], ITEquipmentTable[[#This Row],[Name]], ITEquipmentTable[Name], "&lt;&gt;&lt;Unassigned&gt;",  ITEquipmentTable[Name], "&lt;&gt;N/A") &gt; 1</f>
        <v>0</v>
      </c>
      <c r="M543" s="168" t="b">
        <f>AND(COUNTIFS(ITEquipmentTable[IPv4 Address], ITEquipmentTable[[#This Row],[IPv4 Address]]) &gt; 1, ITEquipmentTable[[#This Row],[IPv4 Address]] &lt;&gt; "DHCP",  ITEquipmentTable[[#This Row],[IPv4 Address]] &lt;&gt; "N/A")</f>
        <v>0</v>
      </c>
    </row>
    <row r="544" spans="1:13" x14ac:dyDescent="0.2">
      <c r="A544" s="168">
        <f>IF(LEN(ITSecondTable[[#This Row],[Tag]]) &gt; 0, _xlfn.XLOOKUP(ITSecondTable[[#This Row],[Tag]],StorageTable[Tag], StorageTable[In Storage - Count Total], "Err", 0, 1), 0)</f>
        <v>25</v>
      </c>
      <c r="B544" s="1">
        <f>_xlfn.LET(_xlpm.loc, ITEquipmentTable[Storage Location],
COUNTIFS(ITSecondTable[Tag], ITSecondTable[[#This Row],[Tag]], _xlpm.loc, "&lt;&gt;In Use", _xlpm.loc, "&lt;&gt;",  _xlpm.loc, "&lt;&gt;E-Waste", _xlpm.loc, "&lt;&gt;Virtual",  _xlpm.loc, "&lt;&gt;Assigned to Employee", _xlpm.loc, "&lt;&gt;Decommisioned", _xlpm.loc, "&lt;&gt;Missing")
)</f>
        <v>36</v>
      </c>
      <c r="C544" s="1">
        <f>_xlfn.LET(_xlpm.loc, ITEquipmentTable[Storage Location],
COUNTIFS(ITSecondTable[Tag], ITSecondTable[[#This Row],[Tag]], _xlpm.loc, "&lt;&gt;E-Waste", _xlpm.loc, "&lt;&gt;Virtual", _xlpm.loc, "&lt;&gt;Decommisioned")
)</f>
        <v>41</v>
      </c>
      <c r="D544" s="168">
        <f>_xlfn.LET(_xlpm.loc, ITEquipmentTable[Storage Location],
COUNTIFS(ITSecondTable[Tag], ITSecondTable[[#This Row],[Tag]], _xlpm.loc, "Missing")
)</f>
        <v>0</v>
      </c>
      <c r="E544" s="168">
        <f>_xlfn.LET(_xlpm.loc, ITEquipmentTable[Storage Location],
COUNTIFS(ITSecondTable[Tag], ITSecondTable[[#This Row],[Tag]], _xlpm.loc, "In Use") + COUNTIFS(ITSecondTable[Tag], ITSecondTable[[#This Row],[Tag]], _xlpm.loc, "Assigned to Employee")
)</f>
        <v>5</v>
      </c>
      <c r="F544" s="168">
        <f>_xlfn.LET(_xlpm.loc, ITEquipmentTable[Storage Location],
COUNTIFS(ITSecondTable[Tag], ITSecondTable[[#This Row],[Tag]], _xlpm.loc, "")
)</f>
        <v>0</v>
      </c>
      <c r="G544" s="168">
        <f>MAX(ITSecondTable[[#This Row],[SQty]] - ITSecondTable[[#This Row],[IQty]], 0)</f>
        <v>11</v>
      </c>
      <c r="H544" s="168">
        <f>MAX(ITSecondTable[[#This Row],[IQty]]-ITSecondTable[[#This Row],[SQty]], 0)</f>
        <v>0</v>
      </c>
      <c r="I544" s="151" t="str">
        <f>IFERROR(_xlfn.TEXTJOIN("~", TRUE, ITEquipmentTable[[#This Row],[Type]],ITEquipmentTable[[#This Row],[Brand]],ITEquipmentTable[[#This Row],[Model]]), "")</f>
        <v>Monitor~Acer~V206HQL</v>
      </c>
      <c r="J544" s="151" t="b">
        <f xml:space="preserve"> _xlfn.IFNA(MATCH( ITSecondTable[[#This Row],[Tag]], StorageTable[Tag], 0)  &gt; -1, FALSE)</f>
        <v>0</v>
      </c>
      <c r="K544" s="168" t="b">
        <f>COUNTIFS(ITEquipmentTable[Serial], ITEquipmentTable[[#This Row],[Serial]], ITEquipmentTable[Serial], "&lt;&gt;N/A") &gt; 1</f>
        <v>0</v>
      </c>
      <c r="L544" s="168" t="b">
        <f>COUNTIFS(ITEquipmentTable[Name], ITEquipmentTable[[#This Row],[Name]], ITEquipmentTable[Name], "&lt;&gt;&lt;Unassigned&gt;",  ITEquipmentTable[Name], "&lt;&gt;N/A") &gt; 1</f>
        <v>0</v>
      </c>
      <c r="M544" s="168" t="b">
        <f>AND(COUNTIFS(ITEquipmentTable[IPv4 Address], ITEquipmentTable[[#This Row],[IPv4 Address]]) &gt; 1, ITEquipmentTable[[#This Row],[IPv4 Address]] &lt;&gt; "DHCP",  ITEquipmentTable[[#This Row],[IPv4 Address]] &lt;&gt; "N/A")</f>
        <v>0</v>
      </c>
    </row>
    <row r="545" spans="1:13" x14ac:dyDescent="0.2">
      <c r="A545" s="168">
        <f>IF(LEN(ITSecondTable[[#This Row],[Tag]]) &gt; 0, _xlfn.XLOOKUP(ITSecondTable[[#This Row],[Tag]],StorageTable[Tag], StorageTable[In Storage - Count Total], "Err", 0, 1), 0)</f>
        <v>25</v>
      </c>
      <c r="B545" s="1">
        <f>_xlfn.LET(_xlpm.loc, ITEquipmentTable[Storage Location],
COUNTIFS(ITSecondTable[Tag], ITSecondTable[[#This Row],[Tag]], _xlpm.loc, "&lt;&gt;In Use", _xlpm.loc, "&lt;&gt;",  _xlpm.loc, "&lt;&gt;E-Waste", _xlpm.loc, "&lt;&gt;Virtual",  _xlpm.loc, "&lt;&gt;Assigned to Employee", _xlpm.loc, "&lt;&gt;Decommisioned", _xlpm.loc, "&lt;&gt;Missing")
)</f>
        <v>36</v>
      </c>
      <c r="C545" s="1">
        <f>_xlfn.LET(_xlpm.loc, ITEquipmentTable[Storage Location],
COUNTIFS(ITSecondTable[Tag], ITSecondTable[[#This Row],[Tag]], _xlpm.loc, "&lt;&gt;E-Waste", _xlpm.loc, "&lt;&gt;Virtual", _xlpm.loc, "&lt;&gt;Decommisioned")
)</f>
        <v>41</v>
      </c>
      <c r="D545" s="168">
        <f>_xlfn.LET(_xlpm.loc, ITEquipmentTable[Storage Location],
COUNTIFS(ITSecondTable[Tag], ITSecondTable[[#This Row],[Tag]], _xlpm.loc, "Missing")
)</f>
        <v>0</v>
      </c>
      <c r="E545" s="168">
        <f>_xlfn.LET(_xlpm.loc, ITEquipmentTable[Storage Location],
COUNTIFS(ITSecondTable[Tag], ITSecondTable[[#This Row],[Tag]], _xlpm.loc, "In Use") + COUNTIFS(ITSecondTable[Tag], ITSecondTable[[#This Row],[Tag]], _xlpm.loc, "Assigned to Employee")
)</f>
        <v>5</v>
      </c>
      <c r="F545" s="168">
        <f>_xlfn.LET(_xlpm.loc, ITEquipmentTable[Storage Location],
COUNTIFS(ITSecondTable[Tag], ITSecondTable[[#This Row],[Tag]], _xlpm.loc, "")
)</f>
        <v>0</v>
      </c>
      <c r="G545" s="168">
        <f>MAX(ITSecondTable[[#This Row],[SQty]] - ITSecondTable[[#This Row],[IQty]], 0)</f>
        <v>11</v>
      </c>
      <c r="H545" s="168">
        <f>MAX(ITSecondTable[[#This Row],[IQty]]-ITSecondTable[[#This Row],[SQty]], 0)</f>
        <v>0</v>
      </c>
      <c r="I545" s="151" t="str">
        <f>IFERROR(_xlfn.TEXTJOIN("~", TRUE, ITEquipmentTable[[#This Row],[Type]],ITEquipmentTable[[#This Row],[Brand]],ITEquipmentTable[[#This Row],[Model]]), "")</f>
        <v>Monitor~Acer~V206HQL</v>
      </c>
      <c r="J545" s="151" t="b">
        <f xml:space="preserve"> _xlfn.IFNA(MATCH( ITSecondTable[[#This Row],[Tag]], StorageTable[Tag], 0)  &gt; -1, FALSE)</f>
        <v>0</v>
      </c>
      <c r="K545" s="168" t="b">
        <f>COUNTIFS(ITEquipmentTable[Serial], ITEquipmentTable[[#This Row],[Serial]], ITEquipmentTable[Serial], "&lt;&gt;N/A") &gt; 1</f>
        <v>0</v>
      </c>
      <c r="L545" s="168" t="b">
        <f>COUNTIFS(ITEquipmentTable[Name], ITEquipmentTable[[#This Row],[Name]], ITEquipmentTable[Name], "&lt;&gt;&lt;Unassigned&gt;",  ITEquipmentTable[Name], "&lt;&gt;N/A") &gt; 1</f>
        <v>0</v>
      </c>
      <c r="M545" s="168" t="b">
        <f>AND(COUNTIFS(ITEquipmentTable[IPv4 Address], ITEquipmentTable[[#This Row],[IPv4 Address]]) &gt; 1, ITEquipmentTable[[#This Row],[IPv4 Address]] &lt;&gt; "DHCP",  ITEquipmentTable[[#This Row],[IPv4 Address]] &lt;&gt; "N/A")</f>
        <v>0</v>
      </c>
    </row>
    <row r="546" spans="1:13" x14ac:dyDescent="0.2">
      <c r="A546" s="168">
        <f>IF(LEN(ITSecondTable[[#This Row],[Tag]]) &gt; 0, _xlfn.XLOOKUP(ITSecondTable[[#This Row],[Tag]],StorageTable[Tag], StorageTable[In Storage - Count Total], "Err", 0, 1), 0)</f>
        <v>25</v>
      </c>
      <c r="B546" s="1">
        <f>_xlfn.LET(_xlpm.loc, ITEquipmentTable[Storage Location],
COUNTIFS(ITSecondTable[Tag], ITSecondTable[[#This Row],[Tag]], _xlpm.loc, "&lt;&gt;In Use", _xlpm.loc, "&lt;&gt;",  _xlpm.loc, "&lt;&gt;E-Waste", _xlpm.loc, "&lt;&gt;Virtual",  _xlpm.loc, "&lt;&gt;Assigned to Employee", _xlpm.loc, "&lt;&gt;Decommisioned", _xlpm.loc, "&lt;&gt;Missing")
)</f>
        <v>36</v>
      </c>
      <c r="C546" s="1">
        <f>_xlfn.LET(_xlpm.loc, ITEquipmentTable[Storage Location],
COUNTIFS(ITSecondTable[Tag], ITSecondTable[[#This Row],[Tag]], _xlpm.loc, "&lt;&gt;E-Waste", _xlpm.loc, "&lt;&gt;Virtual", _xlpm.loc, "&lt;&gt;Decommisioned")
)</f>
        <v>41</v>
      </c>
      <c r="D546" s="168">
        <f>_xlfn.LET(_xlpm.loc, ITEquipmentTable[Storage Location],
COUNTIFS(ITSecondTable[Tag], ITSecondTable[[#This Row],[Tag]], _xlpm.loc, "Missing")
)</f>
        <v>0</v>
      </c>
      <c r="E546" s="168">
        <f>_xlfn.LET(_xlpm.loc, ITEquipmentTable[Storage Location],
COUNTIFS(ITSecondTable[Tag], ITSecondTable[[#This Row],[Tag]], _xlpm.loc, "In Use") + COUNTIFS(ITSecondTable[Tag], ITSecondTable[[#This Row],[Tag]], _xlpm.loc, "Assigned to Employee")
)</f>
        <v>5</v>
      </c>
      <c r="F546" s="168">
        <f>_xlfn.LET(_xlpm.loc, ITEquipmentTable[Storage Location],
COUNTIFS(ITSecondTable[Tag], ITSecondTable[[#This Row],[Tag]], _xlpm.loc, "")
)</f>
        <v>0</v>
      </c>
      <c r="G546" s="168">
        <f>MAX(ITSecondTable[[#This Row],[SQty]] - ITSecondTable[[#This Row],[IQty]], 0)</f>
        <v>11</v>
      </c>
      <c r="H546" s="168">
        <f>MAX(ITSecondTable[[#This Row],[IQty]]-ITSecondTable[[#This Row],[SQty]], 0)</f>
        <v>0</v>
      </c>
      <c r="I546" s="151" t="str">
        <f>IFERROR(_xlfn.TEXTJOIN("~", TRUE, ITEquipmentTable[[#This Row],[Type]],ITEquipmentTable[[#This Row],[Brand]],ITEquipmentTable[[#This Row],[Model]]), "")</f>
        <v>Monitor~Acer~V206HQL</v>
      </c>
      <c r="J546" s="151" t="b">
        <f xml:space="preserve"> _xlfn.IFNA(MATCH( ITSecondTable[[#This Row],[Tag]], StorageTable[Tag], 0)  &gt; -1, FALSE)</f>
        <v>0</v>
      </c>
      <c r="K546" s="168" t="b">
        <f>COUNTIFS(ITEquipmentTable[Serial], ITEquipmentTable[[#This Row],[Serial]], ITEquipmentTable[Serial], "&lt;&gt;N/A") &gt; 1</f>
        <v>0</v>
      </c>
      <c r="L546" s="168" t="b">
        <f>COUNTIFS(ITEquipmentTable[Name], ITEquipmentTable[[#This Row],[Name]], ITEquipmentTable[Name], "&lt;&gt;&lt;Unassigned&gt;",  ITEquipmentTable[Name], "&lt;&gt;N/A") &gt; 1</f>
        <v>0</v>
      </c>
      <c r="M546" s="168" t="b">
        <f>AND(COUNTIFS(ITEquipmentTable[IPv4 Address], ITEquipmentTable[[#This Row],[IPv4 Address]]) &gt; 1, ITEquipmentTable[[#This Row],[IPv4 Address]] &lt;&gt; "DHCP",  ITEquipmentTable[[#This Row],[IPv4 Address]] &lt;&gt; "N/A")</f>
        <v>0</v>
      </c>
    </row>
    <row r="547" spans="1:13" x14ac:dyDescent="0.2">
      <c r="A547" s="168">
        <f>IF(LEN(ITSecondTable[[#This Row],[Tag]]) &gt; 0, _xlfn.XLOOKUP(ITSecondTable[[#This Row],[Tag]],StorageTable[Tag], StorageTable[In Storage - Count Total], "Err", 0, 1), 0)</f>
        <v>25</v>
      </c>
      <c r="B547" s="1">
        <f>_xlfn.LET(_xlpm.loc, ITEquipmentTable[Storage Location],
COUNTIFS(ITSecondTable[Tag], ITSecondTable[[#This Row],[Tag]], _xlpm.loc, "&lt;&gt;In Use", _xlpm.loc, "&lt;&gt;",  _xlpm.loc, "&lt;&gt;E-Waste", _xlpm.loc, "&lt;&gt;Virtual",  _xlpm.loc, "&lt;&gt;Assigned to Employee", _xlpm.loc, "&lt;&gt;Decommisioned", _xlpm.loc, "&lt;&gt;Missing")
)</f>
        <v>36</v>
      </c>
      <c r="C547" s="1">
        <f>_xlfn.LET(_xlpm.loc, ITEquipmentTable[Storage Location],
COUNTIFS(ITSecondTable[Tag], ITSecondTable[[#This Row],[Tag]], _xlpm.loc, "&lt;&gt;E-Waste", _xlpm.loc, "&lt;&gt;Virtual", _xlpm.loc, "&lt;&gt;Decommisioned")
)</f>
        <v>41</v>
      </c>
      <c r="D547" s="168">
        <f>_xlfn.LET(_xlpm.loc, ITEquipmentTable[Storage Location],
COUNTIFS(ITSecondTable[Tag], ITSecondTable[[#This Row],[Tag]], _xlpm.loc, "Missing")
)</f>
        <v>0</v>
      </c>
      <c r="E547" s="168">
        <f>_xlfn.LET(_xlpm.loc, ITEquipmentTable[Storage Location],
COUNTIFS(ITSecondTable[Tag], ITSecondTable[[#This Row],[Tag]], _xlpm.loc, "In Use") + COUNTIFS(ITSecondTable[Tag], ITSecondTable[[#This Row],[Tag]], _xlpm.loc, "Assigned to Employee")
)</f>
        <v>5</v>
      </c>
      <c r="F547" s="168">
        <f>_xlfn.LET(_xlpm.loc, ITEquipmentTable[Storage Location],
COUNTIFS(ITSecondTable[Tag], ITSecondTable[[#This Row],[Tag]], _xlpm.loc, "")
)</f>
        <v>0</v>
      </c>
      <c r="G547" s="168">
        <f>MAX(ITSecondTable[[#This Row],[SQty]] - ITSecondTable[[#This Row],[IQty]], 0)</f>
        <v>11</v>
      </c>
      <c r="H547" s="168">
        <f>MAX(ITSecondTable[[#This Row],[IQty]]-ITSecondTable[[#This Row],[SQty]], 0)</f>
        <v>0</v>
      </c>
      <c r="I547" s="151" t="str">
        <f>IFERROR(_xlfn.TEXTJOIN("~", TRUE, ITEquipmentTable[[#This Row],[Type]],ITEquipmentTable[[#This Row],[Brand]],ITEquipmentTable[[#This Row],[Model]]), "")</f>
        <v>Monitor~Acer~V206HQL</v>
      </c>
      <c r="J547" s="151" t="b">
        <f xml:space="preserve"> _xlfn.IFNA(MATCH( ITSecondTable[[#This Row],[Tag]], StorageTable[Tag], 0)  &gt; -1, FALSE)</f>
        <v>0</v>
      </c>
      <c r="K547" s="168" t="b">
        <f>COUNTIFS(ITEquipmentTable[Serial], ITEquipmentTable[[#This Row],[Serial]], ITEquipmentTable[Serial], "&lt;&gt;N/A") &gt; 1</f>
        <v>0</v>
      </c>
      <c r="L547" s="168" t="b">
        <f>COUNTIFS(ITEquipmentTable[Name], ITEquipmentTable[[#This Row],[Name]], ITEquipmentTable[Name], "&lt;&gt;&lt;Unassigned&gt;",  ITEquipmentTable[Name], "&lt;&gt;N/A") &gt; 1</f>
        <v>0</v>
      </c>
      <c r="M547" s="168" t="b">
        <f>AND(COUNTIFS(ITEquipmentTable[IPv4 Address], ITEquipmentTable[[#This Row],[IPv4 Address]]) &gt; 1, ITEquipmentTable[[#This Row],[IPv4 Address]] &lt;&gt; "DHCP",  ITEquipmentTable[[#This Row],[IPv4 Address]] &lt;&gt; "N/A")</f>
        <v>0</v>
      </c>
    </row>
    <row r="548" spans="1:13" x14ac:dyDescent="0.2">
      <c r="A548" s="168">
        <f>IF(LEN(ITSecondTable[[#This Row],[Tag]]) &gt; 0, _xlfn.XLOOKUP(ITSecondTable[[#This Row],[Tag]],StorageTable[Tag], StorageTable[In Storage - Count Total], "Err", 0, 1), 0)</f>
        <v>25</v>
      </c>
      <c r="B548" s="1">
        <f>_xlfn.LET(_xlpm.loc, ITEquipmentTable[Storage Location],
COUNTIFS(ITSecondTable[Tag], ITSecondTable[[#This Row],[Tag]], _xlpm.loc, "&lt;&gt;In Use", _xlpm.loc, "&lt;&gt;",  _xlpm.loc, "&lt;&gt;E-Waste", _xlpm.loc, "&lt;&gt;Virtual",  _xlpm.loc, "&lt;&gt;Assigned to Employee", _xlpm.loc, "&lt;&gt;Decommisioned", _xlpm.loc, "&lt;&gt;Missing")
)</f>
        <v>36</v>
      </c>
      <c r="C548" s="1">
        <f>_xlfn.LET(_xlpm.loc, ITEquipmentTable[Storage Location],
COUNTIFS(ITSecondTable[Tag], ITSecondTable[[#This Row],[Tag]], _xlpm.loc, "&lt;&gt;E-Waste", _xlpm.loc, "&lt;&gt;Virtual", _xlpm.loc, "&lt;&gt;Decommisioned")
)</f>
        <v>41</v>
      </c>
      <c r="D548" s="168">
        <f>_xlfn.LET(_xlpm.loc, ITEquipmentTable[Storage Location],
COUNTIFS(ITSecondTable[Tag], ITSecondTable[[#This Row],[Tag]], _xlpm.loc, "Missing")
)</f>
        <v>0</v>
      </c>
      <c r="E548" s="168">
        <f>_xlfn.LET(_xlpm.loc, ITEquipmentTable[Storage Location],
COUNTIFS(ITSecondTable[Tag], ITSecondTable[[#This Row],[Tag]], _xlpm.loc, "In Use") + COUNTIFS(ITSecondTable[Tag], ITSecondTable[[#This Row],[Tag]], _xlpm.loc, "Assigned to Employee")
)</f>
        <v>5</v>
      </c>
      <c r="F548" s="168">
        <f>_xlfn.LET(_xlpm.loc, ITEquipmentTable[Storage Location],
COUNTIFS(ITSecondTable[Tag], ITSecondTable[[#This Row],[Tag]], _xlpm.loc, "")
)</f>
        <v>0</v>
      </c>
      <c r="G548" s="168">
        <f>MAX(ITSecondTable[[#This Row],[SQty]] - ITSecondTable[[#This Row],[IQty]], 0)</f>
        <v>11</v>
      </c>
      <c r="H548" s="168">
        <f>MAX(ITSecondTable[[#This Row],[IQty]]-ITSecondTable[[#This Row],[SQty]], 0)</f>
        <v>0</v>
      </c>
      <c r="I548" s="151" t="str">
        <f>IFERROR(_xlfn.TEXTJOIN("~", TRUE, ITEquipmentTable[[#This Row],[Type]],ITEquipmentTable[[#This Row],[Brand]],ITEquipmentTable[[#This Row],[Model]]), "")</f>
        <v>Monitor~Acer~V206HQL</v>
      </c>
      <c r="J548" s="151" t="b">
        <f xml:space="preserve"> _xlfn.IFNA(MATCH( ITSecondTable[[#This Row],[Tag]], StorageTable[Tag], 0)  &gt; -1, FALSE)</f>
        <v>0</v>
      </c>
      <c r="K548" s="168" t="b">
        <f>COUNTIFS(ITEquipmentTable[Serial], ITEquipmentTable[[#This Row],[Serial]], ITEquipmentTable[Serial], "&lt;&gt;N/A") &gt; 1</f>
        <v>0</v>
      </c>
      <c r="L548" s="168" t="b">
        <f>COUNTIFS(ITEquipmentTable[Name], ITEquipmentTable[[#This Row],[Name]], ITEquipmentTable[Name], "&lt;&gt;&lt;Unassigned&gt;",  ITEquipmentTable[Name], "&lt;&gt;N/A") &gt; 1</f>
        <v>0</v>
      </c>
      <c r="M548" s="168" t="b">
        <f>AND(COUNTIFS(ITEquipmentTable[IPv4 Address], ITEquipmentTable[[#This Row],[IPv4 Address]]) &gt; 1, ITEquipmentTable[[#This Row],[IPv4 Address]] &lt;&gt; "DHCP",  ITEquipmentTable[[#This Row],[IPv4 Address]] &lt;&gt; "N/A")</f>
        <v>0</v>
      </c>
    </row>
    <row r="549" spans="1:13" x14ac:dyDescent="0.2">
      <c r="A549" s="168">
        <f>IF(LEN(ITSecondTable[[#This Row],[Tag]]) &gt; 0, _xlfn.XLOOKUP(ITSecondTable[[#This Row],[Tag]],StorageTable[Tag], StorageTable[In Storage - Count Total], "Err", 0, 1), 0)</f>
        <v>25</v>
      </c>
      <c r="B549" s="1">
        <f>_xlfn.LET(_xlpm.loc, ITEquipmentTable[Storage Location],
COUNTIFS(ITSecondTable[Tag], ITSecondTable[[#This Row],[Tag]], _xlpm.loc, "&lt;&gt;In Use", _xlpm.loc, "&lt;&gt;",  _xlpm.loc, "&lt;&gt;E-Waste", _xlpm.loc, "&lt;&gt;Virtual",  _xlpm.loc, "&lt;&gt;Assigned to Employee", _xlpm.loc, "&lt;&gt;Decommisioned", _xlpm.loc, "&lt;&gt;Missing")
)</f>
        <v>36</v>
      </c>
      <c r="C549" s="1">
        <f>_xlfn.LET(_xlpm.loc, ITEquipmentTable[Storage Location],
COUNTIFS(ITSecondTable[Tag], ITSecondTable[[#This Row],[Tag]], _xlpm.loc, "&lt;&gt;E-Waste", _xlpm.loc, "&lt;&gt;Virtual", _xlpm.loc, "&lt;&gt;Decommisioned")
)</f>
        <v>41</v>
      </c>
      <c r="D549" s="168">
        <f>_xlfn.LET(_xlpm.loc, ITEquipmentTable[Storage Location],
COUNTIFS(ITSecondTable[Tag], ITSecondTable[[#This Row],[Tag]], _xlpm.loc, "Missing")
)</f>
        <v>0</v>
      </c>
      <c r="E549" s="168">
        <f>_xlfn.LET(_xlpm.loc, ITEquipmentTable[Storage Location],
COUNTIFS(ITSecondTable[Tag], ITSecondTable[[#This Row],[Tag]], _xlpm.loc, "In Use") + COUNTIFS(ITSecondTable[Tag], ITSecondTable[[#This Row],[Tag]], _xlpm.loc, "Assigned to Employee")
)</f>
        <v>5</v>
      </c>
      <c r="F549" s="168">
        <f>_xlfn.LET(_xlpm.loc, ITEquipmentTable[Storage Location],
COUNTIFS(ITSecondTable[Tag], ITSecondTable[[#This Row],[Tag]], _xlpm.loc, "")
)</f>
        <v>0</v>
      </c>
      <c r="G549" s="168">
        <f>MAX(ITSecondTable[[#This Row],[SQty]] - ITSecondTable[[#This Row],[IQty]], 0)</f>
        <v>11</v>
      </c>
      <c r="H549" s="168">
        <f>MAX(ITSecondTable[[#This Row],[IQty]]-ITSecondTable[[#This Row],[SQty]], 0)</f>
        <v>0</v>
      </c>
      <c r="I549" s="151" t="str">
        <f>IFERROR(_xlfn.TEXTJOIN("~", TRUE, ITEquipmentTable[[#This Row],[Type]],ITEquipmentTable[[#This Row],[Brand]],ITEquipmentTable[[#This Row],[Model]]), "")</f>
        <v>Monitor~Acer~V206HQL</v>
      </c>
      <c r="J549" s="151" t="b">
        <f xml:space="preserve"> _xlfn.IFNA(MATCH( ITSecondTable[[#This Row],[Tag]], StorageTable[Tag], 0)  &gt; -1, FALSE)</f>
        <v>0</v>
      </c>
      <c r="K549" s="168" t="b">
        <f>COUNTIFS(ITEquipmentTable[Serial], ITEquipmentTable[[#This Row],[Serial]], ITEquipmentTable[Serial], "&lt;&gt;N/A") &gt; 1</f>
        <v>0</v>
      </c>
      <c r="L549" s="168" t="b">
        <f>COUNTIFS(ITEquipmentTable[Name], ITEquipmentTable[[#This Row],[Name]], ITEquipmentTable[Name], "&lt;&gt;&lt;Unassigned&gt;",  ITEquipmentTable[Name], "&lt;&gt;N/A") &gt; 1</f>
        <v>0</v>
      </c>
      <c r="M549" s="168" t="b">
        <f>AND(COUNTIFS(ITEquipmentTable[IPv4 Address], ITEquipmentTable[[#This Row],[IPv4 Address]]) &gt; 1, ITEquipmentTable[[#This Row],[IPv4 Address]] &lt;&gt; "DHCP",  ITEquipmentTable[[#This Row],[IPv4 Address]] &lt;&gt; "N/A")</f>
        <v>0</v>
      </c>
    </row>
    <row r="550" spans="1:13" x14ac:dyDescent="0.2">
      <c r="A550" s="168">
        <f>IF(LEN(ITSecondTable[[#This Row],[Tag]]) &gt; 0, _xlfn.XLOOKUP(ITSecondTable[[#This Row],[Tag]],StorageTable[Tag], StorageTable[In Storage - Count Total], "Err", 0, 1), 0)</f>
        <v>25</v>
      </c>
      <c r="B550" s="1">
        <f>_xlfn.LET(_xlpm.loc, ITEquipmentTable[Storage Location],
COUNTIFS(ITSecondTable[Tag], ITSecondTable[[#This Row],[Tag]], _xlpm.loc, "&lt;&gt;In Use", _xlpm.loc, "&lt;&gt;",  _xlpm.loc, "&lt;&gt;E-Waste", _xlpm.loc, "&lt;&gt;Virtual",  _xlpm.loc, "&lt;&gt;Assigned to Employee", _xlpm.loc, "&lt;&gt;Decommisioned", _xlpm.loc, "&lt;&gt;Missing")
)</f>
        <v>36</v>
      </c>
      <c r="C550" s="1">
        <f>_xlfn.LET(_xlpm.loc, ITEquipmentTable[Storage Location],
COUNTIFS(ITSecondTable[Tag], ITSecondTable[[#This Row],[Tag]], _xlpm.loc, "&lt;&gt;E-Waste", _xlpm.loc, "&lt;&gt;Virtual", _xlpm.loc, "&lt;&gt;Decommisioned")
)</f>
        <v>41</v>
      </c>
      <c r="D550" s="168">
        <f>_xlfn.LET(_xlpm.loc, ITEquipmentTable[Storage Location],
COUNTIFS(ITSecondTable[Tag], ITSecondTable[[#This Row],[Tag]], _xlpm.loc, "Missing")
)</f>
        <v>0</v>
      </c>
      <c r="E550" s="168">
        <f>_xlfn.LET(_xlpm.loc, ITEquipmentTable[Storage Location],
COUNTIFS(ITSecondTable[Tag], ITSecondTable[[#This Row],[Tag]], _xlpm.loc, "In Use") + COUNTIFS(ITSecondTable[Tag], ITSecondTable[[#This Row],[Tag]], _xlpm.loc, "Assigned to Employee")
)</f>
        <v>5</v>
      </c>
      <c r="F550" s="168">
        <f>_xlfn.LET(_xlpm.loc, ITEquipmentTable[Storage Location],
COUNTIFS(ITSecondTable[Tag], ITSecondTable[[#This Row],[Tag]], _xlpm.loc, "")
)</f>
        <v>0</v>
      </c>
      <c r="G550" s="168">
        <f>MAX(ITSecondTable[[#This Row],[SQty]] - ITSecondTable[[#This Row],[IQty]], 0)</f>
        <v>11</v>
      </c>
      <c r="H550" s="168">
        <f>MAX(ITSecondTable[[#This Row],[IQty]]-ITSecondTable[[#This Row],[SQty]], 0)</f>
        <v>0</v>
      </c>
      <c r="I550" s="151" t="str">
        <f>IFERROR(_xlfn.TEXTJOIN("~", TRUE, ITEquipmentTable[[#This Row],[Type]],ITEquipmentTable[[#This Row],[Brand]],ITEquipmentTable[[#This Row],[Model]]), "")</f>
        <v>Monitor~Acer~V206HQL</v>
      </c>
      <c r="J550" s="151" t="b">
        <f xml:space="preserve"> _xlfn.IFNA(MATCH( ITSecondTable[[#This Row],[Tag]], StorageTable[Tag], 0)  &gt; -1, FALSE)</f>
        <v>0</v>
      </c>
      <c r="K550" s="168" t="b">
        <f>COUNTIFS(ITEquipmentTable[Serial], ITEquipmentTable[[#This Row],[Serial]], ITEquipmentTable[Serial], "&lt;&gt;N/A") &gt; 1</f>
        <v>0</v>
      </c>
      <c r="L550" s="168" t="b">
        <f>COUNTIFS(ITEquipmentTable[Name], ITEquipmentTable[[#This Row],[Name]], ITEquipmentTable[Name], "&lt;&gt;&lt;Unassigned&gt;",  ITEquipmentTable[Name], "&lt;&gt;N/A") &gt; 1</f>
        <v>0</v>
      </c>
      <c r="M550" s="168" t="b">
        <f>AND(COUNTIFS(ITEquipmentTable[IPv4 Address], ITEquipmentTable[[#This Row],[IPv4 Address]]) &gt; 1, ITEquipmentTable[[#This Row],[IPv4 Address]] &lt;&gt; "DHCP",  ITEquipmentTable[[#This Row],[IPv4 Address]] &lt;&gt; "N/A")</f>
        <v>0</v>
      </c>
    </row>
    <row r="551" spans="1:13" x14ac:dyDescent="0.2">
      <c r="A551" s="168">
        <f>IF(LEN(ITSecondTable[[#This Row],[Tag]]) &gt; 0, _xlfn.XLOOKUP(ITSecondTable[[#This Row],[Tag]],StorageTable[Tag], StorageTable[In Storage - Count Total], "Err", 0, 1), 0)</f>
        <v>25</v>
      </c>
      <c r="B551" s="1">
        <f>_xlfn.LET(_xlpm.loc, ITEquipmentTable[Storage Location],
COUNTIFS(ITSecondTable[Tag], ITSecondTable[[#This Row],[Tag]], _xlpm.loc, "&lt;&gt;In Use", _xlpm.loc, "&lt;&gt;",  _xlpm.loc, "&lt;&gt;E-Waste", _xlpm.loc, "&lt;&gt;Virtual",  _xlpm.loc, "&lt;&gt;Assigned to Employee", _xlpm.loc, "&lt;&gt;Decommisioned", _xlpm.loc, "&lt;&gt;Missing")
)</f>
        <v>36</v>
      </c>
      <c r="C551" s="1">
        <f>_xlfn.LET(_xlpm.loc, ITEquipmentTable[Storage Location],
COUNTIFS(ITSecondTable[Tag], ITSecondTable[[#This Row],[Tag]], _xlpm.loc, "&lt;&gt;E-Waste", _xlpm.loc, "&lt;&gt;Virtual", _xlpm.loc, "&lt;&gt;Decommisioned")
)</f>
        <v>41</v>
      </c>
      <c r="D551" s="168">
        <f>_xlfn.LET(_xlpm.loc, ITEquipmentTable[Storage Location],
COUNTIFS(ITSecondTable[Tag], ITSecondTable[[#This Row],[Tag]], _xlpm.loc, "Missing")
)</f>
        <v>0</v>
      </c>
      <c r="E551" s="168">
        <f>_xlfn.LET(_xlpm.loc, ITEquipmentTable[Storage Location],
COUNTIFS(ITSecondTable[Tag], ITSecondTable[[#This Row],[Tag]], _xlpm.loc, "In Use") + COUNTIFS(ITSecondTable[Tag], ITSecondTable[[#This Row],[Tag]], _xlpm.loc, "Assigned to Employee")
)</f>
        <v>5</v>
      </c>
      <c r="F551" s="168">
        <f>_xlfn.LET(_xlpm.loc, ITEquipmentTable[Storage Location],
COUNTIFS(ITSecondTable[Tag], ITSecondTable[[#This Row],[Tag]], _xlpm.loc, "")
)</f>
        <v>0</v>
      </c>
      <c r="G551" s="168">
        <f>MAX(ITSecondTable[[#This Row],[SQty]] - ITSecondTable[[#This Row],[IQty]], 0)</f>
        <v>11</v>
      </c>
      <c r="H551" s="168">
        <f>MAX(ITSecondTable[[#This Row],[IQty]]-ITSecondTable[[#This Row],[SQty]], 0)</f>
        <v>0</v>
      </c>
      <c r="I551" s="151" t="str">
        <f>IFERROR(_xlfn.TEXTJOIN("~", TRUE, ITEquipmentTable[[#This Row],[Type]],ITEquipmentTable[[#This Row],[Brand]],ITEquipmentTable[[#This Row],[Model]]), "")</f>
        <v>Monitor~Acer~V206HQL</v>
      </c>
      <c r="J551" s="151" t="b">
        <f xml:space="preserve"> _xlfn.IFNA(MATCH( ITSecondTable[[#This Row],[Tag]], StorageTable[Tag], 0)  &gt; -1, FALSE)</f>
        <v>0</v>
      </c>
      <c r="K551" s="168" t="b">
        <f>COUNTIFS(ITEquipmentTable[Serial], ITEquipmentTable[[#This Row],[Serial]], ITEquipmentTable[Serial], "&lt;&gt;N/A") &gt; 1</f>
        <v>0</v>
      </c>
      <c r="L551" s="168" t="b">
        <f>COUNTIFS(ITEquipmentTable[Name], ITEquipmentTable[[#This Row],[Name]], ITEquipmentTable[Name], "&lt;&gt;&lt;Unassigned&gt;",  ITEquipmentTable[Name], "&lt;&gt;N/A") &gt; 1</f>
        <v>0</v>
      </c>
      <c r="M551" s="168" t="b">
        <f>AND(COUNTIFS(ITEquipmentTable[IPv4 Address], ITEquipmentTable[[#This Row],[IPv4 Address]]) &gt; 1, ITEquipmentTable[[#This Row],[IPv4 Address]] &lt;&gt; "DHCP",  ITEquipmentTable[[#This Row],[IPv4 Address]] &lt;&gt; "N/A")</f>
        <v>0</v>
      </c>
    </row>
    <row r="552" spans="1:13" x14ac:dyDescent="0.2">
      <c r="A552" s="168">
        <f>IF(LEN(ITSecondTable[[#This Row],[Tag]]) &gt; 0, _xlfn.XLOOKUP(ITSecondTable[[#This Row],[Tag]],StorageTable[Tag], StorageTable[In Storage - Count Total], "Err", 0, 1), 0)</f>
        <v>25</v>
      </c>
      <c r="B552" s="1">
        <f>_xlfn.LET(_xlpm.loc, ITEquipmentTable[Storage Location],
COUNTIFS(ITSecondTable[Tag], ITSecondTable[[#This Row],[Tag]], _xlpm.loc, "&lt;&gt;In Use", _xlpm.loc, "&lt;&gt;",  _xlpm.loc, "&lt;&gt;E-Waste", _xlpm.loc, "&lt;&gt;Virtual",  _xlpm.loc, "&lt;&gt;Assigned to Employee", _xlpm.loc, "&lt;&gt;Decommisioned", _xlpm.loc, "&lt;&gt;Missing")
)</f>
        <v>36</v>
      </c>
      <c r="C552" s="1">
        <f>_xlfn.LET(_xlpm.loc, ITEquipmentTable[Storage Location],
COUNTIFS(ITSecondTable[Tag], ITSecondTable[[#This Row],[Tag]], _xlpm.loc, "&lt;&gt;E-Waste", _xlpm.loc, "&lt;&gt;Virtual", _xlpm.loc, "&lt;&gt;Decommisioned")
)</f>
        <v>41</v>
      </c>
      <c r="D552" s="168">
        <f>_xlfn.LET(_xlpm.loc, ITEquipmentTable[Storage Location],
COUNTIFS(ITSecondTable[Tag], ITSecondTable[[#This Row],[Tag]], _xlpm.loc, "Missing")
)</f>
        <v>0</v>
      </c>
      <c r="E552" s="168">
        <f>_xlfn.LET(_xlpm.loc, ITEquipmentTable[Storage Location],
COUNTIFS(ITSecondTable[Tag], ITSecondTable[[#This Row],[Tag]], _xlpm.loc, "In Use") + COUNTIFS(ITSecondTable[Tag], ITSecondTable[[#This Row],[Tag]], _xlpm.loc, "Assigned to Employee")
)</f>
        <v>5</v>
      </c>
      <c r="F552" s="168">
        <f>_xlfn.LET(_xlpm.loc, ITEquipmentTable[Storage Location],
COUNTIFS(ITSecondTable[Tag], ITSecondTable[[#This Row],[Tag]], _xlpm.loc, "")
)</f>
        <v>0</v>
      </c>
      <c r="G552" s="168">
        <f>MAX(ITSecondTable[[#This Row],[SQty]] - ITSecondTable[[#This Row],[IQty]], 0)</f>
        <v>11</v>
      </c>
      <c r="H552" s="168">
        <f>MAX(ITSecondTable[[#This Row],[IQty]]-ITSecondTable[[#This Row],[SQty]], 0)</f>
        <v>0</v>
      </c>
      <c r="I552" s="151" t="str">
        <f>IFERROR(_xlfn.TEXTJOIN("~", TRUE, ITEquipmentTable[[#This Row],[Type]],ITEquipmentTable[[#This Row],[Brand]],ITEquipmentTable[[#This Row],[Model]]), "")</f>
        <v>Monitor~Acer~V206HQL</v>
      </c>
      <c r="J552" s="151" t="b">
        <f xml:space="preserve"> _xlfn.IFNA(MATCH( ITSecondTable[[#This Row],[Tag]], StorageTable[Tag], 0)  &gt; -1, FALSE)</f>
        <v>0</v>
      </c>
      <c r="K552" s="168" t="b">
        <f>COUNTIFS(ITEquipmentTable[Serial], ITEquipmentTable[[#This Row],[Serial]], ITEquipmentTable[Serial], "&lt;&gt;N/A") &gt; 1</f>
        <v>0</v>
      </c>
      <c r="L552" s="168" t="b">
        <f>COUNTIFS(ITEquipmentTable[Name], ITEquipmentTable[[#This Row],[Name]], ITEquipmentTable[Name], "&lt;&gt;&lt;Unassigned&gt;",  ITEquipmentTable[Name], "&lt;&gt;N/A") &gt; 1</f>
        <v>0</v>
      </c>
      <c r="M552" s="168" t="b">
        <f>AND(COUNTIFS(ITEquipmentTable[IPv4 Address], ITEquipmentTable[[#This Row],[IPv4 Address]]) &gt; 1, ITEquipmentTable[[#This Row],[IPv4 Address]] &lt;&gt; "DHCP",  ITEquipmentTable[[#This Row],[IPv4 Address]] &lt;&gt; "N/A")</f>
        <v>0</v>
      </c>
    </row>
    <row r="553" spans="1:13" x14ac:dyDescent="0.2">
      <c r="A553" s="168">
        <f>IF(LEN(ITSecondTable[[#This Row],[Tag]]) &gt; 0, _xlfn.XLOOKUP(ITSecondTable[[#This Row],[Tag]],StorageTable[Tag], StorageTable[In Storage - Count Total], "Err", 0, 1), 0)</f>
        <v>25</v>
      </c>
      <c r="B553" s="1">
        <f>_xlfn.LET(_xlpm.loc, ITEquipmentTable[Storage Location],
COUNTIFS(ITSecondTable[Tag], ITSecondTable[[#This Row],[Tag]], _xlpm.loc, "&lt;&gt;In Use", _xlpm.loc, "&lt;&gt;",  _xlpm.loc, "&lt;&gt;E-Waste", _xlpm.loc, "&lt;&gt;Virtual",  _xlpm.loc, "&lt;&gt;Assigned to Employee", _xlpm.loc, "&lt;&gt;Decommisioned", _xlpm.loc, "&lt;&gt;Missing")
)</f>
        <v>36</v>
      </c>
      <c r="C553" s="1">
        <f>_xlfn.LET(_xlpm.loc, ITEquipmentTable[Storage Location],
COUNTIFS(ITSecondTable[Tag], ITSecondTable[[#This Row],[Tag]], _xlpm.loc, "&lt;&gt;E-Waste", _xlpm.loc, "&lt;&gt;Virtual", _xlpm.loc, "&lt;&gt;Decommisioned")
)</f>
        <v>41</v>
      </c>
      <c r="D553" s="168">
        <f>_xlfn.LET(_xlpm.loc, ITEquipmentTable[Storage Location],
COUNTIFS(ITSecondTable[Tag], ITSecondTable[[#This Row],[Tag]], _xlpm.loc, "Missing")
)</f>
        <v>0</v>
      </c>
      <c r="E553" s="168">
        <f>_xlfn.LET(_xlpm.loc, ITEquipmentTable[Storage Location],
COUNTIFS(ITSecondTable[Tag], ITSecondTable[[#This Row],[Tag]], _xlpm.loc, "In Use") + COUNTIFS(ITSecondTable[Tag], ITSecondTable[[#This Row],[Tag]], _xlpm.loc, "Assigned to Employee")
)</f>
        <v>5</v>
      </c>
      <c r="F553" s="168">
        <f>_xlfn.LET(_xlpm.loc, ITEquipmentTable[Storage Location],
COUNTIFS(ITSecondTable[Tag], ITSecondTable[[#This Row],[Tag]], _xlpm.loc, "")
)</f>
        <v>0</v>
      </c>
      <c r="G553" s="168">
        <f>MAX(ITSecondTable[[#This Row],[SQty]] - ITSecondTable[[#This Row],[IQty]], 0)</f>
        <v>11</v>
      </c>
      <c r="H553" s="168">
        <f>MAX(ITSecondTable[[#This Row],[IQty]]-ITSecondTable[[#This Row],[SQty]], 0)</f>
        <v>0</v>
      </c>
      <c r="I553" s="151" t="str">
        <f>IFERROR(_xlfn.TEXTJOIN("~", TRUE, ITEquipmentTable[[#This Row],[Type]],ITEquipmentTable[[#This Row],[Brand]],ITEquipmentTable[[#This Row],[Model]]), "")</f>
        <v>Monitor~Acer~V206HQL</v>
      </c>
      <c r="J553" s="151" t="b">
        <f xml:space="preserve"> _xlfn.IFNA(MATCH( ITSecondTable[[#This Row],[Tag]], StorageTable[Tag], 0)  &gt; -1, FALSE)</f>
        <v>0</v>
      </c>
      <c r="K553" s="168" t="b">
        <f>COUNTIFS(ITEquipmentTable[Serial], ITEquipmentTable[[#This Row],[Serial]], ITEquipmentTable[Serial], "&lt;&gt;N/A") &gt; 1</f>
        <v>0</v>
      </c>
      <c r="L553" s="168" t="b">
        <f>COUNTIFS(ITEquipmentTable[Name], ITEquipmentTable[[#This Row],[Name]], ITEquipmentTable[Name], "&lt;&gt;&lt;Unassigned&gt;",  ITEquipmentTable[Name], "&lt;&gt;N/A") &gt; 1</f>
        <v>0</v>
      </c>
      <c r="M553" s="168" t="b">
        <f>AND(COUNTIFS(ITEquipmentTable[IPv4 Address], ITEquipmentTable[[#This Row],[IPv4 Address]]) &gt; 1, ITEquipmentTable[[#This Row],[IPv4 Address]] &lt;&gt; "DHCP",  ITEquipmentTable[[#This Row],[IPv4 Address]] &lt;&gt; "N/A")</f>
        <v>0</v>
      </c>
    </row>
    <row r="554" spans="1:13" x14ac:dyDescent="0.2">
      <c r="A554" s="168">
        <f>IF(LEN(ITSecondTable[[#This Row],[Tag]]) &gt; 0, _xlfn.XLOOKUP(ITSecondTable[[#This Row],[Tag]],StorageTable[Tag], StorageTable[In Storage - Count Total], "Err", 0, 1), 0)</f>
        <v>25</v>
      </c>
      <c r="B554" s="1">
        <f>_xlfn.LET(_xlpm.loc, ITEquipmentTable[Storage Location],
COUNTIFS(ITSecondTable[Tag], ITSecondTable[[#This Row],[Tag]], _xlpm.loc, "&lt;&gt;In Use", _xlpm.loc, "&lt;&gt;",  _xlpm.loc, "&lt;&gt;E-Waste", _xlpm.loc, "&lt;&gt;Virtual",  _xlpm.loc, "&lt;&gt;Assigned to Employee", _xlpm.loc, "&lt;&gt;Decommisioned", _xlpm.loc, "&lt;&gt;Missing")
)</f>
        <v>36</v>
      </c>
      <c r="C554" s="1">
        <f>_xlfn.LET(_xlpm.loc, ITEquipmentTable[Storage Location],
COUNTIFS(ITSecondTable[Tag], ITSecondTable[[#This Row],[Tag]], _xlpm.loc, "&lt;&gt;E-Waste", _xlpm.loc, "&lt;&gt;Virtual", _xlpm.loc, "&lt;&gt;Decommisioned")
)</f>
        <v>41</v>
      </c>
      <c r="D554" s="168">
        <f>_xlfn.LET(_xlpm.loc, ITEquipmentTable[Storage Location],
COUNTIFS(ITSecondTable[Tag], ITSecondTable[[#This Row],[Tag]], _xlpm.loc, "Missing")
)</f>
        <v>0</v>
      </c>
      <c r="E554" s="168">
        <f>_xlfn.LET(_xlpm.loc, ITEquipmentTable[Storage Location],
COUNTIFS(ITSecondTable[Tag], ITSecondTable[[#This Row],[Tag]], _xlpm.loc, "In Use") + COUNTIFS(ITSecondTable[Tag], ITSecondTable[[#This Row],[Tag]], _xlpm.loc, "Assigned to Employee")
)</f>
        <v>5</v>
      </c>
      <c r="F554" s="168">
        <f>_xlfn.LET(_xlpm.loc, ITEquipmentTable[Storage Location],
COUNTIFS(ITSecondTable[Tag], ITSecondTable[[#This Row],[Tag]], _xlpm.loc, "")
)</f>
        <v>0</v>
      </c>
      <c r="G554" s="168">
        <f>MAX(ITSecondTable[[#This Row],[SQty]] - ITSecondTable[[#This Row],[IQty]], 0)</f>
        <v>11</v>
      </c>
      <c r="H554" s="168">
        <f>MAX(ITSecondTable[[#This Row],[IQty]]-ITSecondTable[[#This Row],[SQty]], 0)</f>
        <v>0</v>
      </c>
      <c r="I554" s="151" t="str">
        <f>IFERROR(_xlfn.TEXTJOIN("~", TRUE, ITEquipmentTable[[#This Row],[Type]],ITEquipmentTable[[#This Row],[Brand]],ITEquipmentTable[[#This Row],[Model]]), "")</f>
        <v>Monitor~Acer~V206HQL</v>
      </c>
      <c r="J554" s="151" t="b">
        <f xml:space="preserve"> _xlfn.IFNA(MATCH( ITSecondTable[[#This Row],[Tag]], StorageTable[Tag], 0)  &gt; -1, FALSE)</f>
        <v>0</v>
      </c>
      <c r="K554" s="168" t="b">
        <f>COUNTIFS(ITEquipmentTable[Serial], ITEquipmentTable[[#This Row],[Serial]], ITEquipmentTable[Serial], "&lt;&gt;N/A") &gt; 1</f>
        <v>0</v>
      </c>
      <c r="L554" s="168" t="b">
        <f>COUNTIFS(ITEquipmentTable[Name], ITEquipmentTable[[#This Row],[Name]], ITEquipmentTable[Name], "&lt;&gt;&lt;Unassigned&gt;",  ITEquipmentTable[Name], "&lt;&gt;N/A") &gt; 1</f>
        <v>0</v>
      </c>
      <c r="M554" s="168" t="b">
        <f>AND(COUNTIFS(ITEquipmentTable[IPv4 Address], ITEquipmentTable[[#This Row],[IPv4 Address]]) &gt; 1, ITEquipmentTable[[#This Row],[IPv4 Address]] &lt;&gt; "DHCP",  ITEquipmentTable[[#This Row],[IPv4 Address]] &lt;&gt; "N/A")</f>
        <v>0</v>
      </c>
    </row>
    <row r="555" spans="1:13" x14ac:dyDescent="0.2">
      <c r="A555" s="168">
        <f>IF(LEN(ITSecondTable[[#This Row],[Tag]]) &gt; 0, _xlfn.XLOOKUP(ITSecondTable[[#This Row],[Tag]],StorageTable[Tag], StorageTable[In Storage - Count Total], "Err", 0, 1), 0)</f>
        <v>25</v>
      </c>
      <c r="B555" s="1">
        <f>_xlfn.LET(_xlpm.loc, ITEquipmentTable[Storage Location],
COUNTIFS(ITSecondTable[Tag], ITSecondTable[[#This Row],[Tag]], _xlpm.loc, "&lt;&gt;In Use", _xlpm.loc, "&lt;&gt;",  _xlpm.loc, "&lt;&gt;E-Waste", _xlpm.loc, "&lt;&gt;Virtual",  _xlpm.loc, "&lt;&gt;Assigned to Employee", _xlpm.loc, "&lt;&gt;Decommisioned", _xlpm.loc, "&lt;&gt;Missing")
)</f>
        <v>36</v>
      </c>
      <c r="C555" s="1">
        <f>_xlfn.LET(_xlpm.loc, ITEquipmentTable[Storage Location],
COUNTIFS(ITSecondTable[Tag], ITSecondTable[[#This Row],[Tag]], _xlpm.loc, "&lt;&gt;E-Waste", _xlpm.loc, "&lt;&gt;Virtual", _xlpm.loc, "&lt;&gt;Decommisioned")
)</f>
        <v>41</v>
      </c>
      <c r="D555" s="168">
        <f>_xlfn.LET(_xlpm.loc, ITEquipmentTable[Storage Location],
COUNTIFS(ITSecondTable[Tag], ITSecondTable[[#This Row],[Tag]], _xlpm.loc, "Missing")
)</f>
        <v>0</v>
      </c>
      <c r="E555" s="168">
        <f>_xlfn.LET(_xlpm.loc, ITEquipmentTable[Storage Location],
COUNTIFS(ITSecondTable[Tag], ITSecondTable[[#This Row],[Tag]], _xlpm.loc, "In Use") + COUNTIFS(ITSecondTable[Tag], ITSecondTable[[#This Row],[Tag]], _xlpm.loc, "Assigned to Employee")
)</f>
        <v>5</v>
      </c>
      <c r="F555" s="168">
        <f>_xlfn.LET(_xlpm.loc, ITEquipmentTable[Storage Location],
COUNTIFS(ITSecondTable[Tag], ITSecondTable[[#This Row],[Tag]], _xlpm.loc, "")
)</f>
        <v>0</v>
      </c>
      <c r="G555" s="168">
        <f>MAX(ITSecondTable[[#This Row],[SQty]] - ITSecondTable[[#This Row],[IQty]], 0)</f>
        <v>11</v>
      </c>
      <c r="H555" s="168">
        <f>MAX(ITSecondTable[[#This Row],[IQty]]-ITSecondTable[[#This Row],[SQty]], 0)</f>
        <v>0</v>
      </c>
      <c r="I555" s="151" t="str">
        <f>IFERROR(_xlfn.TEXTJOIN("~", TRUE, ITEquipmentTable[[#This Row],[Type]],ITEquipmentTable[[#This Row],[Brand]],ITEquipmentTable[[#This Row],[Model]]), "")</f>
        <v>Monitor~Acer~V206HQL</v>
      </c>
      <c r="J555" s="151" t="b">
        <f xml:space="preserve"> _xlfn.IFNA(MATCH( ITSecondTable[[#This Row],[Tag]], StorageTable[Tag], 0)  &gt; -1, FALSE)</f>
        <v>0</v>
      </c>
      <c r="K555" s="168" t="b">
        <f>COUNTIFS(ITEquipmentTable[Serial], ITEquipmentTable[[#This Row],[Serial]], ITEquipmentTable[Serial], "&lt;&gt;N/A") &gt; 1</f>
        <v>0</v>
      </c>
      <c r="L555" s="168" t="b">
        <f>COUNTIFS(ITEquipmentTable[Name], ITEquipmentTable[[#This Row],[Name]], ITEquipmentTable[Name], "&lt;&gt;&lt;Unassigned&gt;",  ITEquipmentTable[Name], "&lt;&gt;N/A") &gt; 1</f>
        <v>0</v>
      </c>
      <c r="M555" s="168" t="b">
        <f>AND(COUNTIFS(ITEquipmentTable[IPv4 Address], ITEquipmentTable[[#This Row],[IPv4 Address]]) &gt; 1, ITEquipmentTable[[#This Row],[IPv4 Address]] &lt;&gt; "DHCP",  ITEquipmentTable[[#This Row],[IPv4 Address]] &lt;&gt; "N/A")</f>
        <v>0</v>
      </c>
    </row>
    <row r="556" spans="1:13" x14ac:dyDescent="0.2">
      <c r="A556" s="168">
        <f>IF(LEN(ITSecondTable[[#This Row],[Tag]]) &gt; 0, _xlfn.XLOOKUP(ITSecondTable[[#This Row],[Tag]],StorageTable[Tag], StorageTable[In Storage - Count Total], "Err", 0, 1), 0)</f>
        <v>25</v>
      </c>
      <c r="B556" s="1">
        <f>_xlfn.LET(_xlpm.loc, ITEquipmentTable[Storage Location],
COUNTIFS(ITSecondTable[Tag], ITSecondTable[[#This Row],[Tag]], _xlpm.loc, "&lt;&gt;In Use", _xlpm.loc, "&lt;&gt;",  _xlpm.loc, "&lt;&gt;E-Waste", _xlpm.loc, "&lt;&gt;Virtual",  _xlpm.loc, "&lt;&gt;Assigned to Employee", _xlpm.loc, "&lt;&gt;Decommisioned", _xlpm.loc, "&lt;&gt;Missing")
)</f>
        <v>36</v>
      </c>
      <c r="C556" s="1">
        <f>_xlfn.LET(_xlpm.loc, ITEquipmentTable[Storage Location],
COUNTIFS(ITSecondTable[Tag], ITSecondTable[[#This Row],[Tag]], _xlpm.loc, "&lt;&gt;E-Waste", _xlpm.loc, "&lt;&gt;Virtual", _xlpm.loc, "&lt;&gt;Decommisioned")
)</f>
        <v>41</v>
      </c>
      <c r="D556" s="168">
        <f>_xlfn.LET(_xlpm.loc, ITEquipmentTable[Storage Location],
COUNTIFS(ITSecondTable[Tag], ITSecondTable[[#This Row],[Tag]], _xlpm.loc, "Missing")
)</f>
        <v>0</v>
      </c>
      <c r="E556" s="168">
        <f>_xlfn.LET(_xlpm.loc, ITEquipmentTable[Storage Location],
COUNTIFS(ITSecondTable[Tag], ITSecondTable[[#This Row],[Tag]], _xlpm.loc, "In Use") + COUNTIFS(ITSecondTable[Tag], ITSecondTable[[#This Row],[Tag]], _xlpm.loc, "Assigned to Employee")
)</f>
        <v>5</v>
      </c>
      <c r="F556" s="168">
        <f>_xlfn.LET(_xlpm.loc, ITEquipmentTable[Storage Location],
COUNTIFS(ITSecondTable[Tag], ITSecondTable[[#This Row],[Tag]], _xlpm.loc, "")
)</f>
        <v>0</v>
      </c>
      <c r="G556" s="168">
        <f>MAX(ITSecondTable[[#This Row],[SQty]] - ITSecondTable[[#This Row],[IQty]], 0)</f>
        <v>11</v>
      </c>
      <c r="H556" s="168">
        <f>MAX(ITSecondTable[[#This Row],[IQty]]-ITSecondTable[[#This Row],[SQty]], 0)</f>
        <v>0</v>
      </c>
      <c r="I556" s="151" t="str">
        <f>IFERROR(_xlfn.TEXTJOIN("~", TRUE, ITEquipmentTable[[#This Row],[Type]],ITEquipmentTable[[#This Row],[Brand]],ITEquipmentTable[[#This Row],[Model]]), "")</f>
        <v>Monitor~Acer~V206HQL</v>
      </c>
      <c r="J556" s="151" t="b">
        <f xml:space="preserve"> _xlfn.IFNA(MATCH( ITSecondTable[[#This Row],[Tag]], StorageTable[Tag], 0)  &gt; -1, FALSE)</f>
        <v>0</v>
      </c>
      <c r="K556" s="168" t="b">
        <f>COUNTIFS(ITEquipmentTable[Serial], ITEquipmentTable[[#This Row],[Serial]], ITEquipmentTable[Serial], "&lt;&gt;N/A") &gt; 1</f>
        <v>0</v>
      </c>
      <c r="L556" s="168" t="b">
        <f>COUNTIFS(ITEquipmentTable[Name], ITEquipmentTable[[#This Row],[Name]], ITEquipmentTable[Name], "&lt;&gt;&lt;Unassigned&gt;",  ITEquipmentTable[Name], "&lt;&gt;N/A") &gt; 1</f>
        <v>0</v>
      </c>
      <c r="M556" s="168" t="b">
        <f>AND(COUNTIFS(ITEquipmentTable[IPv4 Address], ITEquipmentTable[[#This Row],[IPv4 Address]]) &gt; 1, ITEquipmentTable[[#This Row],[IPv4 Address]] &lt;&gt; "DHCP",  ITEquipmentTable[[#This Row],[IPv4 Address]] &lt;&gt; "N/A")</f>
        <v>0</v>
      </c>
    </row>
    <row r="557" spans="1:13" x14ac:dyDescent="0.2">
      <c r="A557" s="168">
        <f>IF(LEN(ITSecondTable[[#This Row],[Tag]]) &gt; 0, _xlfn.XLOOKUP(ITSecondTable[[#This Row],[Tag]],StorageTable[Tag], StorageTable[In Storage - Count Total], "Err", 0, 1), 0)</f>
        <v>25</v>
      </c>
      <c r="B557" s="1">
        <f>_xlfn.LET(_xlpm.loc, ITEquipmentTable[Storage Location],
COUNTIFS(ITSecondTable[Tag], ITSecondTable[[#This Row],[Tag]], _xlpm.loc, "&lt;&gt;In Use", _xlpm.loc, "&lt;&gt;",  _xlpm.loc, "&lt;&gt;E-Waste", _xlpm.loc, "&lt;&gt;Virtual",  _xlpm.loc, "&lt;&gt;Assigned to Employee", _xlpm.loc, "&lt;&gt;Decommisioned", _xlpm.loc, "&lt;&gt;Missing")
)</f>
        <v>36</v>
      </c>
      <c r="C557" s="1">
        <f>_xlfn.LET(_xlpm.loc, ITEquipmentTable[Storage Location],
COUNTIFS(ITSecondTable[Tag], ITSecondTable[[#This Row],[Tag]], _xlpm.loc, "&lt;&gt;E-Waste", _xlpm.loc, "&lt;&gt;Virtual", _xlpm.loc, "&lt;&gt;Decommisioned")
)</f>
        <v>41</v>
      </c>
      <c r="D557" s="168">
        <f>_xlfn.LET(_xlpm.loc, ITEquipmentTable[Storage Location],
COUNTIFS(ITSecondTable[Tag], ITSecondTable[[#This Row],[Tag]], _xlpm.loc, "Missing")
)</f>
        <v>0</v>
      </c>
      <c r="E557" s="168">
        <f>_xlfn.LET(_xlpm.loc, ITEquipmentTable[Storage Location],
COUNTIFS(ITSecondTable[Tag], ITSecondTable[[#This Row],[Tag]], _xlpm.loc, "In Use") + COUNTIFS(ITSecondTable[Tag], ITSecondTable[[#This Row],[Tag]], _xlpm.loc, "Assigned to Employee")
)</f>
        <v>5</v>
      </c>
      <c r="F557" s="168">
        <f>_xlfn.LET(_xlpm.loc, ITEquipmentTable[Storage Location],
COUNTIFS(ITSecondTable[Tag], ITSecondTable[[#This Row],[Tag]], _xlpm.loc, "")
)</f>
        <v>0</v>
      </c>
      <c r="G557" s="168">
        <f>MAX(ITSecondTable[[#This Row],[SQty]] - ITSecondTable[[#This Row],[IQty]], 0)</f>
        <v>11</v>
      </c>
      <c r="H557" s="168">
        <f>MAX(ITSecondTable[[#This Row],[IQty]]-ITSecondTable[[#This Row],[SQty]], 0)</f>
        <v>0</v>
      </c>
      <c r="I557" s="151" t="str">
        <f>IFERROR(_xlfn.TEXTJOIN("~", TRUE, ITEquipmentTable[[#This Row],[Type]],ITEquipmentTable[[#This Row],[Brand]],ITEquipmentTable[[#This Row],[Model]]), "")</f>
        <v>Monitor~Acer~V206HQL</v>
      </c>
      <c r="J557" s="151" t="b">
        <f xml:space="preserve"> _xlfn.IFNA(MATCH( ITSecondTable[[#This Row],[Tag]], StorageTable[Tag], 0)  &gt; -1, FALSE)</f>
        <v>0</v>
      </c>
      <c r="K557" s="168" t="b">
        <f>COUNTIFS(ITEquipmentTable[Serial], ITEquipmentTable[[#This Row],[Serial]], ITEquipmentTable[Serial], "&lt;&gt;N/A") &gt; 1</f>
        <v>0</v>
      </c>
      <c r="L557" s="168" t="b">
        <f>COUNTIFS(ITEquipmentTable[Name], ITEquipmentTable[[#This Row],[Name]], ITEquipmentTable[Name], "&lt;&gt;&lt;Unassigned&gt;",  ITEquipmentTable[Name], "&lt;&gt;N/A") &gt; 1</f>
        <v>0</v>
      </c>
      <c r="M557" s="168" t="b">
        <f>AND(COUNTIFS(ITEquipmentTable[IPv4 Address], ITEquipmentTable[[#This Row],[IPv4 Address]]) &gt; 1, ITEquipmentTable[[#This Row],[IPv4 Address]] &lt;&gt; "DHCP",  ITEquipmentTable[[#This Row],[IPv4 Address]] &lt;&gt; "N/A")</f>
        <v>0</v>
      </c>
    </row>
    <row r="558" spans="1:13" x14ac:dyDescent="0.2">
      <c r="A558" s="168">
        <f>IF(LEN(ITSecondTable[[#This Row],[Tag]]) &gt; 0, _xlfn.XLOOKUP(ITSecondTable[[#This Row],[Tag]],StorageTable[Tag], StorageTable[In Storage - Count Total], "Err", 0, 1), 0)</f>
        <v>25</v>
      </c>
      <c r="B558" s="168">
        <f>_xlfn.LET(_xlpm.loc, ITEquipmentTable[Storage Location],
COUNTIFS(ITSecondTable[Tag], ITSecondTable[[#This Row],[Tag]], _xlpm.loc, "&lt;&gt;In Use", _xlpm.loc, "&lt;&gt;",  _xlpm.loc, "&lt;&gt;E-Waste", _xlpm.loc, "&lt;&gt;Virtual",  _xlpm.loc, "&lt;&gt;Assigned to Employee", _xlpm.loc, "&lt;&gt;Decommisioned", _xlpm.loc, "&lt;&gt;Missing")
)</f>
        <v>36</v>
      </c>
      <c r="C558" s="168">
        <f>_xlfn.LET(_xlpm.loc, ITEquipmentTable[Storage Location],
COUNTIFS(ITSecondTable[Tag], ITSecondTable[[#This Row],[Tag]], _xlpm.loc, "&lt;&gt;E-Waste", _xlpm.loc, "&lt;&gt;Virtual", _xlpm.loc, "&lt;&gt;Decommisioned")
)</f>
        <v>41</v>
      </c>
      <c r="D558" s="168">
        <f>_xlfn.LET(_xlpm.loc, ITEquipmentTable[Storage Location],
COUNTIFS(ITSecondTable[Tag], ITSecondTable[[#This Row],[Tag]], _xlpm.loc, "Missing")
)</f>
        <v>0</v>
      </c>
      <c r="E558" s="168">
        <f>_xlfn.LET(_xlpm.loc, ITEquipmentTable[Storage Location],
COUNTIFS(ITSecondTable[Tag], ITSecondTable[[#This Row],[Tag]], _xlpm.loc, "In Use") + COUNTIFS(ITSecondTable[Tag], ITSecondTable[[#This Row],[Tag]], _xlpm.loc, "Assigned to Employee")
)</f>
        <v>5</v>
      </c>
      <c r="F558" s="168">
        <f>_xlfn.LET(_xlpm.loc, ITEquipmentTable[Storage Location],
COUNTIFS(ITSecondTable[Tag], ITSecondTable[[#This Row],[Tag]], _xlpm.loc, "")
)</f>
        <v>0</v>
      </c>
      <c r="G558" s="168">
        <f>MAX(ITSecondTable[[#This Row],[SQty]] - ITSecondTable[[#This Row],[IQty]], 0)</f>
        <v>11</v>
      </c>
      <c r="H558" s="168">
        <f>MAX(ITSecondTable[[#This Row],[IQty]]-ITSecondTable[[#This Row],[SQty]], 0)</f>
        <v>0</v>
      </c>
      <c r="I558" s="151" t="str">
        <f>IFERROR(_xlfn.TEXTJOIN("~", TRUE, ITEquipmentTable[[#This Row],[Type]],ITEquipmentTable[[#This Row],[Brand]],ITEquipmentTable[[#This Row],[Model]]), "")</f>
        <v>Monitor~Acer~V206HQL</v>
      </c>
      <c r="J558" s="151" t="b">
        <f xml:space="preserve"> _xlfn.IFNA(MATCH( ITSecondTable[[#This Row],[Tag]], StorageTable[Tag], 0)  &gt; -1, FALSE)</f>
        <v>0</v>
      </c>
      <c r="K558" s="168" t="b">
        <f>COUNTIFS(ITEquipmentTable[Serial], ITEquipmentTable[[#This Row],[Serial]], ITEquipmentTable[Serial], "&lt;&gt;N/A") &gt; 1</f>
        <v>0</v>
      </c>
      <c r="L558" s="168" t="b">
        <f>COUNTIFS(ITEquipmentTable[Name], ITEquipmentTable[[#This Row],[Name]], ITEquipmentTable[Name], "&lt;&gt;&lt;Unassigned&gt;",  ITEquipmentTable[Name], "&lt;&gt;N/A") &gt; 1</f>
        <v>0</v>
      </c>
      <c r="M558" s="168" t="b">
        <f>AND(COUNTIFS(ITEquipmentTable[IPv4 Address], ITEquipmentTable[[#This Row],[IPv4 Address]]) &gt; 1, ITEquipmentTable[[#This Row],[IPv4 Address]] &lt;&gt; "DHCP",  ITEquipmentTable[[#This Row],[IPv4 Address]] &lt;&gt; "N/A")</f>
        <v>0</v>
      </c>
    </row>
    <row r="559" spans="1:13" x14ac:dyDescent="0.2">
      <c r="A559" s="168">
        <f>IF(LEN(ITSecondTable[[#This Row],[Tag]]) &gt; 0, _xlfn.XLOOKUP(ITSecondTable[[#This Row],[Tag]],StorageTable[Tag], StorageTable[In Storage - Count Total], "Err", 0, 1), 0)</f>
        <v>25</v>
      </c>
      <c r="B559" s="168">
        <f>_xlfn.LET(_xlpm.loc, ITEquipmentTable[Storage Location],
COUNTIFS(ITSecondTable[Tag], ITSecondTable[[#This Row],[Tag]], _xlpm.loc, "&lt;&gt;In Use", _xlpm.loc, "&lt;&gt;",  _xlpm.loc, "&lt;&gt;E-Waste", _xlpm.loc, "&lt;&gt;Virtual",  _xlpm.loc, "&lt;&gt;Assigned to Employee", _xlpm.loc, "&lt;&gt;Decommisioned", _xlpm.loc, "&lt;&gt;Missing")
)</f>
        <v>36</v>
      </c>
      <c r="C559" s="168">
        <f>_xlfn.LET(_xlpm.loc, ITEquipmentTable[Storage Location],
COUNTIFS(ITSecondTable[Tag], ITSecondTable[[#This Row],[Tag]], _xlpm.loc, "&lt;&gt;E-Waste", _xlpm.loc, "&lt;&gt;Virtual", _xlpm.loc, "&lt;&gt;Decommisioned")
)</f>
        <v>41</v>
      </c>
      <c r="D559" s="168">
        <f>_xlfn.LET(_xlpm.loc, ITEquipmentTable[Storage Location],
COUNTIFS(ITSecondTable[Tag], ITSecondTable[[#This Row],[Tag]], _xlpm.loc, "Missing")
)</f>
        <v>0</v>
      </c>
      <c r="E559" s="168">
        <f>_xlfn.LET(_xlpm.loc, ITEquipmentTable[Storage Location],
COUNTIFS(ITSecondTable[Tag], ITSecondTable[[#This Row],[Tag]], _xlpm.loc, "In Use") + COUNTIFS(ITSecondTable[Tag], ITSecondTable[[#This Row],[Tag]], _xlpm.loc, "Assigned to Employee")
)</f>
        <v>5</v>
      </c>
      <c r="F559" s="168">
        <f>_xlfn.LET(_xlpm.loc, ITEquipmentTable[Storage Location],
COUNTIFS(ITSecondTable[Tag], ITSecondTable[[#This Row],[Tag]], _xlpm.loc, "")
)</f>
        <v>0</v>
      </c>
      <c r="G559" s="168">
        <f>MAX(ITSecondTable[[#This Row],[SQty]] - ITSecondTable[[#This Row],[IQty]], 0)</f>
        <v>11</v>
      </c>
      <c r="H559" s="168">
        <f>MAX(ITSecondTable[[#This Row],[IQty]]-ITSecondTable[[#This Row],[SQty]], 0)</f>
        <v>0</v>
      </c>
      <c r="I559" s="151" t="str">
        <f>IFERROR(_xlfn.TEXTJOIN("~", TRUE, ITEquipmentTable[[#This Row],[Type]],ITEquipmentTable[[#This Row],[Brand]],ITEquipmentTable[[#This Row],[Model]]), "")</f>
        <v>Monitor~Acer~V206HQL</v>
      </c>
      <c r="J559" s="151" t="b">
        <f xml:space="preserve"> _xlfn.IFNA(MATCH( ITSecondTable[[#This Row],[Tag]], StorageTable[Tag], 0)  &gt; -1, FALSE)</f>
        <v>0</v>
      </c>
      <c r="K559" s="168" t="b">
        <f>COUNTIFS(ITEquipmentTable[Serial], ITEquipmentTable[[#This Row],[Serial]], ITEquipmentTable[Serial], "&lt;&gt;N/A") &gt; 1</f>
        <v>0</v>
      </c>
      <c r="L559" s="168" t="b">
        <f>COUNTIFS(ITEquipmentTable[Name], ITEquipmentTable[[#This Row],[Name]], ITEquipmentTable[Name], "&lt;&gt;&lt;Unassigned&gt;",  ITEquipmentTable[Name], "&lt;&gt;N/A") &gt; 1</f>
        <v>0</v>
      </c>
      <c r="M559" s="168" t="b">
        <f>AND(COUNTIFS(ITEquipmentTable[IPv4 Address], ITEquipmentTable[[#This Row],[IPv4 Address]]) &gt; 1, ITEquipmentTable[[#This Row],[IPv4 Address]] &lt;&gt; "DHCP",  ITEquipmentTable[[#This Row],[IPv4 Address]] &lt;&gt; "N/A")</f>
        <v>0</v>
      </c>
    </row>
    <row r="560" spans="1:13" x14ac:dyDescent="0.2">
      <c r="A560" s="168">
        <f>IF(LEN(ITSecondTable[[#This Row],[Tag]]) &gt; 0, _xlfn.XLOOKUP(ITSecondTable[[#This Row],[Tag]],StorageTable[Tag], StorageTable[In Storage - Count Total], "Err", 0, 1), 0)</f>
        <v>25</v>
      </c>
      <c r="B560" s="168">
        <f>_xlfn.LET(_xlpm.loc, ITEquipmentTable[Storage Location],
COUNTIFS(ITSecondTable[Tag], ITSecondTable[[#This Row],[Tag]], _xlpm.loc, "&lt;&gt;In Use", _xlpm.loc, "&lt;&gt;",  _xlpm.loc, "&lt;&gt;E-Waste", _xlpm.loc, "&lt;&gt;Virtual",  _xlpm.loc, "&lt;&gt;Assigned to Employee", _xlpm.loc, "&lt;&gt;Decommisioned", _xlpm.loc, "&lt;&gt;Missing")
)</f>
        <v>36</v>
      </c>
      <c r="C560" s="168">
        <f>_xlfn.LET(_xlpm.loc, ITEquipmentTable[Storage Location],
COUNTIFS(ITSecondTable[Tag], ITSecondTable[[#This Row],[Tag]], _xlpm.loc, "&lt;&gt;E-Waste", _xlpm.loc, "&lt;&gt;Virtual", _xlpm.loc, "&lt;&gt;Decommisioned")
)</f>
        <v>41</v>
      </c>
      <c r="D560" s="168">
        <f>_xlfn.LET(_xlpm.loc, ITEquipmentTable[Storage Location],
COUNTIFS(ITSecondTable[Tag], ITSecondTable[[#This Row],[Tag]], _xlpm.loc, "Missing")
)</f>
        <v>0</v>
      </c>
      <c r="E560" s="168">
        <f>_xlfn.LET(_xlpm.loc, ITEquipmentTable[Storage Location],
COUNTIFS(ITSecondTable[Tag], ITSecondTable[[#This Row],[Tag]], _xlpm.loc, "In Use") + COUNTIFS(ITSecondTable[Tag], ITSecondTable[[#This Row],[Tag]], _xlpm.loc, "Assigned to Employee")
)</f>
        <v>5</v>
      </c>
      <c r="F560" s="168">
        <f>_xlfn.LET(_xlpm.loc, ITEquipmentTable[Storage Location],
COUNTIFS(ITSecondTable[Tag], ITSecondTable[[#This Row],[Tag]], _xlpm.loc, "")
)</f>
        <v>0</v>
      </c>
      <c r="G560" s="168">
        <f>MAX(ITSecondTable[[#This Row],[SQty]] - ITSecondTable[[#This Row],[IQty]], 0)</f>
        <v>11</v>
      </c>
      <c r="H560" s="168">
        <f>MAX(ITSecondTable[[#This Row],[IQty]]-ITSecondTable[[#This Row],[SQty]], 0)</f>
        <v>0</v>
      </c>
      <c r="I560" s="151" t="str">
        <f>IFERROR(_xlfn.TEXTJOIN("~", TRUE, ITEquipmentTable[[#This Row],[Type]],ITEquipmentTable[[#This Row],[Brand]],ITEquipmentTable[[#This Row],[Model]]), "")</f>
        <v>Monitor~Acer~V206HQL</v>
      </c>
      <c r="J560" s="151" t="b">
        <f xml:space="preserve"> _xlfn.IFNA(MATCH( ITSecondTable[[#This Row],[Tag]], StorageTable[Tag], 0)  &gt; -1, FALSE)</f>
        <v>0</v>
      </c>
      <c r="K560" s="168" t="b">
        <f>COUNTIFS(ITEquipmentTable[Serial], ITEquipmentTable[[#This Row],[Serial]], ITEquipmentTable[Serial], "&lt;&gt;N/A") &gt; 1</f>
        <v>0</v>
      </c>
      <c r="L560" s="168" t="b">
        <f>COUNTIFS(ITEquipmentTable[Name], ITEquipmentTable[[#This Row],[Name]], ITEquipmentTable[Name], "&lt;&gt;&lt;Unassigned&gt;",  ITEquipmentTable[Name], "&lt;&gt;N/A") &gt; 1</f>
        <v>0</v>
      </c>
      <c r="M560" s="168" t="b">
        <f>AND(COUNTIFS(ITEquipmentTable[IPv4 Address], ITEquipmentTable[[#This Row],[IPv4 Address]]) &gt; 1, ITEquipmentTable[[#This Row],[IPv4 Address]] &lt;&gt; "DHCP",  ITEquipmentTable[[#This Row],[IPv4 Address]] &lt;&gt; "N/A")</f>
        <v>0</v>
      </c>
    </row>
    <row r="561" spans="1:13" x14ac:dyDescent="0.2">
      <c r="A561" s="168">
        <f>IF(LEN(ITSecondTable[[#This Row],[Tag]]) &gt; 0, _xlfn.XLOOKUP(ITSecondTable[[#This Row],[Tag]],StorageTable[Tag], StorageTable[In Storage - Count Total], "Err", 0, 1), 0)</f>
        <v>25</v>
      </c>
      <c r="B561" s="168">
        <f>_xlfn.LET(_xlpm.loc, ITEquipmentTable[Storage Location],
COUNTIFS(ITSecondTable[Tag], ITSecondTable[[#This Row],[Tag]], _xlpm.loc, "&lt;&gt;In Use", _xlpm.loc, "&lt;&gt;",  _xlpm.loc, "&lt;&gt;E-Waste", _xlpm.loc, "&lt;&gt;Virtual",  _xlpm.loc, "&lt;&gt;Assigned to Employee", _xlpm.loc, "&lt;&gt;Decommisioned", _xlpm.loc, "&lt;&gt;Missing")
)</f>
        <v>36</v>
      </c>
      <c r="C561" s="168">
        <f>_xlfn.LET(_xlpm.loc, ITEquipmentTable[Storage Location],
COUNTIFS(ITSecondTable[Tag], ITSecondTable[[#This Row],[Tag]], _xlpm.loc, "&lt;&gt;E-Waste", _xlpm.loc, "&lt;&gt;Virtual", _xlpm.loc, "&lt;&gt;Decommisioned")
)</f>
        <v>41</v>
      </c>
      <c r="D561" s="168">
        <f>_xlfn.LET(_xlpm.loc, ITEquipmentTable[Storage Location],
COUNTIFS(ITSecondTable[Tag], ITSecondTable[[#This Row],[Tag]], _xlpm.loc, "Missing")
)</f>
        <v>0</v>
      </c>
      <c r="E561" s="168">
        <f>_xlfn.LET(_xlpm.loc, ITEquipmentTable[Storage Location],
COUNTIFS(ITSecondTable[Tag], ITSecondTable[[#This Row],[Tag]], _xlpm.loc, "In Use") + COUNTIFS(ITSecondTable[Tag], ITSecondTable[[#This Row],[Tag]], _xlpm.loc, "Assigned to Employee")
)</f>
        <v>5</v>
      </c>
      <c r="F561" s="168">
        <f>_xlfn.LET(_xlpm.loc, ITEquipmentTable[Storage Location],
COUNTIFS(ITSecondTable[Tag], ITSecondTable[[#This Row],[Tag]], _xlpm.loc, "")
)</f>
        <v>0</v>
      </c>
      <c r="G561" s="168">
        <f>MAX(ITSecondTable[[#This Row],[SQty]] - ITSecondTable[[#This Row],[IQty]], 0)</f>
        <v>11</v>
      </c>
      <c r="H561" s="168">
        <f>MAX(ITSecondTable[[#This Row],[IQty]]-ITSecondTable[[#This Row],[SQty]], 0)</f>
        <v>0</v>
      </c>
      <c r="I561" s="151" t="str">
        <f>IFERROR(_xlfn.TEXTJOIN("~", TRUE, ITEquipmentTable[[#This Row],[Type]],ITEquipmentTable[[#This Row],[Brand]],ITEquipmentTable[[#This Row],[Model]]), "")</f>
        <v>Monitor~Acer~V206HQL</v>
      </c>
      <c r="J561" s="151" t="b">
        <f xml:space="preserve"> _xlfn.IFNA(MATCH( ITSecondTable[[#This Row],[Tag]], StorageTable[Tag], 0)  &gt; -1, FALSE)</f>
        <v>0</v>
      </c>
      <c r="K561" s="168" t="b">
        <f>COUNTIFS(ITEquipmentTable[Serial], ITEquipmentTable[[#This Row],[Serial]], ITEquipmentTable[Serial], "&lt;&gt;N/A") &gt; 1</f>
        <v>0</v>
      </c>
      <c r="L561" s="168" t="b">
        <f>COUNTIFS(ITEquipmentTable[Name], ITEquipmentTable[[#This Row],[Name]], ITEquipmentTable[Name], "&lt;&gt;&lt;Unassigned&gt;",  ITEquipmentTable[Name], "&lt;&gt;N/A") &gt; 1</f>
        <v>0</v>
      </c>
      <c r="M561" s="168" t="b">
        <f>AND(COUNTIFS(ITEquipmentTable[IPv4 Address], ITEquipmentTable[[#This Row],[IPv4 Address]]) &gt; 1, ITEquipmentTable[[#This Row],[IPv4 Address]] &lt;&gt; "DHCP",  ITEquipmentTable[[#This Row],[IPv4 Address]] &lt;&gt; "N/A")</f>
        <v>0</v>
      </c>
    </row>
    <row r="562" spans="1:13" x14ac:dyDescent="0.2">
      <c r="A562" s="168">
        <f>IF(LEN(ITSecondTable[[#This Row],[Tag]]) &gt; 0, _xlfn.XLOOKUP(ITSecondTable[[#This Row],[Tag]],StorageTable[Tag], StorageTable[In Storage - Count Total], "Err", 0, 1), 0)</f>
        <v>1</v>
      </c>
      <c r="B562" s="168">
        <f>_xlfn.LET(_xlpm.loc, ITEquipmentTable[Storage Location],
COUNTIFS(ITSecondTable[Tag], ITSecondTable[[#This Row],[Tag]], _xlpm.loc, "&lt;&gt;In Use", _xlpm.loc, "&lt;&gt;",  _xlpm.loc, "&lt;&gt;E-Waste", _xlpm.loc, "&lt;&gt;Virtual",  _xlpm.loc, "&lt;&gt;Assigned to Employee", _xlpm.loc, "&lt;&gt;Decommisioned", _xlpm.loc, "&lt;&gt;Missing")
)</f>
        <v>3</v>
      </c>
      <c r="C562" s="168">
        <f>_xlfn.LET(_xlpm.loc, ITEquipmentTable[Storage Location],
COUNTIFS(ITSecondTable[Tag], ITSecondTable[[#This Row],[Tag]], _xlpm.loc, "&lt;&gt;E-Waste", _xlpm.loc, "&lt;&gt;Virtual", _xlpm.loc, "&lt;&gt;Decommisioned")
)</f>
        <v>3</v>
      </c>
      <c r="D562" s="168">
        <f>_xlfn.LET(_xlpm.loc, ITEquipmentTable[Storage Location],
COUNTIFS(ITSecondTable[Tag], ITSecondTable[[#This Row],[Tag]], _xlpm.loc, "Missing")
)</f>
        <v>0</v>
      </c>
      <c r="E562" s="168">
        <f>_xlfn.LET(_xlpm.loc, ITEquipmentTable[Storage Location],
COUNTIFS(ITSecondTable[Tag], ITSecondTable[[#This Row],[Tag]], _xlpm.loc, "In Use") + COUNTIFS(ITSecondTable[Tag], ITSecondTable[[#This Row],[Tag]], _xlpm.loc, "Assigned to Employee")
)</f>
        <v>0</v>
      </c>
      <c r="F562" s="168">
        <f>_xlfn.LET(_xlpm.loc, ITEquipmentTable[Storage Location],
COUNTIFS(ITSecondTable[Tag], ITSecondTable[[#This Row],[Tag]], _xlpm.loc, "")
)</f>
        <v>0</v>
      </c>
      <c r="G562" s="168">
        <f>MAX(ITSecondTable[[#This Row],[SQty]] - ITSecondTable[[#This Row],[IQty]], 0)</f>
        <v>2</v>
      </c>
      <c r="H562" s="168">
        <f>MAX(ITSecondTable[[#This Row],[IQty]]-ITSecondTable[[#This Row],[SQty]], 0)</f>
        <v>0</v>
      </c>
      <c r="I562" s="151" t="str">
        <f>IFERROR(_xlfn.TEXTJOIN("~", TRUE, ITEquipmentTable[[#This Row],[Type]],ITEquipmentTable[[#This Row],[Brand]],ITEquipmentTable[[#This Row],[Model]]), "")</f>
        <v>Monitor~Acer~V246HQL</v>
      </c>
      <c r="J562" s="151" t="b">
        <f xml:space="preserve"> _xlfn.IFNA(MATCH( ITSecondTable[[#This Row],[Tag]], StorageTable[Tag], 0)  &gt; -1, FALSE)</f>
        <v>0</v>
      </c>
      <c r="K562" s="168" t="b">
        <f>COUNTIFS(ITEquipmentTable[Serial], ITEquipmentTable[[#This Row],[Serial]], ITEquipmentTable[Serial], "&lt;&gt;N/A") &gt; 1</f>
        <v>0</v>
      </c>
      <c r="L562" s="168" t="b">
        <f>COUNTIFS(ITEquipmentTable[Name], ITEquipmentTable[[#This Row],[Name]], ITEquipmentTable[Name], "&lt;&gt;&lt;Unassigned&gt;",  ITEquipmentTable[Name], "&lt;&gt;N/A") &gt; 1</f>
        <v>0</v>
      </c>
      <c r="M562" s="168" t="b">
        <f>AND(COUNTIFS(ITEquipmentTable[IPv4 Address], ITEquipmentTable[[#This Row],[IPv4 Address]]) &gt; 1, ITEquipmentTable[[#This Row],[IPv4 Address]] &lt;&gt; "DHCP",  ITEquipmentTable[[#This Row],[IPv4 Address]] &lt;&gt; "N/A")</f>
        <v>0</v>
      </c>
    </row>
    <row r="563" spans="1:13" x14ac:dyDescent="0.2">
      <c r="A563" s="168">
        <f>IF(LEN(ITSecondTable[[#This Row],[Tag]]) &gt; 0, _xlfn.XLOOKUP(ITSecondTable[[#This Row],[Tag]],StorageTable[Tag], StorageTable[In Storage - Count Total], "Err", 0, 1), 0)</f>
        <v>1</v>
      </c>
      <c r="B563" s="168">
        <f>_xlfn.LET(_xlpm.loc, ITEquipmentTable[Storage Location],
COUNTIFS(ITSecondTable[Tag], ITSecondTable[[#This Row],[Tag]], _xlpm.loc, "&lt;&gt;In Use", _xlpm.loc, "&lt;&gt;",  _xlpm.loc, "&lt;&gt;E-Waste", _xlpm.loc, "&lt;&gt;Virtual",  _xlpm.loc, "&lt;&gt;Assigned to Employee", _xlpm.loc, "&lt;&gt;Decommisioned", _xlpm.loc, "&lt;&gt;Missing")
)</f>
        <v>3</v>
      </c>
      <c r="C563" s="168">
        <f>_xlfn.LET(_xlpm.loc, ITEquipmentTable[Storage Location],
COUNTIFS(ITSecondTable[Tag], ITSecondTable[[#This Row],[Tag]], _xlpm.loc, "&lt;&gt;E-Waste", _xlpm.loc, "&lt;&gt;Virtual", _xlpm.loc, "&lt;&gt;Decommisioned")
)</f>
        <v>3</v>
      </c>
      <c r="D563" s="168">
        <f>_xlfn.LET(_xlpm.loc, ITEquipmentTable[Storage Location],
COUNTIFS(ITSecondTable[Tag], ITSecondTable[[#This Row],[Tag]], _xlpm.loc, "Missing")
)</f>
        <v>0</v>
      </c>
      <c r="E563" s="168">
        <f>_xlfn.LET(_xlpm.loc, ITEquipmentTable[Storage Location],
COUNTIFS(ITSecondTable[Tag], ITSecondTable[[#This Row],[Tag]], _xlpm.loc, "In Use") + COUNTIFS(ITSecondTable[Tag], ITSecondTable[[#This Row],[Tag]], _xlpm.loc, "Assigned to Employee")
)</f>
        <v>0</v>
      </c>
      <c r="F563" s="168">
        <f>_xlfn.LET(_xlpm.loc, ITEquipmentTable[Storage Location],
COUNTIFS(ITSecondTable[Tag], ITSecondTable[[#This Row],[Tag]], _xlpm.loc, "")
)</f>
        <v>0</v>
      </c>
      <c r="G563" s="168">
        <f>MAX(ITSecondTable[[#This Row],[SQty]] - ITSecondTable[[#This Row],[IQty]], 0)</f>
        <v>2</v>
      </c>
      <c r="H563" s="168">
        <f>MAX(ITSecondTable[[#This Row],[IQty]]-ITSecondTable[[#This Row],[SQty]], 0)</f>
        <v>0</v>
      </c>
      <c r="I563" s="151" t="str">
        <f>IFERROR(_xlfn.TEXTJOIN("~", TRUE, ITEquipmentTable[[#This Row],[Type]],ITEquipmentTable[[#This Row],[Brand]],ITEquipmentTable[[#This Row],[Model]]), "")</f>
        <v>Monitor~Acer~V246HQL</v>
      </c>
      <c r="J563" s="151" t="b">
        <f xml:space="preserve"> _xlfn.IFNA(MATCH( ITSecondTable[[#This Row],[Tag]], StorageTable[Tag], 0)  &gt; -1, FALSE)</f>
        <v>0</v>
      </c>
      <c r="K563" s="168" t="b">
        <f>COUNTIFS(ITEquipmentTable[Serial], ITEquipmentTable[[#This Row],[Serial]], ITEquipmentTable[Serial], "&lt;&gt;N/A") &gt; 1</f>
        <v>0</v>
      </c>
      <c r="L563" s="168" t="b">
        <f>COUNTIFS(ITEquipmentTable[Name], ITEquipmentTable[[#This Row],[Name]], ITEquipmentTable[Name], "&lt;&gt;&lt;Unassigned&gt;",  ITEquipmentTable[Name], "&lt;&gt;N/A") &gt; 1</f>
        <v>0</v>
      </c>
      <c r="M563" s="168" t="b">
        <f>AND(COUNTIFS(ITEquipmentTable[IPv4 Address], ITEquipmentTable[[#This Row],[IPv4 Address]]) &gt; 1, ITEquipmentTable[[#This Row],[IPv4 Address]] &lt;&gt; "DHCP",  ITEquipmentTable[[#This Row],[IPv4 Address]] &lt;&gt; "N/A")</f>
        <v>0</v>
      </c>
    </row>
    <row r="564" spans="1:13" x14ac:dyDescent="0.2">
      <c r="A564" s="168">
        <f>IF(LEN(ITSecondTable[[#This Row],[Tag]]) &gt; 0, _xlfn.XLOOKUP(ITSecondTable[[#This Row],[Tag]],StorageTable[Tag], StorageTable[In Storage - Count Total], "Err", 0, 1), 0)</f>
        <v>0</v>
      </c>
      <c r="B564" s="168">
        <f>_xlfn.LET(_xlpm.loc, ITEquipmentTable[Storage Location],
COUNTIFS(ITSecondTable[Tag], ITSecondTable[[#This Row],[Tag]], _xlpm.loc, "&lt;&gt;In Use", _xlpm.loc, "&lt;&gt;",  _xlpm.loc, "&lt;&gt;E-Waste", _xlpm.loc, "&lt;&gt;Virtual",  _xlpm.loc, "&lt;&gt;Assigned to Employee", _xlpm.loc, "&lt;&gt;Decommisioned", _xlpm.loc, "&lt;&gt;Missing")
)</f>
        <v>0</v>
      </c>
      <c r="C564" s="168">
        <f>_xlfn.LET(_xlpm.loc, ITEquipmentTable[Storage Location],
COUNTIFS(ITSecondTable[Tag], ITSecondTable[[#This Row],[Tag]], _xlpm.loc, "&lt;&gt;E-Waste", _xlpm.loc, "&lt;&gt;Virtual", _xlpm.loc, "&lt;&gt;Decommisioned")
)</f>
        <v>3</v>
      </c>
      <c r="D564" s="168">
        <f>_xlfn.LET(_xlpm.loc, ITEquipmentTable[Storage Location],
COUNTIFS(ITSecondTable[Tag], ITSecondTable[[#This Row],[Tag]], _xlpm.loc, "Missing")
)</f>
        <v>0</v>
      </c>
      <c r="E564" s="168">
        <f>_xlfn.LET(_xlpm.loc, ITEquipmentTable[Storage Location],
COUNTIFS(ITSecondTable[Tag], ITSecondTable[[#This Row],[Tag]], _xlpm.loc, "In Use") + COUNTIFS(ITSecondTable[Tag], ITSecondTable[[#This Row],[Tag]], _xlpm.loc, "Assigned to Employee")
)</f>
        <v>3</v>
      </c>
      <c r="F564" s="168">
        <f>_xlfn.LET(_xlpm.loc, ITEquipmentTable[Storage Location],
COUNTIFS(ITSecondTable[Tag], ITSecondTable[[#This Row],[Tag]], _xlpm.loc, "")
)</f>
        <v>0</v>
      </c>
      <c r="G564" s="168">
        <f>MAX(ITSecondTable[[#This Row],[SQty]] - ITSecondTable[[#This Row],[IQty]], 0)</f>
        <v>0</v>
      </c>
      <c r="H564" s="168">
        <f>MAX(ITSecondTable[[#This Row],[IQty]]-ITSecondTable[[#This Row],[SQty]], 0)</f>
        <v>0</v>
      </c>
      <c r="I564" s="151" t="str">
        <f>IFERROR(_xlfn.TEXTJOIN("~", TRUE, ITEquipmentTable[[#This Row],[Type]],ITEquipmentTable[[#This Row],[Brand]],ITEquipmentTable[[#This Row],[Model]]), "")</f>
        <v>Monitor~HP~HP P24v G4 FHD Monitor</v>
      </c>
      <c r="J564" s="151" t="b">
        <f xml:space="preserve"> _xlfn.IFNA(MATCH( ITSecondTable[[#This Row],[Tag]], StorageTable[Tag], 0)  &gt; -1, FALSE)</f>
        <v>0</v>
      </c>
      <c r="K564" s="168" t="b">
        <f>COUNTIFS(ITEquipmentTable[Serial], ITEquipmentTable[[#This Row],[Serial]], ITEquipmentTable[Serial], "&lt;&gt;N/A") &gt; 1</f>
        <v>0</v>
      </c>
      <c r="L564" s="168" t="b">
        <f>COUNTIFS(ITEquipmentTable[Name], ITEquipmentTable[[#This Row],[Name]], ITEquipmentTable[Name], "&lt;&gt;&lt;Unassigned&gt;",  ITEquipmentTable[Name], "&lt;&gt;N/A") &gt; 1</f>
        <v>0</v>
      </c>
      <c r="M564" s="168" t="b">
        <f>AND(COUNTIFS(ITEquipmentTable[IPv4 Address], ITEquipmentTable[[#This Row],[IPv4 Address]]) &gt; 1, ITEquipmentTable[[#This Row],[IPv4 Address]] &lt;&gt; "DHCP",  ITEquipmentTable[[#This Row],[IPv4 Address]] &lt;&gt; "N/A")</f>
        <v>0</v>
      </c>
    </row>
    <row r="565" spans="1:13" x14ac:dyDescent="0.2">
      <c r="A565" s="168">
        <f>IF(LEN(ITSecondTable[[#This Row],[Tag]]) &gt; 0, _xlfn.XLOOKUP(ITSecondTable[[#This Row],[Tag]],StorageTable[Tag], StorageTable[In Storage - Count Total], "Err", 0, 1), 0)</f>
        <v>0</v>
      </c>
      <c r="B565" s="168">
        <f>_xlfn.LET(_xlpm.loc, ITEquipmentTable[Storage Location],
COUNTIFS(ITSecondTable[Tag], ITSecondTable[[#This Row],[Tag]], _xlpm.loc, "&lt;&gt;In Use", _xlpm.loc, "&lt;&gt;",  _xlpm.loc, "&lt;&gt;E-Waste", _xlpm.loc, "&lt;&gt;Virtual",  _xlpm.loc, "&lt;&gt;Assigned to Employee", _xlpm.loc, "&lt;&gt;Decommisioned", _xlpm.loc, "&lt;&gt;Missing")
)</f>
        <v>0</v>
      </c>
      <c r="C565" s="168">
        <f>_xlfn.LET(_xlpm.loc, ITEquipmentTable[Storage Location],
COUNTIFS(ITSecondTable[Tag], ITSecondTable[[#This Row],[Tag]], _xlpm.loc, "&lt;&gt;E-Waste", _xlpm.loc, "&lt;&gt;Virtual", _xlpm.loc, "&lt;&gt;Decommisioned")
)</f>
        <v>3</v>
      </c>
      <c r="D565" s="168">
        <f>_xlfn.LET(_xlpm.loc, ITEquipmentTable[Storage Location],
COUNTIFS(ITSecondTable[Tag], ITSecondTable[[#This Row],[Tag]], _xlpm.loc, "Missing")
)</f>
        <v>0</v>
      </c>
      <c r="E565" s="168">
        <f>_xlfn.LET(_xlpm.loc, ITEquipmentTable[Storage Location],
COUNTIFS(ITSecondTable[Tag], ITSecondTable[[#This Row],[Tag]], _xlpm.loc, "In Use") + COUNTIFS(ITSecondTable[Tag], ITSecondTable[[#This Row],[Tag]], _xlpm.loc, "Assigned to Employee")
)</f>
        <v>3</v>
      </c>
      <c r="F565" s="168">
        <f>_xlfn.LET(_xlpm.loc, ITEquipmentTable[Storage Location],
COUNTIFS(ITSecondTable[Tag], ITSecondTable[[#This Row],[Tag]], _xlpm.loc, "")
)</f>
        <v>0</v>
      </c>
      <c r="G565" s="168">
        <f>MAX(ITSecondTable[[#This Row],[SQty]] - ITSecondTable[[#This Row],[IQty]], 0)</f>
        <v>0</v>
      </c>
      <c r="H565" s="168">
        <f>MAX(ITSecondTable[[#This Row],[IQty]]-ITSecondTable[[#This Row],[SQty]], 0)</f>
        <v>0</v>
      </c>
      <c r="I565" s="151" t="str">
        <f>IFERROR(_xlfn.TEXTJOIN("~", TRUE, ITEquipmentTable[[#This Row],[Type]],ITEquipmentTable[[#This Row],[Brand]],ITEquipmentTable[[#This Row],[Model]]), "")</f>
        <v>Monitor~HP~HP P24v G4 FHD Monitor</v>
      </c>
      <c r="J565" s="151" t="b">
        <f xml:space="preserve"> _xlfn.IFNA(MATCH( ITSecondTable[[#This Row],[Tag]], StorageTable[Tag], 0)  &gt; -1, FALSE)</f>
        <v>0</v>
      </c>
      <c r="K565" s="168" t="b">
        <f>COUNTIFS(ITEquipmentTable[Serial], ITEquipmentTable[[#This Row],[Serial]], ITEquipmentTable[Serial], "&lt;&gt;N/A") &gt; 1</f>
        <v>0</v>
      </c>
      <c r="L565" s="168" t="b">
        <f>COUNTIFS(ITEquipmentTable[Name], ITEquipmentTable[[#This Row],[Name]], ITEquipmentTable[Name], "&lt;&gt;&lt;Unassigned&gt;",  ITEquipmentTable[Name], "&lt;&gt;N/A") &gt; 1</f>
        <v>0</v>
      </c>
      <c r="M565" s="168" t="b">
        <f>AND(COUNTIFS(ITEquipmentTable[IPv4 Address], ITEquipmentTable[[#This Row],[IPv4 Address]]) &gt; 1, ITEquipmentTable[[#This Row],[IPv4 Address]] &lt;&gt; "DHCP",  ITEquipmentTable[[#This Row],[IPv4 Address]] &lt;&gt; "N/A")</f>
        <v>0</v>
      </c>
    </row>
    <row r="566" spans="1:13" x14ac:dyDescent="0.2">
      <c r="A566" s="168">
        <f>IF(LEN(ITSecondTable[[#This Row],[Tag]]) &gt; 0, _xlfn.XLOOKUP(ITSecondTable[[#This Row],[Tag]],StorageTable[Tag], StorageTable[In Storage - Count Total], "Err", 0, 1), 0)</f>
        <v>0</v>
      </c>
      <c r="B566" s="168">
        <f>_xlfn.LET(_xlpm.loc, ITEquipmentTable[Storage Location],
COUNTIFS(ITSecondTable[Tag], ITSecondTable[[#This Row],[Tag]], _xlpm.loc, "&lt;&gt;In Use", _xlpm.loc, "&lt;&gt;",  _xlpm.loc, "&lt;&gt;E-Waste", _xlpm.loc, "&lt;&gt;Virtual",  _xlpm.loc, "&lt;&gt;Assigned to Employee", _xlpm.loc, "&lt;&gt;Decommisioned", _xlpm.loc, "&lt;&gt;Missing")
)</f>
        <v>0</v>
      </c>
      <c r="C566" s="168">
        <f>_xlfn.LET(_xlpm.loc, ITEquipmentTable[Storage Location],
COUNTIFS(ITSecondTable[Tag], ITSecondTable[[#This Row],[Tag]], _xlpm.loc, "&lt;&gt;E-Waste", _xlpm.loc, "&lt;&gt;Virtual", _xlpm.loc, "&lt;&gt;Decommisioned")
)</f>
        <v>3</v>
      </c>
      <c r="D566" s="168">
        <f>_xlfn.LET(_xlpm.loc, ITEquipmentTable[Storage Location],
COUNTIFS(ITSecondTable[Tag], ITSecondTable[[#This Row],[Tag]], _xlpm.loc, "Missing")
)</f>
        <v>0</v>
      </c>
      <c r="E566" s="168">
        <f>_xlfn.LET(_xlpm.loc, ITEquipmentTable[Storage Location],
COUNTIFS(ITSecondTable[Tag], ITSecondTable[[#This Row],[Tag]], _xlpm.loc, "In Use") + COUNTIFS(ITSecondTable[Tag], ITSecondTable[[#This Row],[Tag]], _xlpm.loc, "Assigned to Employee")
)</f>
        <v>3</v>
      </c>
      <c r="F566" s="168">
        <f>_xlfn.LET(_xlpm.loc, ITEquipmentTable[Storage Location],
COUNTIFS(ITSecondTable[Tag], ITSecondTable[[#This Row],[Tag]], _xlpm.loc, "")
)</f>
        <v>0</v>
      </c>
      <c r="G566" s="168">
        <f>MAX(ITSecondTable[[#This Row],[SQty]] - ITSecondTable[[#This Row],[IQty]], 0)</f>
        <v>0</v>
      </c>
      <c r="H566" s="168">
        <f>MAX(ITSecondTable[[#This Row],[IQty]]-ITSecondTable[[#This Row],[SQty]], 0)</f>
        <v>0</v>
      </c>
      <c r="I566" s="151" t="str">
        <f>IFERROR(_xlfn.TEXTJOIN("~", TRUE, ITEquipmentTable[[#This Row],[Type]],ITEquipmentTable[[#This Row],[Brand]],ITEquipmentTable[[#This Row],[Model]]), "")</f>
        <v>Monitor~HP~HP P24v G4 FHD Monitor</v>
      </c>
      <c r="J566" s="151" t="b">
        <f xml:space="preserve"> _xlfn.IFNA(MATCH( ITSecondTable[[#This Row],[Tag]], StorageTable[Tag], 0)  &gt; -1, FALSE)</f>
        <v>0</v>
      </c>
      <c r="K566" s="168" t="b">
        <f>COUNTIFS(ITEquipmentTable[Serial], ITEquipmentTable[[#This Row],[Serial]], ITEquipmentTable[Serial], "&lt;&gt;N/A") &gt; 1</f>
        <v>0</v>
      </c>
      <c r="L566" s="168" t="b">
        <f>COUNTIFS(ITEquipmentTable[Name], ITEquipmentTable[[#This Row],[Name]], ITEquipmentTable[Name], "&lt;&gt;&lt;Unassigned&gt;",  ITEquipmentTable[Name], "&lt;&gt;N/A") &gt; 1</f>
        <v>0</v>
      </c>
      <c r="M566" s="168" t="b">
        <f>AND(COUNTIFS(ITEquipmentTable[IPv4 Address], ITEquipmentTable[[#This Row],[IPv4 Address]]) &gt; 1, ITEquipmentTable[[#This Row],[IPv4 Address]] &lt;&gt; "DHCP",  ITEquipmentTable[[#This Row],[IPv4 Address]] &lt;&gt; "N/A")</f>
        <v>0</v>
      </c>
    </row>
    <row r="567" spans="1:13" x14ac:dyDescent="0.2">
      <c r="A567" s="168">
        <f>IF(LEN(ITSecondTable[[#This Row],[Tag]]) &gt; 0, _xlfn.XLOOKUP(ITSecondTable[[#This Row],[Tag]],StorageTable[Tag], StorageTable[In Storage - Count Total], "Err", 0, 1), 0)</f>
        <v>0</v>
      </c>
      <c r="B567" s="168">
        <f>_xlfn.LET(_xlpm.loc, ITEquipmentTable[Storage Location],
COUNTIFS(ITSecondTable[Tag], ITSecondTable[[#This Row],[Tag]], _xlpm.loc, "&lt;&gt;In Use", _xlpm.loc, "&lt;&gt;",  _xlpm.loc, "&lt;&gt;E-Waste", _xlpm.loc, "&lt;&gt;Virtual",  _xlpm.loc, "&lt;&gt;Assigned to Employee", _xlpm.loc, "&lt;&gt;Decommisioned", _xlpm.loc, "&lt;&gt;Missing")
)</f>
        <v>1</v>
      </c>
      <c r="C567" s="168">
        <f>_xlfn.LET(_xlpm.loc, ITEquipmentTable[Storage Location],
COUNTIFS(ITSecondTable[Tag], ITSecondTable[[#This Row],[Tag]], _xlpm.loc, "&lt;&gt;E-Waste", _xlpm.loc, "&lt;&gt;Virtual", _xlpm.loc, "&lt;&gt;Decommisioned")
)</f>
        <v>2</v>
      </c>
      <c r="D567" s="168">
        <f>_xlfn.LET(_xlpm.loc, ITEquipmentTable[Storage Location],
COUNTIFS(ITSecondTable[Tag], ITSecondTable[[#This Row],[Tag]], _xlpm.loc, "Missing")
)</f>
        <v>0</v>
      </c>
      <c r="E567" s="168">
        <f>_xlfn.LET(_xlpm.loc, ITEquipmentTable[Storage Location],
COUNTIFS(ITSecondTable[Tag], ITSecondTable[[#This Row],[Tag]], _xlpm.loc, "In Use") + COUNTIFS(ITSecondTable[Tag], ITSecondTable[[#This Row],[Tag]], _xlpm.loc, "Assigned to Employee")
)</f>
        <v>0</v>
      </c>
      <c r="F567" s="168">
        <f>_xlfn.LET(_xlpm.loc, ITEquipmentTable[Storage Location],
COUNTIFS(ITSecondTable[Tag], ITSecondTable[[#This Row],[Tag]], _xlpm.loc, "")
)</f>
        <v>1</v>
      </c>
      <c r="G567" s="168">
        <f>MAX(ITSecondTable[[#This Row],[SQty]] - ITSecondTable[[#This Row],[IQty]], 0)</f>
        <v>1</v>
      </c>
      <c r="H567" s="168">
        <f>MAX(ITSecondTable[[#This Row],[IQty]]-ITSecondTable[[#This Row],[SQty]], 0)</f>
        <v>0</v>
      </c>
      <c r="I567" s="151" t="str">
        <f>IFERROR(_xlfn.TEXTJOIN("~", TRUE, ITEquipmentTable[[#This Row],[Type]],ITEquipmentTable[[#This Row],[Brand]],ITEquipmentTable[[#This Row],[Model]]), "")</f>
        <v>Monitor (Touch)~HP~HP E24t G4 Touch Monitor</v>
      </c>
      <c r="J567" s="151" t="b">
        <f xml:space="preserve"> _xlfn.IFNA(MATCH( ITSecondTable[[#This Row],[Tag]], StorageTable[Tag], 0)  &gt; -1, FALSE)</f>
        <v>0</v>
      </c>
      <c r="K567" s="168" t="b">
        <f>COUNTIFS(ITEquipmentTable[Serial], ITEquipmentTable[[#This Row],[Serial]], ITEquipmentTable[Serial], "&lt;&gt;N/A") &gt; 1</f>
        <v>0</v>
      </c>
      <c r="L567" s="168" t="b">
        <f>COUNTIFS(ITEquipmentTable[Name], ITEquipmentTable[[#This Row],[Name]], ITEquipmentTable[Name], "&lt;&gt;&lt;Unassigned&gt;",  ITEquipmentTable[Name], "&lt;&gt;N/A") &gt; 1</f>
        <v>0</v>
      </c>
      <c r="M567" s="168" t="b">
        <f>AND(COUNTIFS(ITEquipmentTable[IPv4 Address], ITEquipmentTable[[#This Row],[IPv4 Address]]) &gt; 1, ITEquipmentTable[[#This Row],[IPv4 Address]] &lt;&gt; "DHCP",  ITEquipmentTable[[#This Row],[IPv4 Address]] &lt;&gt; "N/A")</f>
        <v>0</v>
      </c>
    </row>
    <row r="568" spans="1:13" x14ac:dyDescent="0.2">
      <c r="A568" s="168">
        <f>IF(LEN(ITSecondTable[[#This Row],[Tag]]) &gt; 0, _xlfn.XLOOKUP(ITSecondTable[[#This Row],[Tag]],StorageTable[Tag], StorageTable[In Storage - Count Total], "Err", 0, 1), 0)</f>
        <v>0</v>
      </c>
      <c r="B568" s="168">
        <f>_xlfn.LET(_xlpm.loc, ITEquipmentTable[Storage Location],
COUNTIFS(ITSecondTable[Tag], ITSecondTable[[#This Row],[Tag]], _xlpm.loc, "&lt;&gt;In Use", _xlpm.loc, "&lt;&gt;",  _xlpm.loc, "&lt;&gt;E-Waste", _xlpm.loc, "&lt;&gt;Virtual",  _xlpm.loc, "&lt;&gt;Assigned to Employee", _xlpm.loc, "&lt;&gt;Decommisioned", _xlpm.loc, "&lt;&gt;Missing")
)</f>
        <v>3</v>
      </c>
      <c r="C568" s="168">
        <f>_xlfn.LET(_xlpm.loc, ITEquipmentTable[Storage Location],
COUNTIFS(ITSecondTable[Tag], ITSecondTable[[#This Row],[Tag]], _xlpm.loc, "&lt;&gt;E-Waste", _xlpm.loc, "&lt;&gt;Virtual", _xlpm.loc, "&lt;&gt;Decommisioned")
)</f>
        <v>4</v>
      </c>
      <c r="D568" s="168">
        <f>_xlfn.LET(_xlpm.loc, ITEquipmentTable[Storage Location],
COUNTIFS(ITSecondTable[Tag], ITSecondTable[[#This Row],[Tag]], _xlpm.loc, "Missing")
)</f>
        <v>0</v>
      </c>
      <c r="E568" s="168">
        <f>_xlfn.LET(_xlpm.loc, ITEquipmentTable[Storage Location],
COUNTIFS(ITSecondTable[Tag], ITSecondTable[[#This Row],[Tag]], _xlpm.loc, "In Use") + COUNTIFS(ITSecondTable[Tag], ITSecondTable[[#This Row],[Tag]], _xlpm.loc, "Assigned to Employee")
)</f>
        <v>0</v>
      </c>
      <c r="F568" s="168">
        <f>_xlfn.LET(_xlpm.loc, ITEquipmentTable[Storage Location],
COUNTIFS(ITSecondTable[Tag], ITSecondTable[[#This Row],[Tag]], _xlpm.loc, "")
)</f>
        <v>1</v>
      </c>
      <c r="G568" s="168">
        <f>MAX(ITSecondTable[[#This Row],[SQty]] - ITSecondTable[[#This Row],[IQty]], 0)</f>
        <v>3</v>
      </c>
      <c r="H568" s="168">
        <f>MAX(ITSecondTable[[#This Row],[IQty]]-ITSecondTable[[#This Row],[SQty]], 0)</f>
        <v>0</v>
      </c>
      <c r="I568" s="151" t="str">
        <f>IFERROR(_xlfn.TEXTJOIN("~", TRUE, ITEquipmentTable[[#This Row],[Type]],ITEquipmentTable[[#This Row],[Brand]],ITEquipmentTable[[#This Row],[Model]]), "")</f>
        <v>APC~APC~BE750G</v>
      </c>
      <c r="J568" s="151" t="b">
        <f xml:space="preserve"> _xlfn.IFNA(MATCH( ITSecondTable[[#This Row],[Tag]], StorageTable[Tag], 0)  &gt; -1, FALSE)</f>
        <v>0</v>
      </c>
      <c r="K568" s="168" t="b">
        <f>COUNTIFS(ITEquipmentTable[Serial], ITEquipmentTable[[#This Row],[Serial]], ITEquipmentTable[Serial], "&lt;&gt;N/A") &gt; 1</f>
        <v>0</v>
      </c>
      <c r="L568" s="168" t="b">
        <f>COUNTIFS(ITEquipmentTable[Name], ITEquipmentTable[[#This Row],[Name]], ITEquipmentTable[Name], "&lt;&gt;&lt;Unassigned&gt;",  ITEquipmentTable[Name], "&lt;&gt;N/A") &gt; 1</f>
        <v>0</v>
      </c>
      <c r="M568" s="168" t="b">
        <f>AND(COUNTIFS(ITEquipmentTable[IPv4 Address], ITEquipmentTable[[#This Row],[IPv4 Address]]) &gt; 1, ITEquipmentTable[[#This Row],[IPv4 Address]] &lt;&gt; "DHCP",  ITEquipmentTable[[#This Row],[IPv4 Address]] &lt;&gt; "N/A")</f>
        <v>0</v>
      </c>
    </row>
    <row r="569" spans="1:13" x14ac:dyDescent="0.2">
      <c r="A569" s="168">
        <f>IF(LEN(ITSecondTable[[#This Row],[Tag]]) &gt; 0, _xlfn.XLOOKUP(ITSecondTable[[#This Row],[Tag]],StorageTable[Tag], StorageTable[In Storage - Count Total], "Err", 0, 1), 0)</f>
        <v>8</v>
      </c>
      <c r="B569" s="168">
        <f>_xlfn.LET(_xlpm.loc, ITEquipmentTable[Storage Location],
COUNTIFS(ITSecondTable[Tag], ITSecondTable[[#This Row],[Tag]], _xlpm.loc, "&lt;&gt;In Use", _xlpm.loc, "&lt;&gt;",  _xlpm.loc, "&lt;&gt;E-Waste", _xlpm.loc, "&lt;&gt;Virtual",  _xlpm.loc, "&lt;&gt;Assigned to Employee", _xlpm.loc, "&lt;&gt;Decommisioned", _xlpm.loc, "&lt;&gt;Missing")
)</f>
        <v>9</v>
      </c>
      <c r="C569" s="168">
        <f>_xlfn.LET(_xlpm.loc, ITEquipmentTable[Storage Location],
COUNTIFS(ITSecondTable[Tag], ITSecondTable[[#This Row],[Tag]], _xlpm.loc, "&lt;&gt;E-Waste", _xlpm.loc, "&lt;&gt;Virtual", _xlpm.loc, "&lt;&gt;Decommisioned")
)</f>
        <v>40</v>
      </c>
      <c r="D569" s="168">
        <f>_xlfn.LET(_xlpm.loc, ITEquipmentTable[Storage Location],
COUNTIFS(ITSecondTable[Tag], ITSecondTable[[#This Row],[Tag]], _xlpm.loc, "Missing")
)</f>
        <v>0</v>
      </c>
      <c r="E569" s="168">
        <f>_xlfn.LET(_xlpm.loc, ITEquipmentTable[Storage Location],
COUNTIFS(ITSecondTable[Tag], ITSecondTable[[#This Row],[Tag]], _xlpm.loc, "In Use") + COUNTIFS(ITSecondTable[Tag], ITSecondTable[[#This Row],[Tag]], _xlpm.loc, "Assigned to Employee")
)</f>
        <v>23</v>
      </c>
      <c r="F569" s="168">
        <f>_xlfn.LET(_xlpm.loc, ITEquipmentTable[Storage Location],
COUNTIFS(ITSecondTable[Tag], ITSecondTable[[#This Row],[Tag]], _xlpm.loc, "")
)</f>
        <v>8</v>
      </c>
      <c r="G569" s="168">
        <f>MAX(ITSecondTable[[#This Row],[SQty]] - ITSecondTable[[#This Row],[IQty]], 0)</f>
        <v>1</v>
      </c>
      <c r="H569" s="168">
        <f>MAX(ITSecondTable[[#This Row],[IQty]]-ITSecondTable[[#This Row],[SQty]], 0)</f>
        <v>0</v>
      </c>
      <c r="I569" s="151" t="str">
        <f>IFERROR(_xlfn.TEXTJOIN("~", TRUE, ITEquipmentTable[[#This Row],[Type]],ITEquipmentTable[[#This Row],[Brand]],ITEquipmentTable[[#This Row],[Model]]), "")</f>
        <v>Printer~Sato~CL4NX</v>
      </c>
      <c r="J569" s="151" t="b">
        <f xml:space="preserve"> _xlfn.IFNA(MATCH( ITSecondTable[[#This Row],[Tag]], StorageTable[Tag], 0)  &gt; -1, FALSE)</f>
        <v>0</v>
      </c>
      <c r="K569" s="168" t="b">
        <f>COUNTIFS(ITEquipmentTable[Serial], ITEquipmentTable[[#This Row],[Serial]], ITEquipmentTable[Serial], "&lt;&gt;N/A") &gt; 1</f>
        <v>0</v>
      </c>
      <c r="L569" s="168" t="b">
        <f>COUNTIFS(ITEquipmentTable[Name], ITEquipmentTable[[#This Row],[Name]], ITEquipmentTable[Name], "&lt;&gt;&lt;Unassigned&gt;",  ITEquipmentTable[Name], "&lt;&gt;N/A") &gt; 1</f>
        <v>0</v>
      </c>
      <c r="M569" s="168" t="b">
        <f>AND(COUNTIFS(ITEquipmentTable[IPv4 Address], ITEquipmentTable[[#This Row],[IPv4 Address]]) &gt; 1, ITEquipmentTable[[#This Row],[IPv4 Address]] &lt;&gt; "DHCP",  ITEquipmentTable[[#This Row],[IPv4 Address]] &lt;&gt; "N/A")</f>
        <v>0</v>
      </c>
    </row>
    <row r="570" spans="1:13" x14ac:dyDescent="0.2">
      <c r="A570" s="168">
        <f>IF(LEN(ITSecondTable[[#This Row],[Tag]]) &gt; 0, _xlfn.XLOOKUP(ITSecondTable[[#This Row],[Tag]],StorageTable[Tag], StorageTable[In Storage - Count Total], "Err", 0, 1), 0)</f>
        <v>1</v>
      </c>
      <c r="B570" s="168">
        <f>_xlfn.LET(_xlpm.loc, ITEquipmentTable[Storage Location],
COUNTIFS(ITSecondTable[Tag], ITSecondTable[[#This Row],[Tag]], _xlpm.loc, "&lt;&gt;In Use", _xlpm.loc, "&lt;&gt;",  _xlpm.loc, "&lt;&gt;E-Waste", _xlpm.loc, "&lt;&gt;Virtual",  _xlpm.loc, "&lt;&gt;Assigned to Employee", _xlpm.loc, "&lt;&gt;Decommisioned", _xlpm.loc, "&lt;&gt;Missing")
)</f>
        <v>1</v>
      </c>
      <c r="C570" s="168">
        <f>_xlfn.LET(_xlpm.loc, ITEquipmentTable[Storage Location],
COUNTIFS(ITSecondTable[Tag], ITSecondTable[[#This Row],[Tag]], _xlpm.loc, "&lt;&gt;E-Waste", _xlpm.loc, "&lt;&gt;Virtual", _xlpm.loc, "&lt;&gt;Decommisioned")
)</f>
        <v>1</v>
      </c>
      <c r="D570" s="168">
        <f>_xlfn.LET(_xlpm.loc, ITEquipmentTable[Storage Location],
COUNTIFS(ITSecondTable[Tag], ITSecondTable[[#This Row],[Tag]], _xlpm.loc, "Missing")
)</f>
        <v>0</v>
      </c>
      <c r="E570" s="168">
        <f>_xlfn.LET(_xlpm.loc, ITEquipmentTable[Storage Location],
COUNTIFS(ITSecondTable[Tag], ITSecondTable[[#This Row],[Tag]], _xlpm.loc, "In Use") + COUNTIFS(ITSecondTable[Tag], ITSecondTable[[#This Row],[Tag]], _xlpm.loc, "Assigned to Employee")
)</f>
        <v>0</v>
      </c>
      <c r="F570" s="168">
        <f>_xlfn.LET(_xlpm.loc, ITEquipmentTable[Storage Location],
COUNTIFS(ITSecondTable[Tag], ITSecondTable[[#This Row],[Tag]], _xlpm.loc, "")
)</f>
        <v>0</v>
      </c>
      <c r="G570" s="168">
        <f>MAX(ITSecondTable[[#This Row],[SQty]] - ITSecondTable[[#This Row],[IQty]], 0)</f>
        <v>0</v>
      </c>
      <c r="H570" s="168">
        <f>MAX(ITSecondTable[[#This Row],[IQty]]-ITSecondTable[[#This Row],[SQty]], 0)</f>
        <v>0</v>
      </c>
      <c r="I570" s="151" t="str">
        <f>IFERROR(_xlfn.TEXTJOIN("~", TRUE, ITEquipmentTable[[#This Row],[Type]],ITEquipmentTable[[#This Row],[Brand]],ITEquipmentTable[[#This Row],[Model]]), "")</f>
        <v>Router~ASUS~RT-AC66U B1</v>
      </c>
      <c r="J570" s="151" t="b">
        <f xml:space="preserve"> _xlfn.IFNA(MATCH( ITSecondTable[[#This Row],[Tag]], StorageTable[Tag], 0)  &gt; -1, FALSE)</f>
        <v>0</v>
      </c>
      <c r="K570" s="168" t="b">
        <f>COUNTIFS(ITEquipmentTable[Serial], ITEquipmentTable[[#This Row],[Serial]], ITEquipmentTable[Serial], "&lt;&gt;N/A") &gt; 1</f>
        <v>0</v>
      </c>
      <c r="L570" s="168" t="b">
        <f>COUNTIFS(ITEquipmentTable[Name], ITEquipmentTable[[#This Row],[Name]], ITEquipmentTable[Name], "&lt;&gt;&lt;Unassigned&gt;",  ITEquipmentTable[Name], "&lt;&gt;N/A") &gt; 1</f>
        <v>0</v>
      </c>
      <c r="M570" s="168" t="b">
        <f>AND(COUNTIFS(ITEquipmentTable[IPv4 Address], ITEquipmentTable[[#This Row],[IPv4 Address]]) &gt; 1, ITEquipmentTable[[#This Row],[IPv4 Address]] &lt;&gt; "DHCP",  ITEquipmentTable[[#This Row],[IPv4 Address]] &lt;&gt; "N/A")</f>
        <v>0</v>
      </c>
    </row>
    <row r="571" spans="1:13" x14ac:dyDescent="0.2">
      <c r="A571" s="168">
        <f>IF(LEN(ITSecondTable[[#This Row],[Tag]]) &gt; 0, _xlfn.XLOOKUP(ITSecondTable[[#This Row],[Tag]],StorageTable[Tag], StorageTable[In Storage - Count Total], "Err", 0, 1), 0)</f>
        <v>8</v>
      </c>
      <c r="B571" s="168">
        <f>_xlfn.LET(_xlpm.loc, ITEquipmentTable[Storage Location],
COUNTIFS(ITSecondTable[Tag], ITSecondTable[[#This Row],[Tag]], _xlpm.loc, "&lt;&gt;In Use", _xlpm.loc, "&lt;&gt;",  _xlpm.loc, "&lt;&gt;E-Waste", _xlpm.loc, "&lt;&gt;Virtual",  _xlpm.loc, "&lt;&gt;Assigned to Employee", _xlpm.loc, "&lt;&gt;Decommisioned", _xlpm.loc, "&lt;&gt;Missing")
)</f>
        <v>9</v>
      </c>
      <c r="C571" s="168">
        <f>_xlfn.LET(_xlpm.loc, ITEquipmentTable[Storage Location],
COUNTIFS(ITSecondTable[Tag], ITSecondTable[[#This Row],[Tag]], _xlpm.loc, "&lt;&gt;E-Waste", _xlpm.loc, "&lt;&gt;Virtual", _xlpm.loc, "&lt;&gt;Decommisioned")
)</f>
        <v>40</v>
      </c>
      <c r="D571" s="168">
        <f>_xlfn.LET(_xlpm.loc, ITEquipmentTable[Storage Location],
COUNTIFS(ITSecondTable[Tag], ITSecondTable[[#This Row],[Tag]], _xlpm.loc, "Missing")
)</f>
        <v>0</v>
      </c>
      <c r="E571" s="168">
        <f>_xlfn.LET(_xlpm.loc, ITEquipmentTable[Storage Location],
COUNTIFS(ITSecondTable[Tag], ITSecondTable[[#This Row],[Tag]], _xlpm.loc, "In Use") + COUNTIFS(ITSecondTable[Tag], ITSecondTable[[#This Row],[Tag]], _xlpm.loc, "Assigned to Employee")
)</f>
        <v>23</v>
      </c>
      <c r="F571" s="168">
        <f>_xlfn.LET(_xlpm.loc, ITEquipmentTable[Storage Location],
COUNTIFS(ITSecondTable[Tag], ITSecondTable[[#This Row],[Tag]], _xlpm.loc, "")
)</f>
        <v>8</v>
      </c>
      <c r="G571" s="168">
        <f>MAX(ITSecondTable[[#This Row],[SQty]] - ITSecondTable[[#This Row],[IQty]], 0)</f>
        <v>1</v>
      </c>
      <c r="H571" s="168">
        <f>MAX(ITSecondTable[[#This Row],[IQty]]-ITSecondTable[[#This Row],[SQty]], 0)</f>
        <v>0</v>
      </c>
      <c r="I571" s="151" t="str">
        <f>IFERROR(_xlfn.TEXTJOIN("~", TRUE, ITEquipmentTable[[#This Row],[Type]],ITEquipmentTable[[#This Row],[Brand]],ITEquipmentTable[[#This Row],[Model]]), "")</f>
        <v>Printer~Sato~CL4NX</v>
      </c>
      <c r="J571" s="151" t="b">
        <f xml:space="preserve"> _xlfn.IFNA(MATCH( ITSecondTable[[#This Row],[Tag]], StorageTable[Tag], 0)  &gt; -1, FALSE)</f>
        <v>0</v>
      </c>
      <c r="K571" s="168" t="b">
        <f>COUNTIFS(ITEquipmentTable[Serial], ITEquipmentTable[[#This Row],[Serial]], ITEquipmentTable[Serial], "&lt;&gt;N/A") &gt; 1</f>
        <v>0</v>
      </c>
      <c r="L571" s="168" t="b">
        <f>COUNTIFS(ITEquipmentTable[Name], ITEquipmentTable[[#This Row],[Name]], ITEquipmentTable[Name], "&lt;&gt;&lt;Unassigned&gt;",  ITEquipmentTable[Name], "&lt;&gt;N/A") &gt; 1</f>
        <v>0</v>
      </c>
      <c r="M571" s="168" t="b">
        <f>AND(COUNTIFS(ITEquipmentTable[IPv4 Address], ITEquipmentTable[[#This Row],[IPv4 Address]]) &gt; 1, ITEquipmentTable[[#This Row],[IPv4 Address]] &lt;&gt; "DHCP",  ITEquipmentTable[[#This Row],[IPv4 Address]] &lt;&gt; "N/A")</f>
        <v>0</v>
      </c>
    </row>
    <row r="572" spans="1:13" x14ac:dyDescent="0.2">
      <c r="A572" s="168">
        <f>IF(LEN(ITSecondTable[[#This Row],[Tag]]) &gt; 0, _xlfn.XLOOKUP(ITSecondTable[[#This Row],[Tag]],StorageTable[Tag], StorageTable[In Storage - Count Total], "Err", 0, 1), 0)</f>
        <v>8</v>
      </c>
      <c r="B572" s="168">
        <f>_xlfn.LET(_xlpm.loc, ITEquipmentTable[Storage Location],
COUNTIFS(ITSecondTable[Tag], ITSecondTable[[#This Row],[Tag]], _xlpm.loc, "&lt;&gt;In Use", _xlpm.loc, "&lt;&gt;",  _xlpm.loc, "&lt;&gt;E-Waste", _xlpm.loc, "&lt;&gt;Virtual",  _xlpm.loc, "&lt;&gt;Assigned to Employee", _xlpm.loc, "&lt;&gt;Decommisioned", _xlpm.loc, "&lt;&gt;Missing")
)</f>
        <v>9</v>
      </c>
      <c r="C572" s="168">
        <f>_xlfn.LET(_xlpm.loc, ITEquipmentTable[Storage Location],
COUNTIFS(ITSecondTable[Tag], ITSecondTable[[#This Row],[Tag]], _xlpm.loc, "&lt;&gt;E-Waste", _xlpm.loc, "&lt;&gt;Virtual", _xlpm.loc, "&lt;&gt;Decommisioned")
)</f>
        <v>40</v>
      </c>
      <c r="D572" s="168">
        <f>_xlfn.LET(_xlpm.loc, ITEquipmentTable[Storage Location],
COUNTIFS(ITSecondTable[Tag], ITSecondTable[[#This Row],[Tag]], _xlpm.loc, "Missing")
)</f>
        <v>0</v>
      </c>
      <c r="E572" s="168">
        <f>_xlfn.LET(_xlpm.loc, ITEquipmentTable[Storage Location],
COUNTIFS(ITSecondTable[Tag], ITSecondTable[[#This Row],[Tag]], _xlpm.loc, "In Use") + COUNTIFS(ITSecondTable[Tag], ITSecondTable[[#This Row],[Tag]], _xlpm.loc, "Assigned to Employee")
)</f>
        <v>23</v>
      </c>
      <c r="F572" s="168">
        <f>_xlfn.LET(_xlpm.loc, ITEquipmentTable[Storage Location],
COUNTIFS(ITSecondTable[Tag], ITSecondTable[[#This Row],[Tag]], _xlpm.loc, "")
)</f>
        <v>8</v>
      </c>
      <c r="G572" s="168">
        <f>MAX(ITSecondTable[[#This Row],[SQty]] - ITSecondTable[[#This Row],[IQty]], 0)</f>
        <v>1</v>
      </c>
      <c r="H572" s="168">
        <f>MAX(ITSecondTable[[#This Row],[IQty]]-ITSecondTable[[#This Row],[SQty]], 0)</f>
        <v>0</v>
      </c>
      <c r="I572" s="151" t="str">
        <f>IFERROR(_xlfn.TEXTJOIN("~", TRUE, ITEquipmentTable[[#This Row],[Type]],ITEquipmentTable[[#This Row],[Brand]],ITEquipmentTable[[#This Row],[Model]]), "")</f>
        <v>Printer~Sato~CL4NX</v>
      </c>
      <c r="J572" s="151" t="b">
        <f xml:space="preserve"> _xlfn.IFNA(MATCH( ITSecondTable[[#This Row],[Tag]], StorageTable[Tag], 0)  &gt; -1, FALSE)</f>
        <v>0</v>
      </c>
      <c r="K572" s="168" t="b">
        <f>COUNTIFS(ITEquipmentTable[Serial], ITEquipmentTable[[#This Row],[Serial]], ITEquipmentTable[Serial], "&lt;&gt;N/A") &gt; 1</f>
        <v>0</v>
      </c>
      <c r="L572" s="168" t="b">
        <f>COUNTIFS(ITEquipmentTable[Name], ITEquipmentTable[[#This Row],[Name]], ITEquipmentTable[Name], "&lt;&gt;&lt;Unassigned&gt;",  ITEquipmentTable[Name], "&lt;&gt;N/A") &gt; 1</f>
        <v>0</v>
      </c>
      <c r="M572" s="168" t="b">
        <f>AND(COUNTIFS(ITEquipmentTable[IPv4 Address], ITEquipmentTable[[#This Row],[IPv4 Address]]) &gt; 1, ITEquipmentTable[[#This Row],[IPv4 Address]] &lt;&gt; "DHCP",  ITEquipmentTable[[#This Row],[IPv4 Address]] &lt;&gt; "N/A")</f>
        <v>0</v>
      </c>
    </row>
    <row r="573" spans="1:13" x14ac:dyDescent="0.2">
      <c r="A573" s="168">
        <f>IF(LEN(ITSecondTable[[#This Row],[Tag]]) &gt; 0, _xlfn.XLOOKUP(ITSecondTable[[#This Row],[Tag]],StorageTable[Tag], StorageTable[In Storage - Count Total], "Err", 0, 1), 0)</f>
        <v>8</v>
      </c>
      <c r="B573" s="168">
        <f>_xlfn.LET(_xlpm.loc, ITEquipmentTable[Storage Location],
COUNTIFS(ITSecondTable[Tag], ITSecondTable[[#This Row],[Tag]], _xlpm.loc, "&lt;&gt;In Use", _xlpm.loc, "&lt;&gt;",  _xlpm.loc, "&lt;&gt;E-Waste", _xlpm.loc, "&lt;&gt;Virtual",  _xlpm.loc, "&lt;&gt;Assigned to Employee", _xlpm.loc, "&lt;&gt;Decommisioned", _xlpm.loc, "&lt;&gt;Missing")
)</f>
        <v>9</v>
      </c>
      <c r="C573" s="168">
        <f>_xlfn.LET(_xlpm.loc, ITEquipmentTable[Storage Location],
COUNTIFS(ITSecondTable[Tag], ITSecondTable[[#This Row],[Tag]], _xlpm.loc, "&lt;&gt;E-Waste", _xlpm.loc, "&lt;&gt;Virtual", _xlpm.loc, "&lt;&gt;Decommisioned")
)</f>
        <v>40</v>
      </c>
      <c r="D573" s="168">
        <f>_xlfn.LET(_xlpm.loc, ITEquipmentTable[Storage Location],
COUNTIFS(ITSecondTable[Tag], ITSecondTable[[#This Row],[Tag]], _xlpm.loc, "Missing")
)</f>
        <v>0</v>
      </c>
      <c r="E573" s="168">
        <f>_xlfn.LET(_xlpm.loc, ITEquipmentTable[Storage Location],
COUNTIFS(ITSecondTable[Tag], ITSecondTable[[#This Row],[Tag]], _xlpm.loc, "In Use") + COUNTIFS(ITSecondTable[Tag], ITSecondTable[[#This Row],[Tag]], _xlpm.loc, "Assigned to Employee")
)</f>
        <v>23</v>
      </c>
      <c r="F573" s="168">
        <f>_xlfn.LET(_xlpm.loc, ITEquipmentTable[Storage Location],
COUNTIFS(ITSecondTable[Tag], ITSecondTable[[#This Row],[Tag]], _xlpm.loc, "")
)</f>
        <v>8</v>
      </c>
      <c r="G573" s="168">
        <f>MAX(ITSecondTable[[#This Row],[SQty]] - ITSecondTable[[#This Row],[IQty]], 0)</f>
        <v>1</v>
      </c>
      <c r="H573" s="168">
        <f>MAX(ITSecondTable[[#This Row],[IQty]]-ITSecondTable[[#This Row],[SQty]], 0)</f>
        <v>0</v>
      </c>
      <c r="I573" s="151" t="str">
        <f>IFERROR(_xlfn.TEXTJOIN("~", TRUE, ITEquipmentTable[[#This Row],[Type]],ITEquipmentTable[[#This Row],[Brand]],ITEquipmentTable[[#This Row],[Model]]), "")</f>
        <v>Printer~Sato~CL4NX</v>
      </c>
      <c r="J573" s="151" t="b">
        <f xml:space="preserve"> _xlfn.IFNA(MATCH( ITSecondTable[[#This Row],[Tag]], StorageTable[Tag], 0)  &gt; -1, FALSE)</f>
        <v>0</v>
      </c>
      <c r="K573" s="168" t="b">
        <f>COUNTIFS(ITEquipmentTable[Serial], ITEquipmentTable[[#This Row],[Serial]], ITEquipmentTable[Serial], "&lt;&gt;N/A") &gt; 1</f>
        <v>0</v>
      </c>
      <c r="L573" s="168" t="b">
        <f>COUNTIFS(ITEquipmentTable[Name], ITEquipmentTable[[#This Row],[Name]], ITEquipmentTable[Name], "&lt;&gt;&lt;Unassigned&gt;",  ITEquipmentTable[Name], "&lt;&gt;N/A") &gt; 1</f>
        <v>0</v>
      </c>
      <c r="M573" s="168" t="b">
        <f>AND(COUNTIFS(ITEquipmentTable[IPv4 Address], ITEquipmentTable[[#This Row],[IPv4 Address]]) &gt; 1, ITEquipmentTable[[#This Row],[IPv4 Address]] &lt;&gt; "DHCP",  ITEquipmentTable[[#This Row],[IPv4 Address]] &lt;&gt; "N/A")</f>
        <v>0</v>
      </c>
    </row>
    <row r="574" spans="1:13" x14ac:dyDescent="0.2">
      <c r="A574" s="168">
        <f>IF(LEN(ITSecondTable[[#This Row],[Tag]]) &gt; 0, _xlfn.XLOOKUP(ITSecondTable[[#This Row],[Tag]],StorageTable[Tag], StorageTable[In Storage - Count Total], "Err", 0, 1), 0)</f>
        <v>1</v>
      </c>
      <c r="B574" s="168">
        <f>_xlfn.LET(_xlpm.loc, ITEquipmentTable[Storage Location],
COUNTIFS(ITSecondTable[Tag], ITSecondTable[[#This Row],[Tag]], _xlpm.loc, "&lt;&gt;In Use", _xlpm.loc, "&lt;&gt;",  _xlpm.loc, "&lt;&gt;E-Waste", _xlpm.loc, "&lt;&gt;Virtual",  _xlpm.loc, "&lt;&gt;Assigned to Employee", _xlpm.loc, "&lt;&gt;Decommisioned", _xlpm.loc, "&lt;&gt;Missing")
)</f>
        <v>1</v>
      </c>
      <c r="C574" s="168">
        <f>_xlfn.LET(_xlpm.loc, ITEquipmentTable[Storage Location],
COUNTIFS(ITSecondTable[Tag], ITSecondTable[[#This Row],[Tag]], _xlpm.loc, "&lt;&gt;E-Waste", _xlpm.loc, "&lt;&gt;Virtual", _xlpm.loc, "&lt;&gt;Decommisioned")
)</f>
        <v>1</v>
      </c>
      <c r="D574" s="168">
        <f>_xlfn.LET(_xlpm.loc, ITEquipmentTable[Storage Location],
COUNTIFS(ITSecondTable[Tag], ITSecondTable[[#This Row],[Tag]], _xlpm.loc, "Missing")
)</f>
        <v>0</v>
      </c>
      <c r="E574" s="168">
        <f>_xlfn.LET(_xlpm.loc, ITEquipmentTable[Storage Location],
COUNTIFS(ITSecondTable[Tag], ITSecondTable[[#This Row],[Tag]], _xlpm.loc, "In Use") + COUNTIFS(ITSecondTable[Tag], ITSecondTable[[#This Row],[Tag]], _xlpm.loc, "Assigned to Employee")
)</f>
        <v>0</v>
      </c>
      <c r="F574" s="168">
        <f>_xlfn.LET(_xlpm.loc, ITEquipmentTable[Storage Location],
COUNTIFS(ITSecondTable[Tag], ITSecondTable[[#This Row],[Tag]], _xlpm.loc, "")
)</f>
        <v>0</v>
      </c>
      <c r="G574" s="168">
        <f>MAX(ITSecondTable[[#This Row],[SQty]] - ITSecondTable[[#This Row],[IQty]], 0)</f>
        <v>0</v>
      </c>
      <c r="H574" s="168">
        <f>MAX(ITSecondTable[[#This Row],[IQty]]-ITSecondTable[[#This Row],[SQty]], 0)</f>
        <v>0</v>
      </c>
      <c r="I574" s="151" t="str">
        <f>IFERROR(_xlfn.TEXTJOIN("~", TRUE, ITEquipmentTable[[#This Row],[Type]],ITEquipmentTable[[#This Row],[Brand]],ITEquipmentTable[[#This Row],[Model]]), "")</f>
        <v>Desktop~Dell~OptiPlex 5060</v>
      </c>
      <c r="J574" s="151" t="b">
        <f xml:space="preserve"> _xlfn.IFNA(MATCH( ITSecondTable[[#This Row],[Tag]], StorageTable[Tag], 0)  &gt; -1, FALSE)</f>
        <v>0</v>
      </c>
      <c r="K574" s="168" t="b">
        <f>COUNTIFS(ITEquipmentTable[Serial], ITEquipmentTable[[#This Row],[Serial]], ITEquipmentTable[Serial], "&lt;&gt;N/A") &gt; 1</f>
        <v>0</v>
      </c>
      <c r="L574" s="168" t="b">
        <f>COUNTIFS(ITEquipmentTable[Name], ITEquipmentTable[[#This Row],[Name]], ITEquipmentTable[Name], "&lt;&gt;&lt;Unassigned&gt;",  ITEquipmentTable[Name], "&lt;&gt;N/A") &gt; 1</f>
        <v>0</v>
      </c>
      <c r="M574" s="168" t="b">
        <f>AND(COUNTIFS(ITEquipmentTable[IPv4 Address], ITEquipmentTable[[#This Row],[IPv4 Address]]) &gt; 1, ITEquipmentTable[[#This Row],[IPv4 Address]] &lt;&gt; "DHCP",  ITEquipmentTable[[#This Row],[IPv4 Address]] &lt;&gt; "N/A")</f>
        <v>0</v>
      </c>
    </row>
    <row r="575" spans="1:13" x14ac:dyDescent="0.2">
      <c r="A575" s="168">
        <f>IF(LEN(ITSecondTable[[#This Row],[Tag]]) &gt; 0, _xlfn.XLOOKUP(ITSecondTable[[#This Row],[Tag]],StorageTable[Tag], StorageTable[In Storage - Count Total], "Err", 0, 1), 0)</f>
        <v>8</v>
      </c>
      <c r="B575" s="168">
        <f>_xlfn.LET(_xlpm.loc, ITEquipmentTable[Storage Location],
COUNTIFS(ITSecondTable[Tag], ITSecondTable[[#This Row],[Tag]], _xlpm.loc, "&lt;&gt;In Use", _xlpm.loc, "&lt;&gt;",  _xlpm.loc, "&lt;&gt;E-Waste", _xlpm.loc, "&lt;&gt;Virtual",  _xlpm.loc, "&lt;&gt;Assigned to Employee", _xlpm.loc, "&lt;&gt;Decommisioned", _xlpm.loc, "&lt;&gt;Missing")
)</f>
        <v>9</v>
      </c>
      <c r="C575" s="168">
        <f>_xlfn.LET(_xlpm.loc, ITEquipmentTable[Storage Location],
COUNTIFS(ITSecondTable[Tag], ITSecondTable[[#This Row],[Tag]], _xlpm.loc, "&lt;&gt;E-Waste", _xlpm.loc, "&lt;&gt;Virtual", _xlpm.loc, "&lt;&gt;Decommisioned")
)</f>
        <v>40</v>
      </c>
      <c r="D575" s="168">
        <f>_xlfn.LET(_xlpm.loc, ITEquipmentTable[Storage Location],
COUNTIFS(ITSecondTable[Tag], ITSecondTable[[#This Row],[Tag]], _xlpm.loc, "Missing")
)</f>
        <v>0</v>
      </c>
      <c r="E575" s="168">
        <f>_xlfn.LET(_xlpm.loc, ITEquipmentTable[Storage Location],
COUNTIFS(ITSecondTable[Tag], ITSecondTable[[#This Row],[Tag]], _xlpm.loc, "In Use") + COUNTIFS(ITSecondTable[Tag], ITSecondTable[[#This Row],[Tag]], _xlpm.loc, "Assigned to Employee")
)</f>
        <v>23</v>
      </c>
      <c r="F575" s="168">
        <f>_xlfn.LET(_xlpm.loc, ITEquipmentTable[Storage Location],
COUNTIFS(ITSecondTable[Tag], ITSecondTable[[#This Row],[Tag]], _xlpm.loc, "")
)</f>
        <v>8</v>
      </c>
      <c r="G575" s="168">
        <f>MAX(ITSecondTable[[#This Row],[SQty]] - ITSecondTable[[#This Row],[IQty]], 0)</f>
        <v>1</v>
      </c>
      <c r="H575" s="168">
        <f>MAX(ITSecondTable[[#This Row],[IQty]]-ITSecondTable[[#This Row],[SQty]], 0)</f>
        <v>0</v>
      </c>
      <c r="I575" s="151" t="str">
        <f>IFERROR(_xlfn.TEXTJOIN("~", TRUE, ITEquipmentTable[[#This Row],[Type]],ITEquipmentTable[[#This Row],[Brand]],ITEquipmentTable[[#This Row],[Model]]), "")</f>
        <v>Printer~Sato~CL4NX</v>
      </c>
      <c r="J575" s="151" t="b">
        <f xml:space="preserve"> _xlfn.IFNA(MATCH( ITSecondTable[[#This Row],[Tag]], StorageTable[Tag], 0)  &gt; -1, FALSE)</f>
        <v>0</v>
      </c>
      <c r="K575" s="168" t="b">
        <f>COUNTIFS(ITEquipmentTable[Serial], ITEquipmentTable[[#This Row],[Serial]], ITEquipmentTable[Serial], "&lt;&gt;N/A") &gt; 1</f>
        <v>0</v>
      </c>
      <c r="L575" s="168" t="b">
        <f>COUNTIFS(ITEquipmentTable[Name], ITEquipmentTable[[#This Row],[Name]], ITEquipmentTable[Name], "&lt;&gt;&lt;Unassigned&gt;",  ITEquipmentTable[Name], "&lt;&gt;N/A") &gt; 1</f>
        <v>0</v>
      </c>
      <c r="M575" s="168" t="b">
        <f>AND(COUNTIFS(ITEquipmentTable[IPv4 Address], ITEquipmentTable[[#This Row],[IPv4 Address]]) &gt; 1, ITEquipmentTable[[#This Row],[IPv4 Address]] &lt;&gt; "DHCP",  ITEquipmentTable[[#This Row],[IPv4 Address]] &lt;&gt; "N/A")</f>
        <v>0</v>
      </c>
    </row>
    <row r="576" spans="1:13" x14ac:dyDescent="0.2">
      <c r="A576" s="168">
        <f>IF(LEN(ITSecondTable[[#This Row],[Tag]]) &gt; 0, _xlfn.XLOOKUP(ITSecondTable[[#This Row],[Tag]],StorageTable[Tag], StorageTable[In Storage - Count Total], "Err", 0, 1), 0)</f>
        <v>3</v>
      </c>
      <c r="B576" s="168">
        <f>_xlfn.LET(_xlpm.loc, ITEquipmentTable[Storage Location],
COUNTIFS(ITSecondTable[Tag], ITSecondTable[[#This Row],[Tag]], _xlpm.loc, "&lt;&gt;In Use", _xlpm.loc, "&lt;&gt;",  _xlpm.loc, "&lt;&gt;E-Waste", _xlpm.loc, "&lt;&gt;Virtual",  _xlpm.loc, "&lt;&gt;Assigned to Employee", _xlpm.loc, "&lt;&gt;Decommisioned", _xlpm.loc, "&lt;&gt;Missing")
)</f>
        <v>1</v>
      </c>
      <c r="C576" s="168">
        <f>_xlfn.LET(_xlpm.loc, ITEquipmentTable[Storage Location],
COUNTIFS(ITSecondTable[Tag], ITSecondTable[[#This Row],[Tag]], _xlpm.loc, "&lt;&gt;E-Waste", _xlpm.loc, "&lt;&gt;Virtual", _xlpm.loc, "&lt;&gt;Decommisioned")
)</f>
        <v>3</v>
      </c>
      <c r="D576" s="168">
        <f>_xlfn.LET(_xlpm.loc, ITEquipmentTable[Storage Location],
COUNTIFS(ITSecondTable[Tag], ITSecondTable[[#This Row],[Tag]], _xlpm.loc, "Missing")
)</f>
        <v>0</v>
      </c>
      <c r="E576" s="168">
        <f>_xlfn.LET(_xlpm.loc, ITEquipmentTable[Storage Location],
COUNTIFS(ITSecondTable[Tag], ITSecondTable[[#This Row],[Tag]], _xlpm.loc, "In Use") + COUNTIFS(ITSecondTable[Tag], ITSecondTable[[#This Row],[Tag]], _xlpm.loc, "Assigned to Employee")
)</f>
        <v>2</v>
      </c>
      <c r="F576" s="168">
        <f>_xlfn.LET(_xlpm.loc, ITEquipmentTable[Storage Location],
COUNTIFS(ITSecondTable[Tag], ITSecondTable[[#This Row],[Tag]], _xlpm.loc, "")
)</f>
        <v>0</v>
      </c>
      <c r="G576" s="168">
        <f>MAX(ITSecondTable[[#This Row],[SQty]] - ITSecondTable[[#This Row],[IQty]], 0)</f>
        <v>0</v>
      </c>
      <c r="H576" s="168">
        <f>MAX(ITSecondTable[[#This Row],[IQty]]-ITSecondTable[[#This Row],[SQty]], 0)</f>
        <v>2</v>
      </c>
      <c r="I576" s="151" t="str">
        <f>IFERROR(_xlfn.TEXTJOIN("~", TRUE, ITEquipmentTable[[#This Row],[Type]],ITEquipmentTable[[#This Row],[Brand]],ITEquipmentTable[[#This Row],[Model]]), "")</f>
        <v>Printer~Honeywell~PX940</v>
      </c>
      <c r="J576" s="151" t="b">
        <f xml:space="preserve"> _xlfn.IFNA(MATCH( ITSecondTable[[#This Row],[Tag]], StorageTable[Tag], 0)  &gt; -1, FALSE)</f>
        <v>0</v>
      </c>
      <c r="K576" s="168" t="b">
        <f>COUNTIFS(ITEquipmentTable[Serial], ITEquipmentTable[[#This Row],[Serial]], ITEquipmentTable[Serial], "&lt;&gt;N/A") &gt; 1</f>
        <v>0</v>
      </c>
      <c r="L576" s="168" t="b">
        <f>COUNTIFS(ITEquipmentTable[Name], ITEquipmentTable[[#This Row],[Name]], ITEquipmentTable[Name], "&lt;&gt;&lt;Unassigned&gt;",  ITEquipmentTable[Name], "&lt;&gt;N/A") &gt; 1</f>
        <v>0</v>
      </c>
      <c r="M576" s="168" t="b">
        <f>AND(COUNTIFS(ITEquipmentTable[IPv4 Address], ITEquipmentTable[[#This Row],[IPv4 Address]]) &gt; 1, ITEquipmentTable[[#This Row],[IPv4 Address]] &lt;&gt; "DHCP",  ITEquipmentTable[[#This Row],[IPv4 Address]] &lt;&gt; "N/A")</f>
        <v>0</v>
      </c>
    </row>
    <row r="577" spans="1:13" x14ac:dyDescent="0.2">
      <c r="A577" s="168">
        <f>IF(LEN(ITSecondTable[[#This Row],[Tag]]) &gt; 0, _xlfn.XLOOKUP(ITSecondTable[[#This Row],[Tag]],StorageTable[Tag], StorageTable[In Storage - Count Total], "Err", 0, 1), 0)</f>
        <v>1</v>
      </c>
      <c r="B577" s="168">
        <f>_xlfn.LET(_xlpm.loc, ITEquipmentTable[Storage Location],
COUNTIFS(ITSecondTable[Tag], ITSecondTable[[#This Row],[Tag]], _xlpm.loc, "&lt;&gt;In Use", _xlpm.loc, "&lt;&gt;",  _xlpm.loc, "&lt;&gt;E-Waste", _xlpm.loc, "&lt;&gt;Virtual",  _xlpm.loc, "&lt;&gt;Assigned to Employee", _xlpm.loc, "&lt;&gt;Decommisioned", _xlpm.loc, "&lt;&gt;Missing")
)</f>
        <v>3</v>
      </c>
      <c r="C577" s="168">
        <f>_xlfn.LET(_xlpm.loc, ITEquipmentTable[Storage Location],
COUNTIFS(ITSecondTable[Tag], ITSecondTable[[#This Row],[Tag]], _xlpm.loc, "&lt;&gt;E-Waste", _xlpm.loc, "&lt;&gt;Virtual", _xlpm.loc, "&lt;&gt;Decommisioned")
)</f>
        <v>10</v>
      </c>
      <c r="D577" s="168">
        <f>_xlfn.LET(_xlpm.loc, ITEquipmentTable[Storage Location],
COUNTIFS(ITSecondTable[Tag], ITSecondTable[[#This Row],[Tag]], _xlpm.loc, "Missing")
)</f>
        <v>0</v>
      </c>
      <c r="E577" s="168">
        <f>_xlfn.LET(_xlpm.loc, ITEquipmentTable[Storage Location],
COUNTIFS(ITSecondTable[Tag], ITSecondTable[[#This Row],[Tag]], _xlpm.loc, "In Use") + COUNTIFS(ITSecondTable[Tag], ITSecondTable[[#This Row],[Tag]], _xlpm.loc, "Assigned to Employee")
)</f>
        <v>6</v>
      </c>
      <c r="F577" s="168">
        <f>_xlfn.LET(_xlpm.loc, ITEquipmentTable[Storage Location],
COUNTIFS(ITSecondTable[Tag], ITSecondTable[[#This Row],[Tag]], _xlpm.loc, "")
)</f>
        <v>1</v>
      </c>
      <c r="G577" s="168">
        <f>MAX(ITSecondTable[[#This Row],[SQty]] - ITSecondTable[[#This Row],[IQty]], 0)</f>
        <v>2</v>
      </c>
      <c r="H577" s="168">
        <f>MAX(ITSecondTable[[#This Row],[IQty]]-ITSecondTable[[#This Row],[SQty]], 0)</f>
        <v>0</v>
      </c>
      <c r="I577" s="151" t="str">
        <f>IFERROR(_xlfn.TEXTJOIN("~", TRUE, ITEquipmentTable[[#This Row],[Type]],ITEquipmentTable[[#This Row],[Brand]],ITEquipmentTable[[#This Row],[Model]]), "")</f>
        <v>Desktop~Dell~OptiPlex 3060</v>
      </c>
      <c r="J577" s="151" t="b">
        <f xml:space="preserve"> _xlfn.IFNA(MATCH( ITSecondTable[[#This Row],[Tag]], StorageTable[Tag], 0)  &gt; -1, FALSE)</f>
        <v>0</v>
      </c>
      <c r="K577" s="168" t="b">
        <f>COUNTIFS(ITEquipmentTable[Serial], ITEquipmentTable[[#This Row],[Serial]], ITEquipmentTable[Serial], "&lt;&gt;N/A") &gt; 1</f>
        <v>0</v>
      </c>
      <c r="L577" s="168" t="b">
        <f>COUNTIFS(ITEquipmentTable[Name], ITEquipmentTable[[#This Row],[Name]], ITEquipmentTable[Name], "&lt;&gt;&lt;Unassigned&gt;",  ITEquipmentTable[Name], "&lt;&gt;N/A") &gt; 1</f>
        <v>0</v>
      </c>
      <c r="M577" s="168" t="b">
        <f>AND(COUNTIFS(ITEquipmentTable[IPv4 Address], ITEquipmentTable[[#This Row],[IPv4 Address]]) &gt; 1, ITEquipmentTable[[#This Row],[IPv4 Address]] &lt;&gt; "DHCP",  ITEquipmentTable[[#This Row],[IPv4 Address]] &lt;&gt; "N/A")</f>
        <v>0</v>
      </c>
    </row>
    <row r="578" spans="1:13" x14ac:dyDescent="0.2">
      <c r="A578" s="168">
        <f>IF(LEN(ITSecondTable[[#This Row],[Tag]]) &gt; 0, _xlfn.XLOOKUP(ITSecondTable[[#This Row],[Tag]],StorageTable[Tag], StorageTable[In Storage - Count Total], "Err", 0, 1), 0)</f>
        <v>0</v>
      </c>
      <c r="B578" s="168">
        <f>_xlfn.LET(_xlpm.loc, ITEquipmentTable[Storage Location],
COUNTIFS(ITSecondTable[Tag], ITSecondTable[[#This Row],[Tag]], _xlpm.loc, "&lt;&gt;In Use", _xlpm.loc, "&lt;&gt;",  _xlpm.loc, "&lt;&gt;E-Waste", _xlpm.loc, "&lt;&gt;Virtual",  _xlpm.loc, "&lt;&gt;Assigned to Employee", _xlpm.loc, "&lt;&gt;Decommisioned", _xlpm.loc, "&lt;&gt;Missing")
)</f>
        <v>1</v>
      </c>
      <c r="C578" s="168">
        <f>_xlfn.LET(_xlpm.loc, ITEquipmentTable[Storage Location],
COUNTIFS(ITSecondTable[Tag], ITSecondTable[[#This Row],[Tag]], _xlpm.loc, "&lt;&gt;E-Waste", _xlpm.loc, "&lt;&gt;Virtual", _xlpm.loc, "&lt;&gt;Decommisioned")
)</f>
        <v>1</v>
      </c>
      <c r="D578" s="168">
        <f>_xlfn.LET(_xlpm.loc, ITEquipmentTable[Storage Location],
COUNTIFS(ITSecondTable[Tag], ITSecondTable[[#This Row],[Tag]], _xlpm.loc, "Missing")
)</f>
        <v>0</v>
      </c>
      <c r="E578" s="168">
        <f>_xlfn.LET(_xlpm.loc, ITEquipmentTable[Storage Location],
COUNTIFS(ITSecondTable[Tag], ITSecondTable[[#This Row],[Tag]], _xlpm.loc, "In Use") + COUNTIFS(ITSecondTable[Tag], ITSecondTable[[#This Row],[Tag]], _xlpm.loc, "Assigned to Employee")
)</f>
        <v>0</v>
      </c>
      <c r="F578" s="168">
        <f>_xlfn.LET(_xlpm.loc, ITEquipmentTable[Storage Location],
COUNTIFS(ITSecondTable[Tag], ITSecondTable[[#This Row],[Tag]], _xlpm.loc, "")
)</f>
        <v>0</v>
      </c>
      <c r="G578" s="168">
        <f>MAX(ITSecondTable[[#This Row],[SQty]] - ITSecondTable[[#This Row],[IQty]], 0)</f>
        <v>1</v>
      </c>
      <c r="H578" s="168">
        <f>MAX(ITSecondTable[[#This Row],[IQty]]-ITSecondTable[[#This Row],[SQty]], 0)</f>
        <v>0</v>
      </c>
      <c r="I578" s="151" t="str">
        <f>IFERROR(_xlfn.TEXTJOIN("~", TRUE, ITEquipmentTable[[#This Row],[Type]],ITEquipmentTable[[#This Row],[Brand]],ITEquipmentTable[[#This Row],[Model]]), "")</f>
        <v>Scanner~Honeywell~1980i</v>
      </c>
      <c r="J578" s="151" t="b">
        <f xml:space="preserve"> _xlfn.IFNA(MATCH( ITSecondTable[[#This Row],[Tag]], StorageTable[Tag], 0)  &gt; -1, FALSE)</f>
        <v>0</v>
      </c>
      <c r="K578" s="168" t="b">
        <f>COUNTIFS(ITEquipmentTable[Serial], ITEquipmentTable[[#This Row],[Serial]], ITEquipmentTable[Serial], "&lt;&gt;N/A") &gt; 1</f>
        <v>0</v>
      </c>
      <c r="L578" s="168" t="b">
        <f>COUNTIFS(ITEquipmentTable[Name], ITEquipmentTable[[#This Row],[Name]], ITEquipmentTable[Name], "&lt;&gt;&lt;Unassigned&gt;",  ITEquipmentTable[Name], "&lt;&gt;N/A") &gt; 1</f>
        <v>0</v>
      </c>
      <c r="M578" s="168" t="b">
        <f>AND(COUNTIFS(ITEquipmentTable[IPv4 Address], ITEquipmentTable[[#This Row],[IPv4 Address]]) &gt; 1, ITEquipmentTable[[#This Row],[IPv4 Address]] &lt;&gt; "DHCP",  ITEquipmentTable[[#This Row],[IPv4 Address]] &lt;&gt; "N/A")</f>
        <v>0</v>
      </c>
    </row>
    <row r="579" spans="1:13" x14ac:dyDescent="0.2">
      <c r="A579" s="168">
        <f>IF(LEN(ITSecondTable[[#This Row],[Tag]]) &gt; 0, _xlfn.XLOOKUP(ITSecondTable[[#This Row],[Tag]],StorageTable[Tag], StorageTable[In Storage - Count Total], "Err", 0, 1), 0)</f>
        <v>18</v>
      </c>
      <c r="B579" s="168">
        <f>_xlfn.LET(_xlpm.loc, ITEquipmentTable[Storage Location],
COUNTIFS(ITSecondTable[Tag], ITSecondTable[[#This Row],[Tag]], _xlpm.loc, "&lt;&gt;In Use", _xlpm.loc, "&lt;&gt;",  _xlpm.loc, "&lt;&gt;E-Waste", _xlpm.loc, "&lt;&gt;Virtual",  _xlpm.loc, "&lt;&gt;Assigned to Employee", _xlpm.loc, "&lt;&gt;Decommisioned", _xlpm.loc, "&lt;&gt;Missing")
)</f>
        <v>11</v>
      </c>
      <c r="C579" s="168">
        <f>_xlfn.LET(_xlpm.loc, ITEquipmentTable[Storage Location],
COUNTIFS(ITSecondTable[Tag], ITSecondTable[[#This Row],[Tag]], _xlpm.loc, "&lt;&gt;E-Waste", _xlpm.loc, "&lt;&gt;Virtual", _xlpm.loc, "&lt;&gt;Decommisioned")
)</f>
        <v>38</v>
      </c>
      <c r="D579" s="168">
        <f>_xlfn.LET(_xlpm.loc, ITEquipmentTable[Storage Location],
COUNTIFS(ITSecondTable[Tag], ITSecondTable[[#This Row],[Tag]], _xlpm.loc, "Missing")
)</f>
        <v>0</v>
      </c>
      <c r="E579" s="168">
        <f>_xlfn.LET(_xlpm.loc, ITEquipmentTable[Storage Location],
COUNTIFS(ITSecondTable[Tag], ITSecondTable[[#This Row],[Tag]], _xlpm.loc, "In Use") + COUNTIFS(ITSecondTable[Tag], ITSecondTable[[#This Row],[Tag]], _xlpm.loc, "Assigned to Employee")
)</f>
        <v>13</v>
      </c>
      <c r="F579" s="168">
        <f>_xlfn.LET(_xlpm.loc, ITEquipmentTable[Storage Location],
COUNTIFS(ITSecondTable[Tag], ITSecondTable[[#This Row],[Tag]], _xlpm.loc, "")
)</f>
        <v>14</v>
      </c>
      <c r="G579" s="168">
        <f>MAX(ITSecondTable[[#This Row],[SQty]] - ITSecondTable[[#This Row],[IQty]], 0)</f>
        <v>0</v>
      </c>
      <c r="H579" s="168">
        <f>MAX(ITSecondTable[[#This Row],[IQty]]-ITSecondTable[[#This Row],[SQty]], 0)</f>
        <v>7</v>
      </c>
      <c r="I579" s="151" t="str">
        <f>IFERROR(_xlfn.TEXTJOIN("~", TRUE, ITEquipmentTable[[#This Row],[Type]],ITEquipmentTable[[#This Row],[Brand]],ITEquipmentTable[[#This Row],[Model]]), "")</f>
        <v>Scanner~Honeywell~1911i</v>
      </c>
      <c r="J579" s="151" t="b">
        <f xml:space="preserve"> _xlfn.IFNA(MATCH( ITSecondTable[[#This Row],[Tag]], StorageTable[Tag], 0)  &gt; -1, FALSE)</f>
        <v>0</v>
      </c>
      <c r="K579" s="168" t="b">
        <f>COUNTIFS(ITEquipmentTable[Serial], ITEquipmentTable[[#This Row],[Serial]], ITEquipmentTable[Serial], "&lt;&gt;N/A") &gt; 1</f>
        <v>0</v>
      </c>
      <c r="L579" s="168" t="b">
        <f>COUNTIFS(ITEquipmentTable[Name], ITEquipmentTable[[#This Row],[Name]], ITEquipmentTable[Name], "&lt;&gt;&lt;Unassigned&gt;",  ITEquipmentTable[Name], "&lt;&gt;N/A") &gt; 1</f>
        <v>0</v>
      </c>
      <c r="M579" s="168" t="b">
        <f>AND(COUNTIFS(ITEquipmentTable[IPv4 Address], ITEquipmentTable[[#This Row],[IPv4 Address]]) &gt; 1, ITEquipmentTable[[#This Row],[IPv4 Address]] &lt;&gt; "DHCP",  ITEquipmentTable[[#This Row],[IPv4 Address]] &lt;&gt; "N/A")</f>
        <v>0</v>
      </c>
    </row>
    <row r="580" spans="1:13" x14ac:dyDescent="0.2">
      <c r="A580" s="168">
        <f>IF(LEN(ITSecondTable[[#This Row],[Tag]]) &gt; 0, _xlfn.XLOOKUP(ITSecondTable[[#This Row],[Tag]],StorageTable[Tag], StorageTable[In Storage - Count Total], "Err", 0, 1), 0)</f>
        <v>0</v>
      </c>
      <c r="B580" s="168">
        <f>_xlfn.LET(_xlpm.loc, ITEquipmentTable[Storage Location],
COUNTIFS(ITSecondTable[Tag], ITSecondTable[[#This Row],[Tag]], _xlpm.loc, "&lt;&gt;In Use", _xlpm.loc, "&lt;&gt;",  _xlpm.loc, "&lt;&gt;E-Waste", _xlpm.loc, "&lt;&gt;Virtual",  _xlpm.loc, "&lt;&gt;Assigned to Employee", _xlpm.loc, "&lt;&gt;Decommisioned", _xlpm.loc, "&lt;&gt;Missing")
)</f>
        <v>0</v>
      </c>
      <c r="C580" s="168">
        <f>_xlfn.LET(_xlpm.loc, ITEquipmentTable[Storage Location],
COUNTIFS(ITSecondTable[Tag], ITSecondTable[[#This Row],[Tag]], _xlpm.loc, "&lt;&gt;E-Waste", _xlpm.loc, "&lt;&gt;Virtual", _xlpm.loc, "&lt;&gt;Decommisioned")
)</f>
        <v>2</v>
      </c>
      <c r="D580" s="168">
        <f>_xlfn.LET(_xlpm.loc, ITEquipmentTable[Storage Location],
COUNTIFS(ITSecondTable[Tag], ITSecondTable[[#This Row],[Tag]], _xlpm.loc, "Missing")
)</f>
        <v>0</v>
      </c>
      <c r="E580" s="168">
        <f>_xlfn.LET(_xlpm.loc, ITEquipmentTable[Storage Location],
COUNTIFS(ITSecondTable[Tag], ITSecondTable[[#This Row],[Tag]], _xlpm.loc, "In Use") + COUNTIFS(ITSecondTable[Tag], ITSecondTable[[#This Row],[Tag]], _xlpm.loc, "Assigned to Employee")
)</f>
        <v>2</v>
      </c>
      <c r="F580" s="168">
        <f>_xlfn.LET(_xlpm.loc, ITEquipmentTable[Storage Location],
COUNTIFS(ITSecondTable[Tag], ITSecondTable[[#This Row],[Tag]], _xlpm.loc, "")
)</f>
        <v>0</v>
      </c>
      <c r="G580" s="168">
        <f>MAX(ITSecondTable[[#This Row],[SQty]] - ITSecondTable[[#This Row],[IQty]], 0)</f>
        <v>0</v>
      </c>
      <c r="H580" s="168">
        <f>MAX(ITSecondTable[[#This Row],[IQty]]-ITSecondTable[[#This Row],[SQty]], 0)</f>
        <v>0</v>
      </c>
      <c r="I580" s="151" t="str">
        <f>IFERROR(_xlfn.TEXTJOIN("~", TRUE, ITEquipmentTable[[#This Row],[Type]],ITEquipmentTable[[#This Row],[Brand]],ITEquipmentTable[[#This Row],[Model]]), "")</f>
        <v>Monitor~HP~HP P22 G4</v>
      </c>
      <c r="J580" s="151" t="b">
        <f xml:space="preserve"> _xlfn.IFNA(MATCH( ITSecondTable[[#This Row],[Tag]], StorageTable[Tag], 0)  &gt; -1, FALSE)</f>
        <v>0</v>
      </c>
      <c r="K580" s="168" t="b">
        <f>COUNTIFS(ITEquipmentTable[Serial], ITEquipmentTable[[#This Row],[Serial]], ITEquipmentTable[Serial], "&lt;&gt;N/A") &gt; 1</f>
        <v>0</v>
      </c>
      <c r="L580" s="168" t="b">
        <f>COUNTIFS(ITEquipmentTable[Name], ITEquipmentTable[[#This Row],[Name]], ITEquipmentTable[Name], "&lt;&gt;&lt;Unassigned&gt;",  ITEquipmentTable[Name], "&lt;&gt;N/A") &gt; 1</f>
        <v>0</v>
      </c>
      <c r="M580" s="168" t="b">
        <f>AND(COUNTIFS(ITEquipmentTable[IPv4 Address], ITEquipmentTable[[#This Row],[IPv4 Address]]) &gt; 1, ITEquipmentTable[[#This Row],[IPv4 Address]] &lt;&gt; "DHCP",  ITEquipmentTable[[#This Row],[IPv4 Address]] &lt;&gt; "N/A")</f>
        <v>0</v>
      </c>
    </row>
    <row r="581" spans="1:13" x14ac:dyDescent="0.2">
      <c r="A581" s="168">
        <f>IF(LEN(ITSecondTable[[#This Row],[Tag]]) &gt; 0, _xlfn.XLOOKUP(ITSecondTable[[#This Row],[Tag]],StorageTable[Tag], StorageTable[In Storage - Count Total], "Err", 0, 1), 0)</f>
        <v>0</v>
      </c>
      <c r="B581" s="168">
        <f>_xlfn.LET(_xlpm.loc, ITEquipmentTable[Storage Location],
COUNTIFS(ITSecondTable[Tag], ITSecondTable[[#This Row],[Tag]], _xlpm.loc, "&lt;&gt;In Use", _xlpm.loc, "&lt;&gt;",  _xlpm.loc, "&lt;&gt;E-Waste", _xlpm.loc, "&lt;&gt;Virtual",  _xlpm.loc, "&lt;&gt;Assigned to Employee", _xlpm.loc, "&lt;&gt;Decommisioned", _xlpm.loc, "&lt;&gt;Missing")
)</f>
        <v>0</v>
      </c>
      <c r="C581" s="168">
        <f>_xlfn.LET(_xlpm.loc, ITEquipmentTable[Storage Location],
COUNTIFS(ITSecondTable[Tag], ITSecondTable[[#This Row],[Tag]], _xlpm.loc, "&lt;&gt;E-Waste", _xlpm.loc, "&lt;&gt;Virtual", _xlpm.loc, "&lt;&gt;Decommisioned")
)</f>
        <v>2</v>
      </c>
      <c r="D581" s="168">
        <f>_xlfn.LET(_xlpm.loc, ITEquipmentTable[Storage Location],
COUNTIFS(ITSecondTable[Tag], ITSecondTable[[#This Row],[Tag]], _xlpm.loc, "Missing")
)</f>
        <v>0</v>
      </c>
      <c r="E581" s="168">
        <f>_xlfn.LET(_xlpm.loc, ITEquipmentTable[Storage Location],
COUNTIFS(ITSecondTable[Tag], ITSecondTable[[#This Row],[Tag]], _xlpm.loc, "In Use") + COUNTIFS(ITSecondTable[Tag], ITSecondTable[[#This Row],[Tag]], _xlpm.loc, "Assigned to Employee")
)</f>
        <v>2</v>
      </c>
      <c r="F581" s="168">
        <f>_xlfn.LET(_xlpm.loc, ITEquipmentTable[Storage Location],
COUNTIFS(ITSecondTable[Tag], ITSecondTable[[#This Row],[Tag]], _xlpm.loc, "")
)</f>
        <v>0</v>
      </c>
      <c r="G581" s="168">
        <f>MAX(ITSecondTable[[#This Row],[SQty]] - ITSecondTable[[#This Row],[IQty]], 0)</f>
        <v>0</v>
      </c>
      <c r="H581" s="168">
        <f>MAX(ITSecondTable[[#This Row],[IQty]]-ITSecondTable[[#This Row],[SQty]], 0)</f>
        <v>0</v>
      </c>
      <c r="I581" s="151" t="str">
        <f>IFERROR(_xlfn.TEXTJOIN("~", TRUE, ITEquipmentTable[[#This Row],[Type]],ITEquipmentTable[[#This Row],[Brand]],ITEquipmentTable[[#This Row],[Model]]), "")</f>
        <v>Monitor~HP~HP P22 G4</v>
      </c>
      <c r="J581" s="151" t="b">
        <f xml:space="preserve"> _xlfn.IFNA(MATCH( ITSecondTable[[#This Row],[Tag]], StorageTable[Tag], 0)  &gt; -1, FALSE)</f>
        <v>0</v>
      </c>
      <c r="K581" s="168" t="b">
        <f>COUNTIFS(ITEquipmentTable[Serial], ITEquipmentTable[[#This Row],[Serial]], ITEquipmentTable[Serial], "&lt;&gt;N/A") &gt; 1</f>
        <v>0</v>
      </c>
      <c r="L581" s="168" t="b">
        <f>COUNTIFS(ITEquipmentTable[Name], ITEquipmentTable[[#This Row],[Name]], ITEquipmentTable[Name], "&lt;&gt;&lt;Unassigned&gt;",  ITEquipmentTable[Name], "&lt;&gt;N/A") &gt; 1</f>
        <v>0</v>
      </c>
      <c r="M581" s="168" t="b">
        <f>AND(COUNTIFS(ITEquipmentTable[IPv4 Address], ITEquipmentTable[[#This Row],[IPv4 Address]]) &gt; 1, ITEquipmentTable[[#This Row],[IPv4 Address]] &lt;&gt; "DHCP",  ITEquipmentTable[[#This Row],[IPv4 Address]] &lt;&gt; "N/A")</f>
        <v>0</v>
      </c>
    </row>
    <row r="582" spans="1:13" x14ac:dyDescent="0.2">
      <c r="A582" s="168">
        <f>IF(LEN(ITSecondTable[[#This Row],[Tag]]) &gt; 0, _xlfn.XLOOKUP(ITSecondTable[[#This Row],[Tag]],StorageTable[Tag], StorageTable[In Storage - Count Total], "Err", 0, 1), 0)</f>
        <v>30</v>
      </c>
      <c r="B582" s="168">
        <f>_xlfn.LET(_xlpm.loc, ITEquipmentTable[Storage Location],
COUNTIFS(ITSecondTable[Tag], ITSecondTable[[#This Row],[Tag]], _xlpm.loc, "&lt;&gt;In Use", _xlpm.loc, "&lt;&gt;",  _xlpm.loc, "&lt;&gt;E-Waste", _xlpm.loc, "&lt;&gt;Virtual",  _xlpm.loc, "&lt;&gt;Assigned to Employee", _xlpm.loc, "&lt;&gt;Decommisioned", _xlpm.loc, "&lt;&gt;Missing")
)</f>
        <v>21</v>
      </c>
      <c r="C582" s="168">
        <f>_xlfn.LET(_xlpm.loc, ITEquipmentTable[Storage Location],
COUNTIFS(ITSecondTable[Tag], ITSecondTable[[#This Row],[Tag]], _xlpm.loc, "&lt;&gt;E-Waste", _xlpm.loc, "&lt;&gt;Virtual", _xlpm.loc, "&lt;&gt;Decommisioned")
)</f>
        <v>33</v>
      </c>
      <c r="D582" s="168">
        <f>_xlfn.LET(_xlpm.loc, ITEquipmentTable[Storage Location],
COUNTIFS(ITSecondTable[Tag], ITSecondTable[[#This Row],[Tag]], _xlpm.loc, "Missing")
)</f>
        <v>0</v>
      </c>
      <c r="E582" s="168">
        <f>_xlfn.LET(_xlpm.loc, ITEquipmentTable[Storage Location],
COUNTIFS(ITSecondTable[Tag], ITSecondTable[[#This Row],[Tag]], _xlpm.loc, "In Use") + COUNTIFS(ITSecondTable[Tag], ITSecondTable[[#This Row],[Tag]], _xlpm.loc, "Assigned to Employee")
)</f>
        <v>12</v>
      </c>
      <c r="F582" s="168">
        <f>_xlfn.LET(_xlpm.loc, ITEquipmentTable[Storage Location],
COUNTIFS(ITSecondTable[Tag], ITSecondTable[[#This Row],[Tag]], _xlpm.loc, "")
)</f>
        <v>0</v>
      </c>
      <c r="G582" s="168">
        <f>MAX(ITSecondTable[[#This Row],[SQty]] - ITSecondTable[[#This Row],[IQty]], 0)</f>
        <v>0</v>
      </c>
      <c r="H582" s="168">
        <f>MAX(ITSecondTable[[#This Row],[IQty]]-ITSecondTable[[#This Row],[SQty]], 0)</f>
        <v>9</v>
      </c>
      <c r="I582" s="151" t="str">
        <f>IFERROR(_xlfn.TEXTJOIN("~", TRUE, ITEquipmentTable[[#This Row],[Type]],ITEquipmentTable[[#This Row],[Brand]],ITEquipmentTable[[#This Row],[Model]]), "")</f>
        <v>Scanner Base~Honeywell~CCB02-100BT-07N</v>
      </c>
      <c r="J582" s="151" t="b">
        <f xml:space="preserve"> _xlfn.IFNA(MATCH( ITSecondTable[[#This Row],[Tag]], StorageTable[Tag], 0)  &gt; -1, FALSE)</f>
        <v>0</v>
      </c>
      <c r="K582" s="168" t="b">
        <f>COUNTIFS(ITEquipmentTable[Serial], ITEquipmentTable[[#This Row],[Serial]], ITEquipmentTable[Serial], "&lt;&gt;N/A") &gt; 1</f>
        <v>0</v>
      </c>
      <c r="L582" s="168" t="b">
        <f>COUNTIFS(ITEquipmentTable[Name], ITEquipmentTable[[#This Row],[Name]], ITEquipmentTable[Name], "&lt;&gt;&lt;Unassigned&gt;",  ITEquipmentTable[Name], "&lt;&gt;N/A") &gt; 1</f>
        <v>0</v>
      </c>
      <c r="M582" s="168" t="b">
        <f>AND(COUNTIFS(ITEquipmentTable[IPv4 Address], ITEquipmentTable[[#This Row],[IPv4 Address]]) &gt; 1, ITEquipmentTable[[#This Row],[IPv4 Address]] &lt;&gt; "DHCP",  ITEquipmentTable[[#This Row],[IPv4 Address]] &lt;&gt; "N/A")</f>
        <v>0</v>
      </c>
    </row>
    <row r="583" spans="1:13" x14ac:dyDescent="0.2">
      <c r="A583" s="168">
        <f>IF(LEN(ITSecondTable[[#This Row],[Tag]]) &gt; 0, _xlfn.XLOOKUP(ITSecondTable[[#This Row],[Tag]],StorageTable[Tag], StorageTable[In Storage - Count Total], "Err", 0, 1), 0)</f>
        <v>30</v>
      </c>
      <c r="B583" s="168">
        <f>_xlfn.LET(_xlpm.loc, ITEquipmentTable[Storage Location],
COUNTIFS(ITSecondTable[Tag], ITSecondTable[[#This Row],[Tag]], _xlpm.loc, "&lt;&gt;In Use", _xlpm.loc, "&lt;&gt;",  _xlpm.loc, "&lt;&gt;E-Waste", _xlpm.loc, "&lt;&gt;Virtual",  _xlpm.loc, "&lt;&gt;Assigned to Employee", _xlpm.loc, "&lt;&gt;Decommisioned", _xlpm.loc, "&lt;&gt;Missing")
)</f>
        <v>21</v>
      </c>
      <c r="C583" s="168">
        <f>_xlfn.LET(_xlpm.loc, ITEquipmentTable[Storage Location],
COUNTIFS(ITSecondTable[Tag], ITSecondTable[[#This Row],[Tag]], _xlpm.loc, "&lt;&gt;E-Waste", _xlpm.loc, "&lt;&gt;Virtual", _xlpm.loc, "&lt;&gt;Decommisioned")
)</f>
        <v>33</v>
      </c>
      <c r="D583" s="168">
        <f>_xlfn.LET(_xlpm.loc, ITEquipmentTable[Storage Location],
COUNTIFS(ITSecondTable[Tag], ITSecondTable[[#This Row],[Tag]], _xlpm.loc, "Missing")
)</f>
        <v>0</v>
      </c>
      <c r="E583" s="168">
        <f>_xlfn.LET(_xlpm.loc, ITEquipmentTable[Storage Location],
COUNTIFS(ITSecondTable[Tag], ITSecondTable[[#This Row],[Tag]], _xlpm.loc, "In Use") + COUNTIFS(ITSecondTable[Tag], ITSecondTable[[#This Row],[Tag]], _xlpm.loc, "Assigned to Employee")
)</f>
        <v>12</v>
      </c>
      <c r="F583" s="168">
        <f>_xlfn.LET(_xlpm.loc, ITEquipmentTable[Storage Location],
COUNTIFS(ITSecondTable[Tag], ITSecondTable[[#This Row],[Tag]], _xlpm.loc, "")
)</f>
        <v>0</v>
      </c>
      <c r="G583" s="168">
        <f>MAX(ITSecondTable[[#This Row],[SQty]] - ITSecondTable[[#This Row],[IQty]], 0)</f>
        <v>0</v>
      </c>
      <c r="H583" s="168">
        <f>MAX(ITSecondTable[[#This Row],[IQty]]-ITSecondTable[[#This Row],[SQty]], 0)</f>
        <v>9</v>
      </c>
      <c r="I583" s="151" t="str">
        <f>IFERROR(_xlfn.TEXTJOIN("~", TRUE, ITEquipmentTable[[#This Row],[Type]],ITEquipmentTable[[#This Row],[Brand]],ITEquipmentTable[[#This Row],[Model]]), "")</f>
        <v>Scanner Base~Honeywell~CCB02-100BT-07N</v>
      </c>
      <c r="J583" s="151" t="b">
        <f xml:space="preserve"> _xlfn.IFNA(MATCH( ITSecondTable[[#This Row],[Tag]], StorageTable[Tag], 0)  &gt; -1, FALSE)</f>
        <v>0</v>
      </c>
      <c r="K583" s="168" t="b">
        <f>COUNTIFS(ITEquipmentTable[Serial], ITEquipmentTable[[#This Row],[Serial]], ITEquipmentTable[Serial], "&lt;&gt;N/A") &gt; 1</f>
        <v>0</v>
      </c>
      <c r="L583" s="168" t="b">
        <f>COUNTIFS(ITEquipmentTable[Name], ITEquipmentTable[[#This Row],[Name]], ITEquipmentTable[Name], "&lt;&gt;&lt;Unassigned&gt;",  ITEquipmentTable[Name], "&lt;&gt;N/A") &gt; 1</f>
        <v>0</v>
      </c>
      <c r="M583" s="168" t="b">
        <f>AND(COUNTIFS(ITEquipmentTable[IPv4 Address], ITEquipmentTable[[#This Row],[IPv4 Address]]) &gt; 1, ITEquipmentTable[[#This Row],[IPv4 Address]] &lt;&gt; "DHCP",  ITEquipmentTable[[#This Row],[IPv4 Address]] &lt;&gt; "N/A")</f>
        <v>0</v>
      </c>
    </row>
    <row r="584" spans="1:13" x14ac:dyDescent="0.2">
      <c r="A584" s="168">
        <f>IF(LEN(ITSecondTable[[#This Row],[Tag]]) &gt; 0, _xlfn.XLOOKUP(ITSecondTable[[#This Row],[Tag]],StorageTable[Tag], StorageTable[In Storage - Count Total], "Err", 0, 1), 0)</f>
        <v>0</v>
      </c>
      <c r="B584" s="168">
        <f>_xlfn.LET(_xlpm.loc, ITEquipmentTable[Storage Location],
COUNTIFS(ITSecondTable[Tag], ITSecondTable[[#This Row],[Tag]], _xlpm.loc, "&lt;&gt;In Use", _xlpm.loc, "&lt;&gt;",  _xlpm.loc, "&lt;&gt;E-Waste", _xlpm.loc, "&lt;&gt;Virtual",  _xlpm.loc, "&lt;&gt;Assigned to Employee", _xlpm.loc, "&lt;&gt;Decommisioned", _xlpm.loc, "&lt;&gt;Missing")
)</f>
        <v>8</v>
      </c>
      <c r="C584" s="168">
        <f>_xlfn.LET(_xlpm.loc, ITEquipmentTable[Storage Location],
COUNTIFS(ITSecondTable[Tag], ITSecondTable[[#This Row],[Tag]], _xlpm.loc, "&lt;&gt;E-Waste", _xlpm.loc, "&lt;&gt;Virtual", _xlpm.loc, "&lt;&gt;Decommisioned")
)</f>
        <v>27</v>
      </c>
      <c r="D584" s="168">
        <f>_xlfn.LET(_xlpm.loc, ITEquipmentTable[Storage Location],
COUNTIFS(ITSecondTable[Tag], ITSecondTable[[#This Row],[Tag]], _xlpm.loc, "Missing")
)</f>
        <v>0</v>
      </c>
      <c r="E584" s="168">
        <f>_xlfn.LET(_xlpm.loc, ITEquipmentTable[Storage Location],
COUNTIFS(ITSecondTable[Tag], ITSecondTable[[#This Row],[Tag]], _xlpm.loc, "In Use") + COUNTIFS(ITSecondTable[Tag], ITSecondTable[[#This Row],[Tag]], _xlpm.loc, "Assigned to Employee")
)</f>
        <v>12</v>
      </c>
      <c r="F584" s="168">
        <f>_xlfn.LET(_xlpm.loc, ITEquipmentTable[Storage Location],
COUNTIFS(ITSecondTable[Tag], ITSecondTable[[#This Row],[Tag]], _xlpm.loc, "")
)</f>
        <v>7</v>
      </c>
      <c r="G584" s="168">
        <f>MAX(ITSecondTable[[#This Row],[SQty]] - ITSecondTable[[#This Row],[IQty]], 0)</f>
        <v>8</v>
      </c>
      <c r="H584" s="168">
        <f>MAX(ITSecondTable[[#This Row],[IQty]]-ITSecondTable[[#This Row],[SQty]], 0)</f>
        <v>0</v>
      </c>
      <c r="I584" s="151" t="str">
        <f>IFERROR(_xlfn.TEXTJOIN("~", TRUE, ITEquipmentTable[[#This Row],[Type]],ITEquipmentTable[[#This Row],[Brand]],ITEquipmentTable[[#This Row],[Model]]), "")</f>
        <v>Desktop~Dell~OptiPlex 3050</v>
      </c>
      <c r="J584" s="151" t="b">
        <f xml:space="preserve"> _xlfn.IFNA(MATCH( ITSecondTable[[#This Row],[Tag]], StorageTable[Tag], 0)  &gt; -1, FALSE)</f>
        <v>0</v>
      </c>
      <c r="K584" s="168" t="b">
        <f>COUNTIFS(ITEquipmentTable[Serial], ITEquipmentTable[[#This Row],[Serial]], ITEquipmentTable[Serial], "&lt;&gt;N/A") &gt; 1</f>
        <v>0</v>
      </c>
      <c r="L584" s="168" t="b">
        <f>COUNTIFS(ITEquipmentTable[Name], ITEquipmentTable[[#This Row],[Name]], ITEquipmentTable[Name], "&lt;&gt;&lt;Unassigned&gt;",  ITEquipmentTable[Name], "&lt;&gt;N/A") &gt; 1</f>
        <v>0</v>
      </c>
      <c r="M584" s="168" t="b">
        <f>AND(COUNTIFS(ITEquipmentTable[IPv4 Address], ITEquipmentTable[[#This Row],[IPv4 Address]]) &gt; 1, ITEquipmentTable[[#This Row],[IPv4 Address]] &lt;&gt; "DHCP",  ITEquipmentTable[[#This Row],[IPv4 Address]] &lt;&gt; "N/A")</f>
        <v>0</v>
      </c>
    </row>
    <row r="585" spans="1:13" x14ac:dyDescent="0.2">
      <c r="A585" s="168">
        <f>IF(LEN(ITSecondTable[[#This Row],[Tag]]) &gt; 0, _xlfn.XLOOKUP(ITSecondTable[[#This Row],[Tag]],StorageTable[Tag], StorageTable[In Storage - Count Total], "Err", 0, 1), 0)</f>
        <v>9</v>
      </c>
      <c r="B585" s="168">
        <f>_xlfn.LET(_xlpm.loc, ITEquipmentTable[Storage Location],
COUNTIFS(ITSecondTable[Tag], ITSecondTable[[#This Row],[Tag]], _xlpm.loc, "&lt;&gt;In Use", _xlpm.loc, "&lt;&gt;",  _xlpm.loc, "&lt;&gt;E-Waste", _xlpm.loc, "&lt;&gt;Virtual",  _xlpm.loc, "&lt;&gt;Assigned to Employee", _xlpm.loc, "&lt;&gt;Decommisioned", _xlpm.loc, "&lt;&gt;Missing")
)</f>
        <v>11</v>
      </c>
      <c r="C585" s="168">
        <f>_xlfn.LET(_xlpm.loc, ITEquipmentTable[Storage Location],
COUNTIFS(ITSecondTable[Tag], ITSecondTable[[#This Row],[Tag]], _xlpm.loc, "&lt;&gt;E-Waste", _xlpm.loc, "&lt;&gt;Virtual", _xlpm.loc, "&lt;&gt;Decommisioned")
)</f>
        <v>24</v>
      </c>
      <c r="D585" s="168">
        <f>_xlfn.LET(_xlpm.loc, ITEquipmentTable[Storage Location],
COUNTIFS(ITSecondTable[Tag], ITSecondTable[[#This Row],[Tag]], _xlpm.loc, "Missing")
)</f>
        <v>0</v>
      </c>
      <c r="E585" s="168">
        <f>_xlfn.LET(_xlpm.loc, ITEquipmentTable[Storage Location],
COUNTIFS(ITSecondTable[Tag], ITSecondTable[[#This Row],[Tag]], _xlpm.loc, "In Use") + COUNTIFS(ITSecondTable[Tag], ITSecondTable[[#This Row],[Tag]], _xlpm.loc, "Assigned to Employee")
)</f>
        <v>13</v>
      </c>
      <c r="F585" s="168">
        <f>_xlfn.LET(_xlpm.loc, ITEquipmentTable[Storage Location],
COUNTIFS(ITSecondTable[Tag], ITSecondTable[[#This Row],[Tag]], _xlpm.loc, "")
)</f>
        <v>0</v>
      </c>
      <c r="G585" s="168">
        <f>MAX(ITSecondTable[[#This Row],[SQty]] - ITSecondTable[[#This Row],[IQty]], 0)</f>
        <v>2</v>
      </c>
      <c r="H585" s="168">
        <f>MAX(ITSecondTable[[#This Row],[IQty]]-ITSecondTable[[#This Row],[SQty]], 0)</f>
        <v>0</v>
      </c>
      <c r="I585" s="151" t="str">
        <f>IFERROR(_xlfn.TEXTJOIN("~", TRUE, ITEquipmentTable[[#This Row],[Type]],ITEquipmentTable[[#This Row],[Brand]],ITEquipmentTable[[#This Row],[Model]]), "")</f>
        <v>Monitor~HP~HP P224 Monitor</v>
      </c>
      <c r="J585" s="151" t="b">
        <f xml:space="preserve"> _xlfn.IFNA(MATCH( ITSecondTable[[#This Row],[Tag]], StorageTable[Tag], 0)  &gt; -1, FALSE)</f>
        <v>0</v>
      </c>
      <c r="K585" s="168" t="b">
        <f>COUNTIFS(ITEquipmentTable[Serial], ITEquipmentTable[[#This Row],[Serial]], ITEquipmentTable[Serial], "&lt;&gt;N/A") &gt; 1</f>
        <v>0</v>
      </c>
      <c r="L585" s="168" t="b">
        <f>COUNTIFS(ITEquipmentTable[Name], ITEquipmentTable[[#This Row],[Name]], ITEquipmentTable[Name], "&lt;&gt;&lt;Unassigned&gt;",  ITEquipmentTable[Name], "&lt;&gt;N/A") &gt; 1</f>
        <v>0</v>
      </c>
      <c r="M585" s="168" t="b">
        <f>AND(COUNTIFS(ITEquipmentTable[IPv4 Address], ITEquipmentTable[[#This Row],[IPv4 Address]]) &gt; 1, ITEquipmentTable[[#This Row],[IPv4 Address]] &lt;&gt; "DHCP",  ITEquipmentTable[[#This Row],[IPv4 Address]] &lt;&gt; "N/A")</f>
        <v>0</v>
      </c>
    </row>
    <row r="586" spans="1:13" x14ac:dyDescent="0.2">
      <c r="A586" s="168">
        <f>IF(LEN(ITSecondTable[[#This Row],[Tag]]) &gt; 0, _xlfn.XLOOKUP(ITSecondTable[[#This Row],[Tag]],StorageTable[Tag], StorageTable[In Storage - Count Total], "Err", 0, 1), 0)</f>
        <v>1</v>
      </c>
      <c r="B586" s="168">
        <f>_xlfn.LET(_xlpm.loc, ITEquipmentTable[Storage Location],
COUNTIFS(ITSecondTable[Tag], ITSecondTable[[#This Row],[Tag]], _xlpm.loc, "&lt;&gt;In Use", _xlpm.loc, "&lt;&gt;",  _xlpm.loc, "&lt;&gt;E-Waste", _xlpm.loc, "&lt;&gt;Virtual",  _xlpm.loc, "&lt;&gt;Assigned to Employee", _xlpm.loc, "&lt;&gt;Decommisioned", _xlpm.loc, "&lt;&gt;Missing")
)</f>
        <v>3</v>
      </c>
      <c r="C586" s="168">
        <f>_xlfn.LET(_xlpm.loc, ITEquipmentTable[Storage Location],
COUNTIFS(ITSecondTable[Tag], ITSecondTable[[#This Row],[Tag]], _xlpm.loc, "&lt;&gt;E-Waste", _xlpm.loc, "&lt;&gt;Virtual", _xlpm.loc, "&lt;&gt;Decommisioned")
)</f>
        <v>3</v>
      </c>
      <c r="D586" s="168">
        <f>_xlfn.LET(_xlpm.loc, ITEquipmentTable[Storage Location],
COUNTIFS(ITSecondTable[Tag], ITSecondTable[[#This Row],[Tag]], _xlpm.loc, "Missing")
)</f>
        <v>0</v>
      </c>
      <c r="E586" s="168">
        <f>_xlfn.LET(_xlpm.loc, ITEquipmentTable[Storage Location],
COUNTIFS(ITSecondTable[Tag], ITSecondTable[[#This Row],[Tag]], _xlpm.loc, "In Use") + COUNTIFS(ITSecondTable[Tag], ITSecondTable[[#This Row],[Tag]], _xlpm.loc, "Assigned to Employee")
)</f>
        <v>0</v>
      </c>
      <c r="F586" s="168">
        <f>_xlfn.LET(_xlpm.loc, ITEquipmentTable[Storage Location],
COUNTIFS(ITSecondTable[Tag], ITSecondTable[[#This Row],[Tag]], _xlpm.loc, "")
)</f>
        <v>0</v>
      </c>
      <c r="G586" s="168">
        <f>MAX(ITSecondTable[[#This Row],[SQty]] - ITSecondTable[[#This Row],[IQty]], 0)</f>
        <v>2</v>
      </c>
      <c r="H586" s="168">
        <f>MAX(ITSecondTable[[#This Row],[IQty]]-ITSecondTable[[#This Row],[SQty]], 0)</f>
        <v>0</v>
      </c>
      <c r="I586" s="151" t="str">
        <f>IFERROR(_xlfn.TEXTJOIN("~", TRUE, ITEquipmentTable[[#This Row],[Type]],ITEquipmentTable[[#This Row],[Brand]],ITEquipmentTable[[#This Row],[Model]]), "")</f>
        <v>Monitor~Acer~V246HQL</v>
      </c>
      <c r="J586" s="151" t="b">
        <f xml:space="preserve"> _xlfn.IFNA(MATCH( ITSecondTable[[#This Row],[Tag]], StorageTable[Tag], 0)  &gt; -1, FALSE)</f>
        <v>0</v>
      </c>
      <c r="K586" s="168" t="b">
        <f>COUNTIFS(ITEquipmentTable[Serial], ITEquipmentTable[[#This Row],[Serial]], ITEquipmentTable[Serial], "&lt;&gt;N/A") &gt; 1</f>
        <v>0</v>
      </c>
      <c r="L586" s="168" t="b">
        <f>COUNTIFS(ITEquipmentTable[Name], ITEquipmentTable[[#This Row],[Name]], ITEquipmentTable[Name], "&lt;&gt;&lt;Unassigned&gt;",  ITEquipmentTable[Name], "&lt;&gt;N/A") &gt; 1</f>
        <v>0</v>
      </c>
      <c r="M586" s="168" t="b">
        <f>AND(COUNTIFS(ITEquipmentTable[IPv4 Address], ITEquipmentTable[[#This Row],[IPv4 Address]]) &gt; 1, ITEquipmentTable[[#This Row],[IPv4 Address]] &lt;&gt; "DHCP",  ITEquipmentTable[[#This Row],[IPv4 Address]] &lt;&gt; "N/A")</f>
        <v>0</v>
      </c>
    </row>
    <row r="587" spans="1:13" x14ac:dyDescent="0.2">
      <c r="A587" s="168">
        <f>IF(LEN(ITSecondTable[[#This Row],[Tag]]) &gt; 0, _xlfn.XLOOKUP(ITSecondTable[[#This Row],[Tag]],StorageTable[Tag], StorageTable[In Storage - Count Total], "Err", 0, 1), 0)</f>
        <v>18</v>
      </c>
      <c r="B587" s="168">
        <f>_xlfn.LET(_xlpm.loc, ITEquipmentTable[Storage Location],
COUNTIFS(ITSecondTable[Tag], ITSecondTable[[#This Row],[Tag]], _xlpm.loc, "&lt;&gt;In Use", _xlpm.loc, "&lt;&gt;",  _xlpm.loc, "&lt;&gt;E-Waste", _xlpm.loc, "&lt;&gt;Virtual",  _xlpm.loc, "&lt;&gt;Assigned to Employee", _xlpm.loc, "&lt;&gt;Decommisioned", _xlpm.loc, "&lt;&gt;Missing")
)</f>
        <v>11</v>
      </c>
      <c r="C587" s="168">
        <f>_xlfn.LET(_xlpm.loc, ITEquipmentTable[Storage Location],
COUNTIFS(ITSecondTable[Tag], ITSecondTable[[#This Row],[Tag]], _xlpm.loc, "&lt;&gt;E-Waste", _xlpm.loc, "&lt;&gt;Virtual", _xlpm.loc, "&lt;&gt;Decommisioned")
)</f>
        <v>38</v>
      </c>
      <c r="D587" s="168">
        <f>_xlfn.LET(_xlpm.loc, ITEquipmentTable[Storage Location],
COUNTIFS(ITSecondTable[Tag], ITSecondTable[[#This Row],[Tag]], _xlpm.loc, "Missing")
)</f>
        <v>0</v>
      </c>
      <c r="E587" s="168">
        <f>_xlfn.LET(_xlpm.loc, ITEquipmentTable[Storage Location],
COUNTIFS(ITSecondTable[Tag], ITSecondTable[[#This Row],[Tag]], _xlpm.loc, "In Use") + COUNTIFS(ITSecondTable[Tag], ITSecondTable[[#This Row],[Tag]], _xlpm.loc, "Assigned to Employee")
)</f>
        <v>13</v>
      </c>
      <c r="F587" s="168">
        <f>_xlfn.LET(_xlpm.loc, ITEquipmentTable[Storage Location],
COUNTIFS(ITSecondTable[Tag], ITSecondTable[[#This Row],[Tag]], _xlpm.loc, "")
)</f>
        <v>14</v>
      </c>
      <c r="G587" s="168">
        <f>MAX(ITSecondTable[[#This Row],[SQty]] - ITSecondTable[[#This Row],[IQty]], 0)</f>
        <v>0</v>
      </c>
      <c r="H587" s="168">
        <f>MAX(ITSecondTable[[#This Row],[IQty]]-ITSecondTable[[#This Row],[SQty]], 0)</f>
        <v>7</v>
      </c>
      <c r="I587" s="151" t="str">
        <f>IFERROR(_xlfn.TEXTJOIN("~", TRUE, ITEquipmentTable[[#This Row],[Type]],ITEquipmentTable[[#This Row],[Brand]],ITEquipmentTable[[#This Row],[Model]]), "")</f>
        <v>Scanner~Honeywell~1911i</v>
      </c>
      <c r="J587" s="151" t="b">
        <f xml:space="preserve"> _xlfn.IFNA(MATCH( ITSecondTable[[#This Row],[Tag]], StorageTable[Tag], 0)  &gt; -1, FALSE)</f>
        <v>0</v>
      </c>
      <c r="K587" s="168" t="b">
        <f>COUNTIFS(ITEquipmentTable[Serial], ITEquipmentTable[[#This Row],[Serial]], ITEquipmentTable[Serial], "&lt;&gt;N/A") &gt; 1</f>
        <v>0</v>
      </c>
      <c r="L587" s="168" t="b">
        <f>COUNTIFS(ITEquipmentTable[Name], ITEquipmentTable[[#This Row],[Name]], ITEquipmentTable[Name], "&lt;&gt;&lt;Unassigned&gt;",  ITEquipmentTable[Name], "&lt;&gt;N/A") &gt; 1</f>
        <v>0</v>
      </c>
      <c r="M587" s="168" t="b">
        <f>AND(COUNTIFS(ITEquipmentTable[IPv4 Address], ITEquipmentTable[[#This Row],[IPv4 Address]]) &gt; 1, ITEquipmentTable[[#This Row],[IPv4 Address]] &lt;&gt; "DHCP",  ITEquipmentTable[[#This Row],[IPv4 Address]] &lt;&gt; "N/A")</f>
        <v>0</v>
      </c>
    </row>
    <row r="588" spans="1:13" x14ac:dyDescent="0.2">
      <c r="A588" s="168">
        <f>IF(LEN(ITSecondTable[[#This Row],[Tag]]) &gt; 0, _xlfn.XLOOKUP(ITSecondTable[[#This Row],[Tag]],StorageTable[Tag], StorageTable[In Storage - Count Total], "Err", 0, 1), 0)</f>
        <v>30</v>
      </c>
      <c r="B588" s="168">
        <f>_xlfn.LET(_xlpm.loc, ITEquipmentTable[Storage Location],
COUNTIFS(ITSecondTable[Tag], ITSecondTable[[#This Row],[Tag]], _xlpm.loc, "&lt;&gt;In Use", _xlpm.loc, "&lt;&gt;",  _xlpm.loc, "&lt;&gt;E-Waste", _xlpm.loc, "&lt;&gt;Virtual",  _xlpm.loc, "&lt;&gt;Assigned to Employee", _xlpm.loc, "&lt;&gt;Decommisioned", _xlpm.loc, "&lt;&gt;Missing")
)</f>
        <v>21</v>
      </c>
      <c r="C588" s="168">
        <f>_xlfn.LET(_xlpm.loc, ITEquipmentTable[Storage Location],
COUNTIFS(ITSecondTable[Tag], ITSecondTable[[#This Row],[Tag]], _xlpm.loc, "&lt;&gt;E-Waste", _xlpm.loc, "&lt;&gt;Virtual", _xlpm.loc, "&lt;&gt;Decommisioned")
)</f>
        <v>33</v>
      </c>
      <c r="D588" s="168">
        <f>_xlfn.LET(_xlpm.loc, ITEquipmentTable[Storage Location],
COUNTIFS(ITSecondTable[Tag], ITSecondTable[[#This Row],[Tag]], _xlpm.loc, "Missing")
)</f>
        <v>0</v>
      </c>
      <c r="E588" s="168">
        <f>_xlfn.LET(_xlpm.loc, ITEquipmentTable[Storage Location],
COUNTIFS(ITSecondTable[Tag], ITSecondTable[[#This Row],[Tag]], _xlpm.loc, "In Use") + COUNTIFS(ITSecondTable[Tag], ITSecondTable[[#This Row],[Tag]], _xlpm.loc, "Assigned to Employee")
)</f>
        <v>12</v>
      </c>
      <c r="F588" s="168">
        <f>_xlfn.LET(_xlpm.loc, ITEquipmentTable[Storage Location],
COUNTIFS(ITSecondTable[Tag], ITSecondTable[[#This Row],[Tag]], _xlpm.loc, "")
)</f>
        <v>0</v>
      </c>
      <c r="G588" s="168">
        <f>MAX(ITSecondTable[[#This Row],[SQty]] - ITSecondTable[[#This Row],[IQty]], 0)</f>
        <v>0</v>
      </c>
      <c r="H588" s="168">
        <f>MAX(ITSecondTable[[#This Row],[IQty]]-ITSecondTable[[#This Row],[SQty]], 0)</f>
        <v>9</v>
      </c>
      <c r="I588" s="151" t="str">
        <f>IFERROR(_xlfn.TEXTJOIN("~", TRUE, ITEquipmentTable[[#This Row],[Type]],ITEquipmentTable[[#This Row],[Brand]],ITEquipmentTable[[#This Row],[Model]]), "")</f>
        <v>Scanner Base~Honeywell~CCB02-100BT-07N</v>
      </c>
      <c r="J588" s="151" t="b">
        <f xml:space="preserve"> _xlfn.IFNA(MATCH( ITSecondTable[[#This Row],[Tag]], StorageTable[Tag], 0)  &gt; -1, FALSE)</f>
        <v>0</v>
      </c>
      <c r="K588" s="168" t="b">
        <f>COUNTIFS(ITEquipmentTable[Serial], ITEquipmentTable[[#This Row],[Serial]], ITEquipmentTable[Serial], "&lt;&gt;N/A") &gt; 1</f>
        <v>0</v>
      </c>
      <c r="L588" s="168" t="b">
        <f>COUNTIFS(ITEquipmentTable[Name], ITEquipmentTable[[#This Row],[Name]], ITEquipmentTable[Name], "&lt;&gt;&lt;Unassigned&gt;",  ITEquipmentTable[Name], "&lt;&gt;N/A") &gt; 1</f>
        <v>0</v>
      </c>
      <c r="M588" s="168" t="b">
        <f>AND(COUNTIFS(ITEquipmentTable[IPv4 Address], ITEquipmentTable[[#This Row],[IPv4 Address]]) &gt; 1, ITEquipmentTable[[#This Row],[IPv4 Address]] &lt;&gt; "DHCP",  ITEquipmentTable[[#This Row],[IPv4 Address]] &lt;&gt; "N/A")</f>
        <v>0</v>
      </c>
    </row>
    <row r="589" spans="1:13" x14ac:dyDescent="0.2">
      <c r="A589" s="168">
        <f>IF(LEN(ITSecondTable[[#This Row],[Tag]]) &gt; 0, _xlfn.XLOOKUP(ITSecondTable[[#This Row],[Tag]],StorageTable[Tag], StorageTable[In Storage - Count Total], "Err", 0, 1), 0)</f>
        <v>25</v>
      </c>
      <c r="B589" s="168">
        <f>_xlfn.LET(_xlpm.loc, ITEquipmentTable[Storage Location],
COUNTIFS(ITSecondTable[Tag], ITSecondTable[[#This Row],[Tag]], _xlpm.loc, "&lt;&gt;In Use", _xlpm.loc, "&lt;&gt;",  _xlpm.loc, "&lt;&gt;E-Waste", _xlpm.loc, "&lt;&gt;Virtual",  _xlpm.loc, "&lt;&gt;Assigned to Employee", _xlpm.loc, "&lt;&gt;Decommisioned", _xlpm.loc, "&lt;&gt;Missing")
)</f>
        <v>36</v>
      </c>
      <c r="C589" s="168">
        <f>_xlfn.LET(_xlpm.loc, ITEquipmentTable[Storage Location],
COUNTIFS(ITSecondTable[Tag], ITSecondTable[[#This Row],[Tag]], _xlpm.loc, "&lt;&gt;E-Waste", _xlpm.loc, "&lt;&gt;Virtual", _xlpm.loc, "&lt;&gt;Decommisioned")
)</f>
        <v>41</v>
      </c>
      <c r="D589" s="168">
        <f>_xlfn.LET(_xlpm.loc, ITEquipmentTable[Storage Location],
COUNTIFS(ITSecondTable[Tag], ITSecondTable[[#This Row],[Tag]], _xlpm.loc, "Missing")
)</f>
        <v>0</v>
      </c>
      <c r="E589" s="168">
        <f>_xlfn.LET(_xlpm.loc, ITEquipmentTable[Storage Location],
COUNTIFS(ITSecondTable[Tag], ITSecondTable[[#This Row],[Tag]], _xlpm.loc, "In Use") + COUNTIFS(ITSecondTable[Tag], ITSecondTable[[#This Row],[Tag]], _xlpm.loc, "Assigned to Employee")
)</f>
        <v>5</v>
      </c>
      <c r="F589" s="168">
        <f>_xlfn.LET(_xlpm.loc, ITEquipmentTable[Storage Location],
COUNTIFS(ITSecondTable[Tag], ITSecondTable[[#This Row],[Tag]], _xlpm.loc, "")
)</f>
        <v>0</v>
      </c>
      <c r="G589" s="168">
        <f>MAX(ITSecondTable[[#This Row],[SQty]] - ITSecondTable[[#This Row],[IQty]], 0)</f>
        <v>11</v>
      </c>
      <c r="H589" s="168">
        <f>MAX(ITSecondTable[[#This Row],[IQty]]-ITSecondTable[[#This Row],[SQty]], 0)</f>
        <v>0</v>
      </c>
      <c r="I589" s="151" t="str">
        <f>IFERROR(_xlfn.TEXTJOIN("~", TRUE, ITEquipmentTable[[#This Row],[Type]],ITEquipmentTable[[#This Row],[Brand]],ITEquipmentTable[[#This Row],[Model]]), "")</f>
        <v>Monitor~Acer~V206HQL</v>
      </c>
      <c r="J589" s="151" t="b">
        <f xml:space="preserve"> _xlfn.IFNA(MATCH( ITSecondTable[[#This Row],[Tag]], StorageTable[Tag], 0)  &gt; -1, FALSE)</f>
        <v>0</v>
      </c>
      <c r="K589" s="168" t="b">
        <f>COUNTIFS(ITEquipmentTable[Serial], ITEquipmentTable[[#This Row],[Serial]], ITEquipmentTable[Serial], "&lt;&gt;N/A") &gt; 1</f>
        <v>0</v>
      </c>
      <c r="L589" s="168" t="b">
        <f>COUNTIFS(ITEquipmentTable[Name], ITEquipmentTable[[#This Row],[Name]], ITEquipmentTable[Name], "&lt;&gt;&lt;Unassigned&gt;",  ITEquipmentTable[Name], "&lt;&gt;N/A") &gt; 1</f>
        <v>0</v>
      </c>
      <c r="M589" s="168" t="b">
        <f>AND(COUNTIFS(ITEquipmentTable[IPv4 Address], ITEquipmentTable[[#This Row],[IPv4 Address]]) &gt; 1, ITEquipmentTable[[#This Row],[IPv4 Address]] &lt;&gt; "DHCP",  ITEquipmentTable[[#This Row],[IPv4 Address]] &lt;&gt; "N/A")</f>
        <v>0</v>
      </c>
    </row>
    <row r="590" spans="1:13" x14ac:dyDescent="0.2">
      <c r="A590" s="168">
        <f>IF(LEN(ITSecondTable[[#This Row],[Tag]]) &gt; 0, _xlfn.XLOOKUP(ITSecondTable[[#This Row],[Tag]],StorageTable[Tag], StorageTable[In Storage - Count Total], "Err", 0, 1), 0)</f>
        <v>9</v>
      </c>
      <c r="B590" s="168">
        <f>_xlfn.LET(_xlpm.loc, ITEquipmentTable[Storage Location],
COUNTIFS(ITSecondTable[Tag], ITSecondTable[[#This Row],[Tag]], _xlpm.loc, "&lt;&gt;In Use", _xlpm.loc, "&lt;&gt;",  _xlpm.loc, "&lt;&gt;E-Waste", _xlpm.loc, "&lt;&gt;Virtual",  _xlpm.loc, "&lt;&gt;Assigned to Employee", _xlpm.loc, "&lt;&gt;Decommisioned", _xlpm.loc, "&lt;&gt;Missing")
)</f>
        <v>11</v>
      </c>
      <c r="C590" s="168">
        <f>_xlfn.LET(_xlpm.loc, ITEquipmentTable[Storage Location],
COUNTIFS(ITSecondTable[Tag], ITSecondTable[[#This Row],[Tag]], _xlpm.loc, "&lt;&gt;E-Waste", _xlpm.loc, "&lt;&gt;Virtual", _xlpm.loc, "&lt;&gt;Decommisioned")
)</f>
        <v>24</v>
      </c>
      <c r="D590" s="168">
        <f>_xlfn.LET(_xlpm.loc, ITEquipmentTable[Storage Location],
COUNTIFS(ITSecondTable[Tag], ITSecondTable[[#This Row],[Tag]], _xlpm.loc, "Missing")
)</f>
        <v>0</v>
      </c>
      <c r="E590" s="168">
        <f>_xlfn.LET(_xlpm.loc, ITEquipmentTable[Storage Location],
COUNTIFS(ITSecondTable[Tag], ITSecondTable[[#This Row],[Tag]], _xlpm.loc, "In Use") + COUNTIFS(ITSecondTable[Tag], ITSecondTable[[#This Row],[Tag]], _xlpm.loc, "Assigned to Employee")
)</f>
        <v>13</v>
      </c>
      <c r="F590" s="168">
        <f>_xlfn.LET(_xlpm.loc, ITEquipmentTable[Storage Location],
COUNTIFS(ITSecondTable[Tag], ITSecondTable[[#This Row],[Tag]], _xlpm.loc, "")
)</f>
        <v>0</v>
      </c>
      <c r="G590" s="168">
        <f>MAX(ITSecondTable[[#This Row],[SQty]] - ITSecondTable[[#This Row],[IQty]], 0)</f>
        <v>2</v>
      </c>
      <c r="H590" s="168">
        <f>MAX(ITSecondTable[[#This Row],[IQty]]-ITSecondTable[[#This Row],[SQty]], 0)</f>
        <v>0</v>
      </c>
      <c r="I590" s="151" t="str">
        <f>IFERROR(_xlfn.TEXTJOIN("~", TRUE, ITEquipmentTable[[#This Row],[Type]],ITEquipmentTable[[#This Row],[Brand]],ITEquipmentTable[[#This Row],[Model]]), "")</f>
        <v>Monitor~HP~HP P224 Monitor</v>
      </c>
      <c r="J590" s="151" t="b">
        <f xml:space="preserve"> _xlfn.IFNA(MATCH( ITSecondTable[[#This Row],[Tag]], StorageTable[Tag], 0)  &gt; -1, FALSE)</f>
        <v>0</v>
      </c>
      <c r="K590" s="168" t="b">
        <f>COUNTIFS(ITEquipmentTable[Serial], ITEquipmentTable[[#This Row],[Serial]], ITEquipmentTable[Serial], "&lt;&gt;N/A") &gt; 1</f>
        <v>0</v>
      </c>
      <c r="L590" s="168" t="b">
        <f>COUNTIFS(ITEquipmentTable[Name], ITEquipmentTable[[#This Row],[Name]], ITEquipmentTable[Name], "&lt;&gt;&lt;Unassigned&gt;",  ITEquipmentTable[Name], "&lt;&gt;N/A") &gt; 1</f>
        <v>0</v>
      </c>
      <c r="M590" s="168" t="b">
        <f>AND(COUNTIFS(ITEquipmentTable[IPv4 Address], ITEquipmentTable[[#This Row],[IPv4 Address]]) &gt; 1, ITEquipmentTable[[#This Row],[IPv4 Address]] &lt;&gt; "DHCP",  ITEquipmentTable[[#This Row],[IPv4 Address]] &lt;&gt; "N/A")</f>
        <v>0</v>
      </c>
    </row>
    <row r="591" spans="1:13" x14ac:dyDescent="0.2">
      <c r="A591" s="168">
        <f>IF(LEN(ITSecondTable[[#This Row],[Tag]]) &gt; 0, _xlfn.XLOOKUP(ITSecondTable[[#This Row],[Tag]],StorageTable[Tag], StorageTable[In Storage - Count Total], "Err", 0, 1), 0)</f>
        <v>25</v>
      </c>
      <c r="B591" s="168">
        <f>_xlfn.LET(_xlpm.loc, ITEquipmentTable[Storage Location],
COUNTIFS(ITSecondTable[Tag], ITSecondTable[[#This Row],[Tag]], _xlpm.loc, "&lt;&gt;In Use", _xlpm.loc, "&lt;&gt;",  _xlpm.loc, "&lt;&gt;E-Waste", _xlpm.loc, "&lt;&gt;Virtual",  _xlpm.loc, "&lt;&gt;Assigned to Employee", _xlpm.loc, "&lt;&gt;Decommisioned", _xlpm.loc, "&lt;&gt;Missing")
)</f>
        <v>36</v>
      </c>
      <c r="C591" s="168">
        <f>_xlfn.LET(_xlpm.loc, ITEquipmentTable[Storage Location],
COUNTIFS(ITSecondTable[Tag], ITSecondTable[[#This Row],[Tag]], _xlpm.loc, "&lt;&gt;E-Waste", _xlpm.loc, "&lt;&gt;Virtual", _xlpm.loc, "&lt;&gt;Decommisioned")
)</f>
        <v>41</v>
      </c>
      <c r="D591" s="168">
        <f>_xlfn.LET(_xlpm.loc, ITEquipmentTable[Storage Location],
COUNTIFS(ITSecondTable[Tag], ITSecondTable[[#This Row],[Tag]], _xlpm.loc, "Missing")
)</f>
        <v>0</v>
      </c>
      <c r="E591" s="168">
        <f>_xlfn.LET(_xlpm.loc, ITEquipmentTable[Storage Location],
COUNTIFS(ITSecondTable[Tag], ITSecondTable[[#This Row],[Tag]], _xlpm.loc, "In Use") + COUNTIFS(ITSecondTable[Tag], ITSecondTable[[#This Row],[Tag]], _xlpm.loc, "Assigned to Employee")
)</f>
        <v>5</v>
      </c>
      <c r="F591" s="168">
        <f>_xlfn.LET(_xlpm.loc, ITEquipmentTable[Storage Location],
COUNTIFS(ITSecondTable[Tag], ITSecondTable[[#This Row],[Tag]], _xlpm.loc, "")
)</f>
        <v>0</v>
      </c>
      <c r="G591" s="168">
        <f>MAX(ITSecondTable[[#This Row],[SQty]] - ITSecondTable[[#This Row],[IQty]], 0)</f>
        <v>11</v>
      </c>
      <c r="H591" s="168">
        <f>MAX(ITSecondTable[[#This Row],[IQty]]-ITSecondTable[[#This Row],[SQty]], 0)</f>
        <v>0</v>
      </c>
      <c r="I591" s="151" t="str">
        <f>IFERROR(_xlfn.TEXTJOIN("~", TRUE, ITEquipmentTable[[#This Row],[Type]],ITEquipmentTable[[#This Row],[Brand]],ITEquipmentTable[[#This Row],[Model]]), "")</f>
        <v>Monitor~Acer~V206HQL</v>
      </c>
      <c r="J591" s="151" t="b">
        <f xml:space="preserve"> _xlfn.IFNA(MATCH( ITSecondTable[[#This Row],[Tag]], StorageTable[Tag], 0)  &gt; -1, FALSE)</f>
        <v>0</v>
      </c>
      <c r="K591" s="168" t="b">
        <f>COUNTIFS(ITEquipmentTable[Serial], ITEquipmentTable[[#This Row],[Serial]], ITEquipmentTable[Serial], "&lt;&gt;N/A") &gt; 1</f>
        <v>0</v>
      </c>
      <c r="L591" s="168" t="b">
        <f>COUNTIFS(ITEquipmentTable[Name], ITEquipmentTable[[#This Row],[Name]], ITEquipmentTable[Name], "&lt;&gt;&lt;Unassigned&gt;",  ITEquipmentTable[Name], "&lt;&gt;N/A") &gt; 1</f>
        <v>0</v>
      </c>
      <c r="M591" s="168" t="b">
        <f>AND(COUNTIFS(ITEquipmentTable[IPv4 Address], ITEquipmentTable[[#This Row],[IPv4 Address]]) &gt; 1, ITEquipmentTable[[#This Row],[IPv4 Address]] &lt;&gt; "DHCP",  ITEquipmentTable[[#This Row],[IPv4 Address]] &lt;&gt; "N/A")</f>
        <v>0</v>
      </c>
    </row>
    <row r="592" spans="1:13" x14ac:dyDescent="0.2">
      <c r="A592" s="168">
        <f>IF(LEN(ITSecondTable[[#This Row],[Tag]]) &gt; 0, _xlfn.XLOOKUP(ITSecondTable[[#This Row],[Tag]],StorageTable[Tag], StorageTable[In Storage - Count Total], "Err", 0, 1), 0)</f>
        <v>25</v>
      </c>
      <c r="B592" s="168">
        <f>_xlfn.LET(_xlpm.loc, ITEquipmentTable[Storage Location],
COUNTIFS(ITSecondTable[Tag], ITSecondTable[[#This Row],[Tag]], _xlpm.loc, "&lt;&gt;In Use", _xlpm.loc, "&lt;&gt;",  _xlpm.loc, "&lt;&gt;E-Waste", _xlpm.loc, "&lt;&gt;Virtual",  _xlpm.loc, "&lt;&gt;Assigned to Employee", _xlpm.loc, "&lt;&gt;Decommisioned", _xlpm.loc, "&lt;&gt;Missing")
)</f>
        <v>36</v>
      </c>
      <c r="C592" s="168">
        <f>_xlfn.LET(_xlpm.loc, ITEquipmentTable[Storage Location],
COUNTIFS(ITSecondTable[Tag], ITSecondTable[[#This Row],[Tag]], _xlpm.loc, "&lt;&gt;E-Waste", _xlpm.loc, "&lt;&gt;Virtual", _xlpm.loc, "&lt;&gt;Decommisioned")
)</f>
        <v>41</v>
      </c>
      <c r="D592" s="168">
        <f>_xlfn.LET(_xlpm.loc, ITEquipmentTable[Storage Location],
COUNTIFS(ITSecondTable[Tag], ITSecondTable[[#This Row],[Tag]], _xlpm.loc, "Missing")
)</f>
        <v>0</v>
      </c>
      <c r="E592" s="168">
        <f>_xlfn.LET(_xlpm.loc, ITEquipmentTable[Storage Location],
COUNTIFS(ITSecondTable[Tag], ITSecondTable[[#This Row],[Tag]], _xlpm.loc, "In Use") + COUNTIFS(ITSecondTable[Tag], ITSecondTable[[#This Row],[Tag]], _xlpm.loc, "Assigned to Employee")
)</f>
        <v>5</v>
      </c>
      <c r="F592" s="168">
        <f>_xlfn.LET(_xlpm.loc, ITEquipmentTable[Storage Location],
COUNTIFS(ITSecondTable[Tag], ITSecondTable[[#This Row],[Tag]], _xlpm.loc, "")
)</f>
        <v>0</v>
      </c>
      <c r="G592" s="168">
        <f>MAX(ITSecondTable[[#This Row],[SQty]] - ITSecondTable[[#This Row],[IQty]], 0)</f>
        <v>11</v>
      </c>
      <c r="H592" s="168">
        <f>MAX(ITSecondTable[[#This Row],[IQty]]-ITSecondTable[[#This Row],[SQty]], 0)</f>
        <v>0</v>
      </c>
      <c r="I592" s="151" t="str">
        <f>IFERROR(_xlfn.TEXTJOIN("~", TRUE, ITEquipmentTable[[#This Row],[Type]],ITEquipmentTable[[#This Row],[Brand]],ITEquipmentTable[[#This Row],[Model]]), "")</f>
        <v>Monitor~Acer~V206HQL</v>
      </c>
      <c r="J592" s="151" t="b">
        <f xml:space="preserve"> _xlfn.IFNA(MATCH( ITSecondTable[[#This Row],[Tag]], StorageTable[Tag], 0)  &gt; -1, FALSE)</f>
        <v>0</v>
      </c>
      <c r="K592" s="168" t="b">
        <f>COUNTIFS(ITEquipmentTable[Serial], ITEquipmentTable[[#This Row],[Serial]], ITEquipmentTable[Serial], "&lt;&gt;N/A") &gt; 1</f>
        <v>0</v>
      </c>
      <c r="L592" s="168" t="b">
        <f>COUNTIFS(ITEquipmentTable[Name], ITEquipmentTable[[#This Row],[Name]], ITEquipmentTable[Name], "&lt;&gt;&lt;Unassigned&gt;",  ITEquipmentTable[Name], "&lt;&gt;N/A") &gt; 1</f>
        <v>0</v>
      </c>
      <c r="M592" s="168" t="b">
        <f>AND(COUNTIFS(ITEquipmentTable[IPv4 Address], ITEquipmentTable[[#This Row],[IPv4 Address]]) &gt; 1, ITEquipmentTable[[#This Row],[IPv4 Address]] &lt;&gt; "DHCP",  ITEquipmentTable[[#This Row],[IPv4 Address]] &lt;&gt; "N/A")</f>
        <v>0</v>
      </c>
    </row>
    <row r="593" spans="1:13" x14ac:dyDescent="0.2">
      <c r="A593" s="168">
        <f>IF(LEN(ITSecondTable[[#This Row],[Tag]]) &gt; 0, _xlfn.XLOOKUP(ITSecondTable[[#This Row],[Tag]],StorageTable[Tag], StorageTable[In Storage - Count Total], "Err", 0, 1), 0)</f>
        <v>25</v>
      </c>
      <c r="B593" s="168">
        <f>_xlfn.LET(_xlpm.loc, ITEquipmentTable[Storage Location],
COUNTIFS(ITSecondTable[Tag], ITSecondTable[[#This Row],[Tag]], _xlpm.loc, "&lt;&gt;In Use", _xlpm.loc, "&lt;&gt;",  _xlpm.loc, "&lt;&gt;E-Waste", _xlpm.loc, "&lt;&gt;Virtual",  _xlpm.loc, "&lt;&gt;Assigned to Employee", _xlpm.loc, "&lt;&gt;Decommisioned", _xlpm.loc, "&lt;&gt;Missing")
)</f>
        <v>36</v>
      </c>
      <c r="C593" s="168">
        <f>_xlfn.LET(_xlpm.loc, ITEquipmentTable[Storage Location],
COUNTIFS(ITSecondTable[Tag], ITSecondTable[[#This Row],[Tag]], _xlpm.loc, "&lt;&gt;E-Waste", _xlpm.loc, "&lt;&gt;Virtual", _xlpm.loc, "&lt;&gt;Decommisioned")
)</f>
        <v>41</v>
      </c>
      <c r="D593" s="168">
        <f>_xlfn.LET(_xlpm.loc, ITEquipmentTable[Storage Location],
COUNTIFS(ITSecondTable[Tag], ITSecondTable[[#This Row],[Tag]], _xlpm.loc, "Missing")
)</f>
        <v>0</v>
      </c>
      <c r="E593" s="168">
        <f>_xlfn.LET(_xlpm.loc, ITEquipmentTable[Storage Location],
COUNTIFS(ITSecondTable[Tag], ITSecondTable[[#This Row],[Tag]], _xlpm.loc, "In Use") + COUNTIFS(ITSecondTable[Tag], ITSecondTable[[#This Row],[Tag]], _xlpm.loc, "Assigned to Employee")
)</f>
        <v>5</v>
      </c>
      <c r="F593" s="168">
        <f>_xlfn.LET(_xlpm.loc, ITEquipmentTable[Storage Location],
COUNTIFS(ITSecondTable[Tag], ITSecondTable[[#This Row],[Tag]], _xlpm.loc, "")
)</f>
        <v>0</v>
      </c>
      <c r="G593" s="168">
        <f>MAX(ITSecondTable[[#This Row],[SQty]] - ITSecondTable[[#This Row],[IQty]], 0)</f>
        <v>11</v>
      </c>
      <c r="H593" s="168">
        <f>MAX(ITSecondTable[[#This Row],[IQty]]-ITSecondTable[[#This Row],[SQty]], 0)</f>
        <v>0</v>
      </c>
      <c r="I593" s="151" t="str">
        <f>IFERROR(_xlfn.TEXTJOIN("~", TRUE, ITEquipmentTable[[#This Row],[Type]],ITEquipmentTable[[#This Row],[Brand]],ITEquipmentTable[[#This Row],[Model]]), "")</f>
        <v>Monitor~Acer~V206HQL</v>
      </c>
      <c r="J593" s="151" t="b">
        <f xml:space="preserve"> _xlfn.IFNA(MATCH( ITSecondTable[[#This Row],[Tag]], StorageTable[Tag], 0)  &gt; -1, FALSE)</f>
        <v>0</v>
      </c>
      <c r="K593" s="168" t="b">
        <f>COUNTIFS(ITEquipmentTable[Serial], ITEquipmentTable[[#This Row],[Serial]], ITEquipmentTable[Serial], "&lt;&gt;N/A") &gt; 1</f>
        <v>0</v>
      </c>
      <c r="L593" s="168" t="b">
        <f>COUNTIFS(ITEquipmentTable[Name], ITEquipmentTable[[#This Row],[Name]], ITEquipmentTable[Name], "&lt;&gt;&lt;Unassigned&gt;",  ITEquipmentTable[Name], "&lt;&gt;N/A") &gt; 1</f>
        <v>0</v>
      </c>
      <c r="M593" s="168" t="b">
        <f>AND(COUNTIFS(ITEquipmentTable[IPv4 Address], ITEquipmentTable[[#This Row],[IPv4 Address]]) &gt; 1, ITEquipmentTable[[#This Row],[IPv4 Address]] &lt;&gt; "DHCP",  ITEquipmentTable[[#This Row],[IPv4 Address]] &lt;&gt; "N/A")</f>
        <v>0</v>
      </c>
    </row>
    <row r="594" spans="1:13" x14ac:dyDescent="0.2">
      <c r="A594" s="168">
        <f>IF(LEN(ITSecondTable[[#This Row],[Tag]]) &gt; 0, _xlfn.XLOOKUP(ITSecondTable[[#This Row],[Tag]],StorageTable[Tag], StorageTable[In Storage - Count Total], "Err", 0, 1), 0)</f>
        <v>18</v>
      </c>
      <c r="B594" s="168">
        <f>_xlfn.LET(_xlpm.loc, ITEquipmentTable[Storage Location],
COUNTIFS(ITSecondTable[Tag], ITSecondTable[[#This Row],[Tag]], _xlpm.loc, "&lt;&gt;In Use", _xlpm.loc, "&lt;&gt;",  _xlpm.loc, "&lt;&gt;E-Waste", _xlpm.loc, "&lt;&gt;Virtual",  _xlpm.loc, "&lt;&gt;Assigned to Employee", _xlpm.loc, "&lt;&gt;Decommisioned", _xlpm.loc, "&lt;&gt;Missing")
)</f>
        <v>11</v>
      </c>
      <c r="C594" s="168">
        <f>_xlfn.LET(_xlpm.loc, ITEquipmentTable[Storage Location],
COUNTIFS(ITSecondTable[Tag], ITSecondTable[[#This Row],[Tag]], _xlpm.loc, "&lt;&gt;E-Waste", _xlpm.loc, "&lt;&gt;Virtual", _xlpm.loc, "&lt;&gt;Decommisioned")
)</f>
        <v>38</v>
      </c>
      <c r="D594" s="168">
        <f>_xlfn.LET(_xlpm.loc, ITEquipmentTable[Storage Location],
COUNTIFS(ITSecondTable[Tag], ITSecondTable[[#This Row],[Tag]], _xlpm.loc, "Missing")
)</f>
        <v>0</v>
      </c>
      <c r="E594" s="168">
        <f>_xlfn.LET(_xlpm.loc, ITEquipmentTable[Storage Location],
COUNTIFS(ITSecondTable[Tag], ITSecondTable[[#This Row],[Tag]], _xlpm.loc, "In Use") + COUNTIFS(ITSecondTable[Tag], ITSecondTable[[#This Row],[Tag]], _xlpm.loc, "Assigned to Employee")
)</f>
        <v>13</v>
      </c>
      <c r="F594" s="168">
        <f>_xlfn.LET(_xlpm.loc, ITEquipmentTable[Storage Location],
COUNTIFS(ITSecondTable[Tag], ITSecondTable[[#This Row],[Tag]], _xlpm.loc, "")
)</f>
        <v>14</v>
      </c>
      <c r="G594" s="168">
        <f>MAX(ITSecondTable[[#This Row],[SQty]] - ITSecondTable[[#This Row],[IQty]], 0)</f>
        <v>0</v>
      </c>
      <c r="H594" s="168">
        <f>MAX(ITSecondTable[[#This Row],[IQty]]-ITSecondTable[[#This Row],[SQty]], 0)</f>
        <v>7</v>
      </c>
      <c r="I594" s="151" t="str">
        <f>IFERROR(_xlfn.TEXTJOIN("~", TRUE, ITEquipmentTable[[#This Row],[Type]],ITEquipmentTable[[#This Row],[Brand]],ITEquipmentTable[[#This Row],[Model]]), "")</f>
        <v>Scanner~Honeywell~1911i</v>
      </c>
      <c r="J594" s="151" t="b">
        <f xml:space="preserve"> _xlfn.IFNA(MATCH( ITSecondTable[[#This Row],[Tag]], StorageTable[Tag], 0)  &gt; -1, FALSE)</f>
        <v>0</v>
      </c>
      <c r="K594" s="168" t="b">
        <f>COUNTIFS(ITEquipmentTable[Serial], ITEquipmentTable[[#This Row],[Serial]], ITEquipmentTable[Serial], "&lt;&gt;N/A") &gt; 1</f>
        <v>0</v>
      </c>
      <c r="L594" s="168" t="b">
        <f>COUNTIFS(ITEquipmentTable[Name], ITEquipmentTable[[#This Row],[Name]], ITEquipmentTable[Name], "&lt;&gt;&lt;Unassigned&gt;",  ITEquipmentTable[Name], "&lt;&gt;N/A") &gt; 1</f>
        <v>0</v>
      </c>
      <c r="M594" s="168" t="b">
        <f>AND(COUNTIFS(ITEquipmentTable[IPv4 Address], ITEquipmentTable[[#This Row],[IPv4 Address]]) &gt; 1, ITEquipmentTable[[#This Row],[IPv4 Address]] &lt;&gt; "DHCP",  ITEquipmentTable[[#This Row],[IPv4 Address]] &lt;&gt; "N/A")</f>
        <v>0</v>
      </c>
    </row>
    <row r="595" spans="1:13" x14ac:dyDescent="0.2">
      <c r="A595" s="168">
        <f>IF(LEN(ITSecondTable[[#This Row],[Tag]]) &gt; 0, _xlfn.XLOOKUP(ITSecondTable[[#This Row],[Tag]],StorageTable[Tag], StorageTable[In Storage - Count Total], "Err", 0, 1), 0)</f>
        <v>1</v>
      </c>
      <c r="B595" s="168">
        <f>_xlfn.LET(_xlpm.loc, ITEquipmentTable[Storage Location],
COUNTIFS(ITSecondTable[Tag], ITSecondTable[[#This Row],[Tag]], _xlpm.loc, "&lt;&gt;In Use", _xlpm.loc, "&lt;&gt;",  _xlpm.loc, "&lt;&gt;E-Waste", _xlpm.loc, "&lt;&gt;Virtual",  _xlpm.loc, "&lt;&gt;Assigned to Employee", _xlpm.loc, "&lt;&gt;Decommisioned", _xlpm.loc, "&lt;&gt;Missing")
)</f>
        <v>3</v>
      </c>
      <c r="C595" s="168">
        <f>_xlfn.LET(_xlpm.loc, ITEquipmentTable[Storage Location],
COUNTIFS(ITSecondTable[Tag], ITSecondTable[[#This Row],[Tag]], _xlpm.loc, "&lt;&gt;E-Waste", _xlpm.loc, "&lt;&gt;Virtual", _xlpm.loc, "&lt;&gt;Decommisioned")
)</f>
        <v>3</v>
      </c>
      <c r="D595" s="168">
        <f>_xlfn.LET(_xlpm.loc, ITEquipmentTable[Storage Location],
COUNTIFS(ITSecondTable[Tag], ITSecondTable[[#This Row],[Tag]], _xlpm.loc, "Missing")
)</f>
        <v>0</v>
      </c>
      <c r="E595" s="168">
        <f>_xlfn.LET(_xlpm.loc, ITEquipmentTable[Storage Location],
COUNTIFS(ITSecondTable[Tag], ITSecondTable[[#This Row],[Tag]], _xlpm.loc, "In Use") + COUNTIFS(ITSecondTable[Tag], ITSecondTable[[#This Row],[Tag]], _xlpm.loc, "Assigned to Employee")
)</f>
        <v>0</v>
      </c>
      <c r="F595" s="168">
        <f>_xlfn.LET(_xlpm.loc, ITEquipmentTable[Storage Location],
COUNTIFS(ITSecondTable[Tag], ITSecondTable[[#This Row],[Tag]], _xlpm.loc, "")
)</f>
        <v>0</v>
      </c>
      <c r="G595" s="168">
        <f>MAX(ITSecondTable[[#This Row],[SQty]] - ITSecondTable[[#This Row],[IQty]], 0)</f>
        <v>2</v>
      </c>
      <c r="H595" s="168">
        <f>MAX(ITSecondTable[[#This Row],[IQty]]-ITSecondTable[[#This Row],[SQty]], 0)</f>
        <v>0</v>
      </c>
      <c r="I595" s="151" t="str">
        <f>IFERROR(_xlfn.TEXTJOIN("~", TRUE, ITEquipmentTable[[#This Row],[Type]],ITEquipmentTable[[#This Row],[Brand]],ITEquipmentTable[[#This Row],[Model]]), "")</f>
        <v>Desktop~HP~HP rp5800 Retail System</v>
      </c>
      <c r="J595" s="151" t="b">
        <f xml:space="preserve"> _xlfn.IFNA(MATCH( ITSecondTable[[#This Row],[Tag]], StorageTable[Tag], 0)  &gt; -1, FALSE)</f>
        <v>0</v>
      </c>
      <c r="K595" s="168" t="b">
        <f>COUNTIFS(ITEquipmentTable[Serial], ITEquipmentTable[[#This Row],[Serial]], ITEquipmentTable[Serial], "&lt;&gt;N/A") &gt; 1</f>
        <v>0</v>
      </c>
      <c r="L595" s="168" t="b">
        <f>COUNTIFS(ITEquipmentTable[Name], ITEquipmentTable[[#This Row],[Name]], ITEquipmentTable[Name], "&lt;&gt;&lt;Unassigned&gt;",  ITEquipmentTable[Name], "&lt;&gt;N/A") &gt; 1</f>
        <v>0</v>
      </c>
      <c r="M595" s="168" t="b">
        <f>AND(COUNTIFS(ITEquipmentTable[IPv4 Address], ITEquipmentTable[[#This Row],[IPv4 Address]]) &gt; 1, ITEquipmentTable[[#This Row],[IPv4 Address]] &lt;&gt; "DHCP",  ITEquipmentTable[[#This Row],[IPv4 Address]] &lt;&gt; "N/A")</f>
        <v>0</v>
      </c>
    </row>
    <row r="596" spans="1:13" x14ac:dyDescent="0.2">
      <c r="A596" s="168">
        <f>IF(LEN(ITSecondTable[[#This Row],[Tag]]) &gt; 0, _xlfn.XLOOKUP(ITSecondTable[[#This Row],[Tag]],StorageTable[Tag], StorageTable[In Storage - Count Total], "Err", 0, 1), 0)</f>
        <v>25</v>
      </c>
      <c r="B596" s="168">
        <f>_xlfn.LET(_xlpm.loc, ITEquipmentTable[Storage Location],
COUNTIFS(ITSecondTable[Tag], ITSecondTable[[#This Row],[Tag]], _xlpm.loc, "&lt;&gt;In Use", _xlpm.loc, "&lt;&gt;",  _xlpm.loc, "&lt;&gt;E-Waste", _xlpm.loc, "&lt;&gt;Virtual",  _xlpm.loc, "&lt;&gt;Assigned to Employee", _xlpm.loc, "&lt;&gt;Decommisioned", _xlpm.loc, "&lt;&gt;Missing")
)</f>
        <v>36</v>
      </c>
      <c r="C596" s="168">
        <f>_xlfn.LET(_xlpm.loc, ITEquipmentTable[Storage Location],
COUNTIFS(ITSecondTable[Tag], ITSecondTable[[#This Row],[Tag]], _xlpm.loc, "&lt;&gt;E-Waste", _xlpm.loc, "&lt;&gt;Virtual", _xlpm.loc, "&lt;&gt;Decommisioned")
)</f>
        <v>41</v>
      </c>
      <c r="D596" s="168">
        <f>_xlfn.LET(_xlpm.loc, ITEquipmentTable[Storage Location],
COUNTIFS(ITSecondTable[Tag], ITSecondTable[[#This Row],[Tag]], _xlpm.loc, "Missing")
)</f>
        <v>0</v>
      </c>
      <c r="E596" s="168">
        <f>_xlfn.LET(_xlpm.loc, ITEquipmentTable[Storage Location],
COUNTIFS(ITSecondTable[Tag], ITSecondTable[[#This Row],[Tag]], _xlpm.loc, "In Use") + COUNTIFS(ITSecondTable[Tag], ITSecondTable[[#This Row],[Tag]], _xlpm.loc, "Assigned to Employee")
)</f>
        <v>5</v>
      </c>
      <c r="F596" s="168">
        <f>_xlfn.LET(_xlpm.loc, ITEquipmentTable[Storage Location],
COUNTIFS(ITSecondTable[Tag], ITSecondTable[[#This Row],[Tag]], _xlpm.loc, "")
)</f>
        <v>0</v>
      </c>
      <c r="G596" s="168">
        <f>MAX(ITSecondTable[[#This Row],[SQty]] - ITSecondTable[[#This Row],[IQty]], 0)</f>
        <v>11</v>
      </c>
      <c r="H596" s="168">
        <f>MAX(ITSecondTable[[#This Row],[IQty]]-ITSecondTable[[#This Row],[SQty]], 0)</f>
        <v>0</v>
      </c>
      <c r="I596" s="151" t="str">
        <f>IFERROR(_xlfn.TEXTJOIN("~", TRUE, ITEquipmentTable[[#This Row],[Type]],ITEquipmentTable[[#This Row],[Brand]],ITEquipmentTable[[#This Row],[Model]]), "")</f>
        <v>Monitor~Acer~V206HQL</v>
      </c>
      <c r="J596" s="151" t="b">
        <f xml:space="preserve"> _xlfn.IFNA(MATCH( ITSecondTable[[#This Row],[Tag]], StorageTable[Tag], 0)  &gt; -1, FALSE)</f>
        <v>0</v>
      </c>
      <c r="K596" s="168" t="b">
        <f>COUNTIFS(ITEquipmentTable[Serial], ITEquipmentTable[[#This Row],[Serial]], ITEquipmentTable[Serial], "&lt;&gt;N/A") &gt; 1</f>
        <v>0</v>
      </c>
      <c r="L596" s="168" t="b">
        <f>COUNTIFS(ITEquipmentTable[Name], ITEquipmentTable[[#This Row],[Name]], ITEquipmentTable[Name], "&lt;&gt;&lt;Unassigned&gt;",  ITEquipmentTable[Name], "&lt;&gt;N/A") &gt; 1</f>
        <v>0</v>
      </c>
      <c r="M596" s="168" t="b">
        <f>AND(COUNTIFS(ITEquipmentTable[IPv4 Address], ITEquipmentTable[[#This Row],[IPv4 Address]]) &gt; 1, ITEquipmentTable[[#This Row],[IPv4 Address]] &lt;&gt; "DHCP",  ITEquipmentTable[[#This Row],[IPv4 Address]] &lt;&gt; "N/A")</f>
        <v>0</v>
      </c>
    </row>
    <row r="597" spans="1:13" x14ac:dyDescent="0.2">
      <c r="A597" s="168">
        <f>IF(LEN(ITSecondTable[[#This Row],[Tag]]) &gt; 0, _xlfn.XLOOKUP(ITSecondTable[[#This Row],[Tag]],StorageTable[Tag], StorageTable[In Storage - Count Total], "Err", 0, 1), 0)</f>
        <v>25</v>
      </c>
      <c r="B597" s="168">
        <f>_xlfn.LET(_xlpm.loc, ITEquipmentTable[Storage Location],
COUNTIFS(ITSecondTable[Tag], ITSecondTable[[#This Row],[Tag]], _xlpm.loc, "&lt;&gt;In Use", _xlpm.loc, "&lt;&gt;",  _xlpm.loc, "&lt;&gt;E-Waste", _xlpm.loc, "&lt;&gt;Virtual",  _xlpm.loc, "&lt;&gt;Assigned to Employee", _xlpm.loc, "&lt;&gt;Decommisioned", _xlpm.loc, "&lt;&gt;Missing")
)</f>
        <v>36</v>
      </c>
      <c r="C597" s="168">
        <f>_xlfn.LET(_xlpm.loc, ITEquipmentTable[Storage Location],
COUNTIFS(ITSecondTable[Tag], ITSecondTable[[#This Row],[Tag]], _xlpm.loc, "&lt;&gt;E-Waste", _xlpm.loc, "&lt;&gt;Virtual", _xlpm.loc, "&lt;&gt;Decommisioned")
)</f>
        <v>41</v>
      </c>
      <c r="D597" s="168">
        <f>_xlfn.LET(_xlpm.loc, ITEquipmentTable[Storage Location],
COUNTIFS(ITSecondTable[Tag], ITSecondTable[[#This Row],[Tag]], _xlpm.loc, "Missing")
)</f>
        <v>0</v>
      </c>
      <c r="E597" s="168">
        <f>_xlfn.LET(_xlpm.loc, ITEquipmentTable[Storage Location],
COUNTIFS(ITSecondTable[Tag], ITSecondTable[[#This Row],[Tag]], _xlpm.loc, "In Use") + COUNTIFS(ITSecondTable[Tag], ITSecondTable[[#This Row],[Tag]], _xlpm.loc, "Assigned to Employee")
)</f>
        <v>5</v>
      </c>
      <c r="F597" s="168">
        <f>_xlfn.LET(_xlpm.loc, ITEquipmentTable[Storage Location],
COUNTIFS(ITSecondTable[Tag], ITSecondTable[[#This Row],[Tag]], _xlpm.loc, "")
)</f>
        <v>0</v>
      </c>
      <c r="G597" s="168">
        <f>MAX(ITSecondTable[[#This Row],[SQty]] - ITSecondTable[[#This Row],[IQty]], 0)</f>
        <v>11</v>
      </c>
      <c r="H597" s="168">
        <f>MAX(ITSecondTable[[#This Row],[IQty]]-ITSecondTable[[#This Row],[SQty]], 0)</f>
        <v>0</v>
      </c>
      <c r="I597" s="151" t="str">
        <f>IFERROR(_xlfn.TEXTJOIN("~", TRUE, ITEquipmentTable[[#This Row],[Type]],ITEquipmentTable[[#This Row],[Brand]],ITEquipmentTable[[#This Row],[Model]]), "")</f>
        <v>Monitor~Acer~V206HQL</v>
      </c>
      <c r="J597" s="151" t="b">
        <f xml:space="preserve"> _xlfn.IFNA(MATCH( ITSecondTable[[#This Row],[Tag]], StorageTable[Tag], 0)  &gt; -1, FALSE)</f>
        <v>0</v>
      </c>
      <c r="K597" s="168" t="b">
        <f>COUNTIFS(ITEquipmentTable[Serial], ITEquipmentTable[[#This Row],[Serial]], ITEquipmentTable[Serial], "&lt;&gt;N/A") &gt; 1</f>
        <v>0</v>
      </c>
      <c r="L597" s="168" t="b">
        <f>COUNTIFS(ITEquipmentTable[Name], ITEquipmentTable[[#This Row],[Name]], ITEquipmentTable[Name], "&lt;&gt;&lt;Unassigned&gt;",  ITEquipmentTable[Name], "&lt;&gt;N/A") &gt; 1</f>
        <v>0</v>
      </c>
      <c r="M597" s="168" t="b">
        <f>AND(COUNTIFS(ITEquipmentTable[IPv4 Address], ITEquipmentTable[[#This Row],[IPv4 Address]]) &gt; 1, ITEquipmentTable[[#This Row],[IPv4 Address]] &lt;&gt; "DHCP",  ITEquipmentTable[[#This Row],[IPv4 Address]] &lt;&gt; "N/A")</f>
        <v>0</v>
      </c>
    </row>
    <row r="598" spans="1:13" x14ac:dyDescent="0.2">
      <c r="A598" s="168">
        <f>IF(LEN(ITSecondTable[[#This Row],[Tag]]) &gt; 0, _xlfn.XLOOKUP(ITSecondTable[[#This Row],[Tag]],StorageTable[Tag], StorageTable[In Storage - Count Total], "Err", 0, 1), 0)</f>
        <v>30</v>
      </c>
      <c r="B598" s="168">
        <f>_xlfn.LET(_xlpm.loc, ITEquipmentTable[Storage Location],
COUNTIFS(ITSecondTable[Tag], ITSecondTable[[#This Row],[Tag]], _xlpm.loc, "&lt;&gt;In Use", _xlpm.loc, "&lt;&gt;",  _xlpm.loc, "&lt;&gt;E-Waste", _xlpm.loc, "&lt;&gt;Virtual",  _xlpm.loc, "&lt;&gt;Assigned to Employee", _xlpm.loc, "&lt;&gt;Decommisioned", _xlpm.loc, "&lt;&gt;Missing")
)</f>
        <v>21</v>
      </c>
      <c r="C598" s="168">
        <f>_xlfn.LET(_xlpm.loc, ITEquipmentTable[Storage Location],
COUNTIFS(ITSecondTable[Tag], ITSecondTable[[#This Row],[Tag]], _xlpm.loc, "&lt;&gt;E-Waste", _xlpm.loc, "&lt;&gt;Virtual", _xlpm.loc, "&lt;&gt;Decommisioned")
)</f>
        <v>33</v>
      </c>
      <c r="D598" s="168">
        <f>_xlfn.LET(_xlpm.loc, ITEquipmentTable[Storage Location],
COUNTIFS(ITSecondTable[Tag], ITSecondTable[[#This Row],[Tag]], _xlpm.loc, "Missing")
)</f>
        <v>0</v>
      </c>
      <c r="E598" s="168">
        <f>_xlfn.LET(_xlpm.loc, ITEquipmentTable[Storage Location],
COUNTIFS(ITSecondTable[Tag], ITSecondTable[[#This Row],[Tag]], _xlpm.loc, "In Use") + COUNTIFS(ITSecondTable[Tag], ITSecondTable[[#This Row],[Tag]], _xlpm.loc, "Assigned to Employee")
)</f>
        <v>12</v>
      </c>
      <c r="F598" s="168">
        <f>_xlfn.LET(_xlpm.loc, ITEquipmentTable[Storage Location],
COUNTIFS(ITSecondTable[Tag], ITSecondTable[[#This Row],[Tag]], _xlpm.loc, "")
)</f>
        <v>0</v>
      </c>
      <c r="G598" s="168">
        <f>MAX(ITSecondTable[[#This Row],[SQty]] - ITSecondTable[[#This Row],[IQty]], 0)</f>
        <v>0</v>
      </c>
      <c r="H598" s="168">
        <f>MAX(ITSecondTable[[#This Row],[IQty]]-ITSecondTable[[#This Row],[SQty]], 0)</f>
        <v>9</v>
      </c>
      <c r="I598" s="151" t="str">
        <f>IFERROR(_xlfn.TEXTJOIN("~", TRUE, ITEquipmentTable[[#This Row],[Type]],ITEquipmentTable[[#This Row],[Brand]],ITEquipmentTable[[#This Row],[Model]]), "")</f>
        <v>Scanner Base~Honeywell~CCB02-100BT-07N</v>
      </c>
      <c r="J598" s="151" t="b">
        <f xml:space="preserve"> _xlfn.IFNA(MATCH( ITSecondTable[[#This Row],[Tag]], StorageTable[Tag], 0)  &gt; -1, FALSE)</f>
        <v>0</v>
      </c>
      <c r="K598" s="168" t="b">
        <f>COUNTIFS(ITEquipmentTable[Serial], ITEquipmentTable[[#This Row],[Serial]], ITEquipmentTable[Serial], "&lt;&gt;N/A") &gt; 1</f>
        <v>0</v>
      </c>
      <c r="L598" s="168" t="b">
        <f>COUNTIFS(ITEquipmentTable[Name], ITEquipmentTable[[#This Row],[Name]], ITEquipmentTable[Name], "&lt;&gt;&lt;Unassigned&gt;",  ITEquipmentTable[Name], "&lt;&gt;N/A") &gt; 1</f>
        <v>0</v>
      </c>
      <c r="M598" s="168" t="b">
        <f>AND(COUNTIFS(ITEquipmentTable[IPv4 Address], ITEquipmentTable[[#This Row],[IPv4 Address]]) &gt; 1, ITEquipmentTable[[#This Row],[IPv4 Address]] &lt;&gt; "DHCP",  ITEquipmentTable[[#This Row],[IPv4 Address]] &lt;&gt; "N/A")</f>
        <v>0</v>
      </c>
    </row>
    <row r="599" spans="1:13" x14ac:dyDescent="0.2">
      <c r="A599" s="168">
        <f>IF(LEN(ITSecondTable[[#This Row],[Tag]]) &gt; 0, _xlfn.XLOOKUP(ITSecondTable[[#This Row],[Tag]],StorageTable[Tag], StorageTable[In Storage - Count Total], "Err", 0, 1), 0)</f>
        <v>8</v>
      </c>
      <c r="B599" s="168">
        <f>_xlfn.LET(_xlpm.loc, ITEquipmentTable[Storage Location],
COUNTIFS(ITSecondTable[Tag], ITSecondTable[[#This Row],[Tag]], _xlpm.loc, "&lt;&gt;In Use", _xlpm.loc, "&lt;&gt;",  _xlpm.loc, "&lt;&gt;E-Waste", _xlpm.loc, "&lt;&gt;Virtual",  _xlpm.loc, "&lt;&gt;Assigned to Employee", _xlpm.loc, "&lt;&gt;Decommisioned", _xlpm.loc, "&lt;&gt;Missing")
)</f>
        <v>9</v>
      </c>
      <c r="C599" s="168">
        <f>_xlfn.LET(_xlpm.loc, ITEquipmentTable[Storage Location],
COUNTIFS(ITSecondTable[Tag], ITSecondTable[[#This Row],[Tag]], _xlpm.loc, "&lt;&gt;E-Waste", _xlpm.loc, "&lt;&gt;Virtual", _xlpm.loc, "&lt;&gt;Decommisioned")
)</f>
        <v>40</v>
      </c>
      <c r="D599" s="168">
        <f>_xlfn.LET(_xlpm.loc, ITEquipmentTable[Storage Location],
COUNTIFS(ITSecondTable[Tag], ITSecondTable[[#This Row],[Tag]], _xlpm.loc, "Missing")
)</f>
        <v>0</v>
      </c>
      <c r="E599" s="168">
        <f>_xlfn.LET(_xlpm.loc, ITEquipmentTable[Storage Location],
COUNTIFS(ITSecondTable[Tag], ITSecondTable[[#This Row],[Tag]], _xlpm.loc, "In Use") + COUNTIFS(ITSecondTable[Tag], ITSecondTable[[#This Row],[Tag]], _xlpm.loc, "Assigned to Employee")
)</f>
        <v>23</v>
      </c>
      <c r="F599" s="168">
        <f>_xlfn.LET(_xlpm.loc, ITEquipmentTable[Storage Location],
COUNTIFS(ITSecondTable[Tag], ITSecondTable[[#This Row],[Tag]], _xlpm.loc, "")
)</f>
        <v>8</v>
      </c>
      <c r="G599" s="168">
        <f>MAX(ITSecondTable[[#This Row],[SQty]] - ITSecondTable[[#This Row],[IQty]], 0)</f>
        <v>1</v>
      </c>
      <c r="H599" s="168">
        <f>MAX(ITSecondTable[[#This Row],[IQty]]-ITSecondTable[[#This Row],[SQty]], 0)</f>
        <v>0</v>
      </c>
      <c r="I599" s="151" t="str">
        <f>IFERROR(_xlfn.TEXTJOIN("~", TRUE, ITEquipmentTable[[#This Row],[Type]],ITEquipmentTable[[#This Row],[Brand]],ITEquipmentTable[[#This Row],[Model]]), "")</f>
        <v>Printer~Sato~CL4NX</v>
      </c>
      <c r="J599" s="151" t="b">
        <f xml:space="preserve"> _xlfn.IFNA(MATCH( ITSecondTable[[#This Row],[Tag]], StorageTable[Tag], 0)  &gt; -1, FALSE)</f>
        <v>0</v>
      </c>
      <c r="K599" s="168" t="b">
        <f>COUNTIFS(ITEquipmentTable[Serial], ITEquipmentTable[[#This Row],[Serial]], ITEquipmentTable[Serial], "&lt;&gt;N/A") &gt; 1</f>
        <v>0</v>
      </c>
      <c r="L599" s="168" t="b">
        <f>COUNTIFS(ITEquipmentTable[Name], ITEquipmentTable[[#This Row],[Name]], ITEquipmentTable[Name], "&lt;&gt;&lt;Unassigned&gt;",  ITEquipmentTable[Name], "&lt;&gt;N/A") &gt; 1</f>
        <v>0</v>
      </c>
      <c r="M599" s="168" t="b">
        <f>AND(COUNTIFS(ITEquipmentTable[IPv4 Address], ITEquipmentTable[[#This Row],[IPv4 Address]]) &gt; 1, ITEquipmentTable[[#This Row],[IPv4 Address]] &lt;&gt; "DHCP",  ITEquipmentTable[[#This Row],[IPv4 Address]] &lt;&gt; "N/A")</f>
        <v>0</v>
      </c>
    </row>
    <row r="600" spans="1:13" x14ac:dyDescent="0.2">
      <c r="A600" s="168">
        <f>IF(LEN(ITSecondTable[[#This Row],[Tag]]) &gt; 0, _xlfn.XLOOKUP(ITSecondTable[[#This Row],[Tag]],StorageTable[Tag], StorageTable[In Storage - Count Total], "Err", 0, 1), 0)</f>
        <v>8</v>
      </c>
      <c r="B600" s="168">
        <f>_xlfn.LET(_xlpm.loc, ITEquipmentTable[Storage Location],
COUNTIFS(ITSecondTable[Tag], ITSecondTable[[#This Row],[Tag]], _xlpm.loc, "&lt;&gt;In Use", _xlpm.loc, "&lt;&gt;",  _xlpm.loc, "&lt;&gt;E-Waste", _xlpm.loc, "&lt;&gt;Virtual",  _xlpm.loc, "&lt;&gt;Assigned to Employee", _xlpm.loc, "&lt;&gt;Decommisioned", _xlpm.loc, "&lt;&gt;Missing")
)</f>
        <v>9</v>
      </c>
      <c r="C600" s="168">
        <f>_xlfn.LET(_xlpm.loc, ITEquipmentTable[Storage Location],
COUNTIFS(ITSecondTable[Tag], ITSecondTable[[#This Row],[Tag]], _xlpm.loc, "&lt;&gt;E-Waste", _xlpm.loc, "&lt;&gt;Virtual", _xlpm.loc, "&lt;&gt;Decommisioned")
)</f>
        <v>40</v>
      </c>
      <c r="D600" s="168">
        <f>_xlfn.LET(_xlpm.loc, ITEquipmentTable[Storage Location],
COUNTIFS(ITSecondTable[Tag], ITSecondTable[[#This Row],[Tag]], _xlpm.loc, "Missing")
)</f>
        <v>0</v>
      </c>
      <c r="E600" s="168">
        <f>_xlfn.LET(_xlpm.loc, ITEquipmentTable[Storage Location],
COUNTIFS(ITSecondTable[Tag], ITSecondTable[[#This Row],[Tag]], _xlpm.loc, "In Use") + COUNTIFS(ITSecondTable[Tag], ITSecondTable[[#This Row],[Tag]], _xlpm.loc, "Assigned to Employee")
)</f>
        <v>23</v>
      </c>
      <c r="F600" s="168">
        <f>_xlfn.LET(_xlpm.loc, ITEquipmentTable[Storage Location],
COUNTIFS(ITSecondTable[Tag], ITSecondTable[[#This Row],[Tag]], _xlpm.loc, "")
)</f>
        <v>8</v>
      </c>
      <c r="G600" s="168">
        <f>MAX(ITSecondTable[[#This Row],[SQty]] - ITSecondTable[[#This Row],[IQty]], 0)</f>
        <v>1</v>
      </c>
      <c r="H600" s="168">
        <f>MAX(ITSecondTable[[#This Row],[IQty]]-ITSecondTable[[#This Row],[SQty]], 0)</f>
        <v>0</v>
      </c>
      <c r="I600" s="151" t="str">
        <f>IFERROR(_xlfn.TEXTJOIN("~", TRUE, ITEquipmentTable[[#This Row],[Type]],ITEquipmentTable[[#This Row],[Brand]],ITEquipmentTable[[#This Row],[Model]]), "")</f>
        <v>Printer~Sato~CL4NX</v>
      </c>
      <c r="J600" s="151" t="b">
        <f xml:space="preserve"> _xlfn.IFNA(MATCH( ITSecondTable[[#This Row],[Tag]], StorageTable[Tag], 0)  &gt; -1, FALSE)</f>
        <v>0</v>
      </c>
      <c r="K600" s="168" t="b">
        <f>COUNTIFS(ITEquipmentTable[Serial], ITEquipmentTable[[#This Row],[Serial]], ITEquipmentTable[Serial], "&lt;&gt;N/A") &gt; 1</f>
        <v>0</v>
      </c>
      <c r="L600" s="168" t="b">
        <f>COUNTIFS(ITEquipmentTable[Name], ITEquipmentTable[[#This Row],[Name]], ITEquipmentTable[Name], "&lt;&gt;&lt;Unassigned&gt;",  ITEquipmentTable[Name], "&lt;&gt;N/A") &gt; 1</f>
        <v>0</v>
      </c>
      <c r="M600" s="168" t="b">
        <f>AND(COUNTIFS(ITEquipmentTable[IPv4 Address], ITEquipmentTable[[#This Row],[IPv4 Address]]) &gt; 1, ITEquipmentTable[[#This Row],[IPv4 Address]] &lt;&gt; "DHCP",  ITEquipmentTable[[#This Row],[IPv4 Address]] &lt;&gt; "N/A")</f>
        <v>0</v>
      </c>
    </row>
    <row r="601" spans="1:13" x14ac:dyDescent="0.2">
      <c r="A601" s="168">
        <f>IF(LEN(ITSecondTable[[#This Row],[Tag]]) &gt; 0, _xlfn.XLOOKUP(ITSecondTable[[#This Row],[Tag]],StorageTable[Tag], StorageTable[In Storage - Count Total], "Err", 0, 1), 0)</f>
        <v>8</v>
      </c>
      <c r="B601" s="168">
        <f>_xlfn.LET(_xlpm.loc, ITEquipmentTable[Storage Location],
COUNTIFS(ITSecondTable[Tag], ITSecondTable[[#This Row],[Tag]], _xlpm.loc, "&lt;&gt;In Use", _xlpm.loc, "&lt;&gt;",  _xlpm.loc, "&lt;&gt;E-Waste", _xlpm.loc, "&lt;&gt;Virtual",  _xlpm.loc, "&lt;&gt;Assigned to Employee", _xlpm.loc, "&lt;&gt;Decommisioned", _xlpm.loc, "&lt;&gt;Missing")
)</f>
        <v>9</v>
      </c>
      <c r="C601" s="168">
        <f>_xlfn.LET(_xlpm.loc, ITEquipmentTable[Storage Location],
COUNTIFS(ITSecondTable[Tag], ITSecondTable[[#This Row],[Tag]], _xlpm.loc, "&lt;&gt;E-Waste", _xlpm.loc, "&lt;&gt;Virtual", _xlpm.loc, "&lt;&gt;Decommisioned")
)</f>
        <v>40</v>
      </c>
      <c r="D601" s="168">
        <f>_xlfn.LET(_xlpm.loc, ITEquipmentTable[Storage Location],
COUNTIFS(ITSecondTable[Tag], ITSecondTable[[#This Row],[Tag]], _xlpm.loc, "Missing")
)</f>
        <v>0</v>
      </c>
      <c r="E601" s="168">
        <f>_xlfn.LET(_xlpm.loc, ITEquipmentTable[Storage Location],
COUNTIFS(ITSecondTable[Tag], ITSecondTable[[#This Row],[Tag]], _xlpm.loc, "In Use") + COUNTIFS(ITSecondTable[Tag], ITSecondTable[[#This Row],[Tag]], _xlpm.loc, "Assigned to Employee")
)</f>
        <v>23</v>
      </c>
      <c r="F601" s="168">
        <f>_xlfn.LET(_xlpm.loc, ITEquipmentTable[Storage Location],
COUNTIFS(ITSecondTable[Tag], ITSecondTable[[#This Row],[Tag]], _xlpm.loc, "")
)</f>
        <v>8</v>
      </c>
      <c r="G601" s="168">
        <f>MAX(ITSecondTable[[#This Row],[SQty]] - ITSecondTable[[#This Row],[IQty]], 0)</f>
        <v>1</v>
      </c>
      <c r="H601" s="168">
        <f>MAX(ITSecondTable[[#This Row],[IQty]]-ITSecondTable[[#This Row],[SQty]], 0)</f>
        <v>0</v>
      </c>
      <c r="I601" s="151" t="str">
        <f>IFERROR(_xlfn.TEXTJOIN("~", TRUE, ITEquipmentTable[[#This Row],[Type]],ITEquipmentTable[[#This Row],[Brand]],ITEquipmentTable[[#This Row],[Model]]), "")</f>
        <v>Printer~Sato~CL4NX</v>
      </c>
      <c r="J601" s="151" t="b">
        <f xml:space="preserve"> _xlfn.IFNA(MATCH( ITSecondTable[[#This Row],[Tag]], StorageTable[Tag], 0)  &gt; -1, FALSE)</f>
        <v>0</v>
      </c>
      <c r="K601" s="168" t="b">
        <f>COUNTIFS(ITEquipmentTable[Serial], ITEquipmentTable[[#This Row],[Serial]], ITEquipmentTable[Serial], "&lt;&gt;N/A") &gt; 1</f>
        <v>0</v>
      </c>
      <c r="L601" s="168" t="b">
        <f>COUNTIFS(ITEquipmentTable[Name], ITEquipmentTable[[#This Row],[Name]], ITEquipmentTable[Name], "&lt;&gt;&lt;Unassigned&gt;",  ITEquipmentTable[Name], "&lt;&gt;N/A") &gt; 1</f>
        <v>0</v>
      </c>
      <c r="M601" s="168" t="b">
        <f>AND(COUNTIFS(ITEquipmentTable[IPv4 Address], ITEquipmentTable[[#This Row],[IPv4 Address]]) &gt; 1, ITEquipmentTable[[#This Row],[IPv4 Address]] &lt;&gt; "DHCP",  ITEquipmentTable[[#This Row],[IPv4 Address]] &lt;&gt; "N/A")</f>
        <v>0</v>
      </c>
    </row>
    <row r="602" spans="1:13" x14ac:dyDescent="0.2">
      <c r="A602" s="168">
        <f>IF(LEN(ITSecondTable[[#This Row],[Tag]]) &gt; 0, _xlfn.XLOOKUP(ITSecondTable[[#This Row],[Tag]],StorageTable[Tag], StorageTable[In Storage - Count Total], "Err", 0, 1), 0)</f>
        <v>8</v>
      </c>
      <c r="B602" s="168">
        <f>_xlfn.LET(_xlpm.loc, ITEquipmentTable[Storage Location],
COUNTIFS(ITSecondTable[Tag], ITSecondTable[[#This Row],[Tag]], _xlpm.loc, "&lt;&gt;In Use", _xlpm.loc, "&lt;&gt;",  _xlpm.loc, "&lt;&gt;E-Waste", _xlpm.loc, "&lt;&gt;Virtual",  _xlpm.loc, "&lt;&gt;Assigned to Employee", _xlpm.loc, "&lt;&gt;Decommisioned", _xlpm.loc, "&lt;&gt;Missing")
)</f>
        <v>9</v>
      </c>
      <c r="C602" s="168">
        <f>_xlfn.LET(_xlpm.loc, ITEquipmentTable[Storage Location],
COUNTIFS(ITSecondTable[Tag], ITSecondTable[[#This Row],[Tag]], _xlpm.loc, "&lt;&gt;E-Waste", _xlpm.loc, "&lt;&gt;Virtual", _xlpm.loc, "&lt;&gt;Decommisioned")
)</f>
        <v>40</v>
      </c>
      <c r="D602" s="168">
        <f>_xlfn.LET(_xlpm.loc, ITEquipmentTable[Storage Location],
COUNTIFS(ITSecondTable[Tag], ITSecondTable[[#This Row],[Tag]], _xlpm.loc, "Missing")
)</f>
        <v>0</v>
      </c>
      <c r="E602" s="168">
        <f>_xlfn.LET(_xlpm.loc, ITEquipmentTable[Storage Location],
COUNTIFS(ITSecondTable[Tag], ITSecondTable[[#This Row],[Tag]], _xlpm.loc, "In Use") + COUNTIFS(ITSecondTable[Tag], ITSecondTable[[#This Row],[Tag]], _xlpm.loc, "Assigned to Employee")
)</f>
        <v>23</v>
      </c>
      <c r="F602" s="168">
        <f>_xlfn.LET(_xlpm.loc, ITEquipmentTable[Storage Location],
COUNTIFS(ITSecondTable[Tag], ITSecondTable[[#This Row],[Tag]], _xlpm.loc, "")
)</f>
        <v>8</v>
      </c>
      <c r="G602" s="168">
        <f>MAX(ITSecondTable[[#This Row],[SQty]] - ITSecondTable[[#This Row],[IQty]], 0)</f>
        <v>1</v>
      </c>
      <c r="H602" s="168">
        <f>MAX(ITSecondTable[[#This Row],[IQty]]-ITSecondTable[[#This Row],[SQty]], 0)</f>
        <v>0</v>
      </c>
      <c r="I602" s="151" t="str">
        <f>IFERROR(_xlfn.TEXTJOIN("~", TRUE, ITEquipmentTable[[#This Row],[Type]],ITEquipmentTable[[#This Row],[Brand]],ITEquipmentTable[[#This Row],[Model]]), "")</f>
        <v>Printer~Sato~CL4NX</v>
      </c>
      <c r="J602" s="151" t="b">
        <f xml:space="preserve"> _xlfn.IFNA(MATCH( ITSecondTable[[#This Row],[Tag]], StorageTable[Tag], 0)  &gt; -1, FALSE)</f>
        <v>0</v>
      </c>
      <c r="K602" s="168" t="b">
        <f>COUNTIFS(ITEquipmentTable[Serial], ITEquipmentTable[[#This Row],[Serial]], ITEquipmentTable[Serial], "&lt;&gt;N/A") &gt; 1</f>
        <v>0</v>
      </c>
      <c r="L602" s="168" t="b">
        <f>COUNTIFS(ITEquipmentTable[Name], ITEquipmentTable[[#This Row],[Name]], ITEquipmentTable[Name], "&lt;&gt;&lt;Unassigned&gt;",  ITEquipmentTable[Name], "&lt;&gt;N/A") &gt; 1</f>
        <v>0</v>
      </c>
      <c r="M602" s="168" t="b">
        <f>AND(COUNTIFS(ITEquipmentTable[IPv4 Address], ITEquipmentTable[[#This Row],[IPv4 Address]]) &gt; 1, ITEquipmentTable[[#This Row],[IPv4 Address]] &lt;&gt; "DHCP",  ITEquipmentTable[[#This Row],[IPv4 Address]] &lt;&gt; "N/A")</f>
        <v>0</v>
      </c>
    </row>
    <row r="603" spans="1:13" x14ac:dyDescent="0.2">
      <c r="A603" s="168">
        <f>IF(LEN(ITSecondTable[[#This Row],[Tag]]) &gt; 0, _xlfn.XLOOKUP(ITSecondTable[[#This Row],[Tag]],StorageTable[Tag], StorageTable[In Storage - Count Total], "Err", 0, 1), 0)</f>
        <v>8</v>
      </c>
      <c r="B603" s="168">
        <f>_xlfn.LET(_xlpm.loc, ITEquipmentTable[Storage Location],
COUNTIFS(ITSecondTable[Tag], ITSecondTable[[#This Row],[Tag]], _xlpm.loc, "&lt;&gt;In Use", _xlpm.loc, "&lt;&gt;",  _xlpm.loc, "&lt;&gt;E-Waste", _xlpm.loc, "&lt;&gt;Virtual",  _xlpm.loc, "&lt;&gt;Assigned to Employee", _xlpm.loc, "&lt;&gt;Decommisioned", _xlpm.loc, "&lt;&gt;Missing")
)</f>
        <v>9</v>
      </c>
      <c r="C603" s="168">
        <f>_xlfn.LET(_xlpm.loc, ITEquipmentTable[Storage Location],
COUNTIFS(ITSecondTable[Tag], ITSecondTable[[#This Row],[Tag]], _xlpm.loc, "&lt;&gt;E-Waste", _xlpm.loc, "&lt;&gt;Virtual", _xlpm.loc, "&lt;&gt;Decommisioned")
)</f>
        <v>40</v>
      </c>
      <c r="D603" s="168">
        <f>_xlfn.LET(_xlpm.loc, ITEquipmentTable[Storage Location],
COUNTIFS(ITSecondTable[Tag], ITSecondTable[[#This Row],[Tag]], _xlpm.loc, "Missing")
)</f>
        <v>0</v>
      </c>
      <c r="E603" s="168">
        <f>_xlfn.LET(_xlpm.loc, ITEquipmentTable[Storage Location],
COUNTIFS(ITSecondTable[Tag], ITSecondTable[[#This Row],[Tag]], _xlpm.loc, "In Use") + COUNTIFS(ITSecondTable[Tag], ITSecondTable[[#This Row],[Tag]], _xlpm.loc, "Assigned to Employee")
)</f>
        <v>23</v>
      </c>
      <c r="F603" s="168">
        <f>_xlfn.LET(_xlpm.loc, ITEquipmentTable[Storage Location],
COUNTIFS(ITSecondTable[Tag], ITSecondTable[[#This Row],[Tag]], _xlpm.loc, "")
)</f>
        <v>8</v>
      </c>
      <c r="G603" s="168">
        <f>MAX(ITSecondTable[[#This Row],[SQty]] - ITSecondTable[[#This Row],[IQty]], 0)</f>
        <v>1</v>
      </c>
      <c r="H603" s="168">
        <f>MAX(ITSecondTable[[#This Row],[IQty]]-ITSecondTable[[#This Row],[SQty]], 0)</f>
        <v>0</v>
      </c>
      <c r="I603" s="151" t="str">
        <f>IFERROR(_xlfn.TEXTJOIN("~", TRUE, ITEquipmentTable[[#This Row],[Type]],ITEquipmentTable[[#This Row],[Brand]],ITEquipmentTable[[#This Row],[Model]]), "")</f>
        <v>Printer~Sato~CL4NX</v>
      </c>
      <c r="J603" s="151" t="b">
        <f xml:space="preserve"> _xlfn.IFNA(MATCH( ITSecondTable[[#This Row],[Tag]], StorageTable[Tag], 0)  &gt; -1, FALSE)</f>
        <v>0</v>
      </c>
      <c r="K603" s="168" t="b">
        <f>COUNTIFS(ITEquipmentTable[Serial], ITEquipmentTable[[#This Row],[Serial]], ITEquipmentTable[Serial], "&lt;&gt;N/A") &gt; 1</f>
        <v>0</v>
      </c>
      <c r="L603" s="168" t="b">
        <f>COUNTIFS(ITEquipmentTable[Name], ITEquipmentTable[[#This Row],[Name]], ITEquipmentTable[Name], "&lt;&gt;&lt;Unassigned&gt;",  ITEquipmentTable[Name], "&lt;&gt;N/A") &gt; 1</f>
        <v>0</v>
      </c>
      <c r="M603" s="168" t="b">
        <f>AND(COUNTIFS(ITEquipmentTable[IPv4 Address], ITEquipmentTable[[#This Row],[IPv4 Address]]) &gt; 1, ITEquipmentTable[[#This Row],[IPv4 Address]] &lt;&gt; "DHCP",  ITEquipmentTable[[#This Row],[IPv4 Address]] &lt;&gt; "N/A")</f>
        <v>0</v>
      </c>
    </row>
    <row r="604" spans="1:13" x14ac:dyDescent="0.2">
      <c r="A604" s="168">
        <f>IF(LEN(ITSecondTable[[#This Row],[Tag]]) &gt; 0, _xlfn.XLOOKUP(ITSecondTable[[#This Row],[Tag]],StorageTable[Tag], StorageTable[In Storage - Count Total], "Err", 0, 1), 0)</f>
        <v>8</v>
      </c>
      <c r="B604" s="168">
        <f>_xlfn.LET(_xlpm.loc, ITEquipmentTable[Storage Location],
COUNTIFS(ITSecondTable[Tag], ITSecondTable[[#This Row],[Tag]], _xlpm.loc, "&lt;&gt;In Use", _xlpm.loc, "&lt;&gt;",  _xlpm.loc, "&lt;&gt;E-Waste", _xlpm.loc, "&lt;&gt;Virtual",  _xlpm.loc, "&lt;&gt;Assigned to Employee", _xlpm.loc, "&lt;&gt;Decommisioned", _xlpm.loc, "&lt;&gt;Missing")
)</f>
        <v>9</v>
      </c>
      <c r="C604" s="168">
        <f>_xlfn.LET(_xlpm.loc, ITEquipmentTable[Storage Location],
COUNTIFS(ITSecondTable[Tag], ITSecondTable[[#This Row],[Tag]], _xlpm.loc, "&lt;&gt;E-Waste", _xlpm.loc, "&lt;&gt;Virtual", _xlpm.loc, "&lt;&gt;Decommisioned")
)</f>
        <v>40</v>
      </c>
      <c r="D604" s="168">
        <f>_xlfn.LET(_xlpm.loc, ITEquipmentTable[Storage Location],
COUNTIFS(ITSecondTable[Tag], ITSecondTable[[#This Row],[Tag]], _xlpm.loc, "Missing")
)</f>
        <v>0</v>
      </c>
      <c r="E604" s="168">
        <f>_xlfn.LET(_xlpm.loc, ITEquipmentTable[Storage Location],
COUNTIFS(ITSecondTable[Tag], ITSecondTable[[#This Row],[Tag]], _xlpm.loc, "In Use") + COUNTIFS(ITSecondTable[Tag], ITSecondTable[[#This Row],[Tag]], _xlpm.loc, "Assigned to Employee")
)</f>
        <v>23</v>
      </c>
      <c r="F604" s="168">
        <f>_xlfn.LET(_xlpm.loc, ITEquipmentTable[Storage Location],
COUNTIFS(ITSecondTable[Tag], ITSecondTable[[#This Row],[Tag]], _xlpm.loc, "")
)</f>
        <v>8</v>
      </c>
      <c r="G604" s="168">
        <f>MAX(ITSecondTable[[#This Row],[SQty]] - ITSecondTable[[#This Row],[IQty]], 0)</f>
        <v>1</v>
      </c>
      <c r="H604" s="168">
        <f>MAX(ITSecondTable[[#This Row],[IQty]]-ITSecondTable[[#This Row],[SQty]], 0)</f>
        <v>0</v>
      </c>
      <c r="I604" s="151" t="str">
        <f>IFERROR(_xlfn.TEXTJOIN("~", TRUE, ITEquipmentTable[[#This Row],[Type]],ITEquipmentTable[[#This Row],[Brand]],ITEquipmentTable[[#This Row],[Model]]), "")</f>
        <v>Printer~Sato~CL4NX</v>
      </c>
      <c r="J604" s="151" t="b">
        <f xml:space="preserve"> _xlfn.IFNA(MATCH( ITSecondTable[[#This Row],[Tag]], StorageTable[Tag], 0)  &gt; -1, FALSE)</f>
        <v>0</v>
      </c>
      <c r="K604" s="168" t="b">
        <f>COUNTIFS(ITEquipmentTable[Serial], ITEquipmentTable[[#This Row],[Serial]], ITEquipmentTable[Serial], "&lt;&gt;N/A") &gt; 1</f>
        <v>0</v>
      </c>
      <c r="L604" s="168" t="b">
        <f>COUNTIFS(ITEquipmentTable[Name], ITEquipmentTable[[#This Row],[Name]], ITEquipmentTable[Name], "&lt;&gt;&lt;Unassigned&gt;",  ITEquipmentTable[Name], "&lt;&gt;N/A") &gt; 1</f>
        <v>0</v>
      </c>
      <c r="M604" s="168" t="b">
        <f>AND(COUNTIFS(ITEquipmentTable[IPv4 Address], ITEquipmentTable[[#This Row],[IPv4 Address]]) &gt; 1, ITEquipmentTable[[#This Row],[IPv4 Address]] &lt;&gt; "DHCP",  ITEquipmentTable[[#This Row],[IPv4 Address]] &lt;&gt; "N/A")</f>
        <v>0</v>
      </c>
    </row>
    <row r="605" spans="1:13" x14ac:dyDescent="0.2">
      <c r="A605" s="168">
        <f>IF(LEN(ITSecondTable[[#This Row],[Tag]]) &gt; 0, _xlfn.XLOOKUP(ITSecondTable[[#This Row],[Tag]],StorageTable[Tag], StorageTable[In Storage - Count Total], "Err", 0, 1), 0)</f>
        <v>25</v>
      </c>
      <c r="B605" s="168">
        <f>_xlfn.LET(_xlpm.loc, ITEquipmentTable[Storage Location],
COUNTIFS(ITSecondTable[Tag], ITSecondTable[[#This Row],[Tag]], _xlpm.loc, "&lt;&gt;In Use", _xlpm.loc, "&lt;&gt;",  _xlpm.loc, "&lt;&gt;E-Waste", _xlpm.loc, "&lt;&gt;Virtual",  _xlpm.loc, "&lt;&gt;Assigned to Employee", _xlpm.loc, "&lt;&gt;Decommisioned", _xlpm.loc, "&lt;&gt;Missing")
)</f>
        <v>36</v>
      </c>
      <c r="C605" s="168">
        <f>_xlfn.LET(_xlpm.loc, ITEquipmentTable[Storage Location],
COUNTIFS(ITSecondTable[Tag], ITSecondTable[[#This Row],[Tag]], _xlpm.loc, "&lt;&gt;E-Waste", _xlpm.loc, "&lt;&gt;Virtual", _xlpm.loc, "&lt;&gt;Decommisioned")
)</f>
        <v>41</v>
      </c>
      <c r="D605" s="168">
        <f>_xlfn.LET(_xlpm.loc, ITEquipmentTable[Storage Location],
COUNTIFS(ITSecondTable[Tag], ITSecondTable[[#This Row],[Tag]], _xlpm.loc, "Missing")
)</f>
        <v>0</v>
      </c>
      <c r="E605" s="168">
        <f>_xlfn.LET(_xlpm.loc, ITEquipmentTable[Storage Location],
COUNTIFS(ITSecondTable[Tag], ITSecondTable[[#This Row],[Tag]], _xlpm.loc, "In Use") + COUNTIFS(ITSecondTable[Tag], ITSecondTable[[#This Row],[Tag]], _xlpm.loc, "Assigned to Employee")
)</f>
        <v>5</v>
      </c>
      <c r="F605" s="168">
        <f>_xlfn.LET(_xlpm.loc, ITEquipmentTable[Storage Location],
COUNTIFS(ITSecondTable[Tag], ITSecondTable[[#This Row],[Tag]], _xlpm.loc, "")
)</f>
        <v>0</v>
      </c>
      <c r="G605" s="168">
        <f>MAX(ITSecondTable[[#This Row],[SQty]] - ITSecondTable[[#This Row],[IQty]], 0)</f>
        <v>11</v>
      </c>
      <c r="H605" s="168">
        <f>MAX(ITSecondTable[[#This Row],[IQty]]-ITSecondTable[[#This Row],[SQty]], 0)</f>
        <v>0</v>
      </c>
      <c r="I605" s="151" t="str">
        <f>IFERROR(_xlfn.TEXTJOIN("~", TRUE, ITEquipmentTable[[#This Row],[Type]],ITEquipmentTable[[#This Row],[Brand]],ITEquipmentTable[[#This Row],[Model]]), "")</f>
        <v>Monitor~Acer~V206HQL</v>
      </c>
      <c r="J605" s="151" t="b">
        <f xml:space="preserve"> _xlfn.IFNA(MATCH( ITSecondTable[[#This Row],[Tag]], StorageTable[Tag], 0)  &gt; -1, FALSE)</f>
        <v>0</v>
      </c>
      <c r="K605" s="168" t="b">
        <f>COUNTIFS(ITEquipmentTable[Serial], ITEquipmentTable[[#This Row],[Serial]], ITEquipmentTable[Serial], "&lt;&gt;N/A") &gt; 1</f>
        <v>0</v>
      </c>
      <c r="L605" s="168" t="b">
        <f>COUNTIFS(ITEquipmentTable[Name], ITEquipmentTable[[#This Row],[Name]], ITEquipmentTable[Name], "&lt;&gt;&lt;Unassigned&gt;",  ITEquipmentTable[Name], "&lt;&gt;N/A") &gt; 1</f>
        <v>0</v>
      </c>
      <c r="M605" s="168" t="b">
        <f>AND(COUNTIFS(ITEquipmentTable[IPv4 Address], ITEquipmentTable[[#This Row],[IPv4 Address]]) &gt; 1, ITEquipmentTable[[#This Row],[IPv4 Address]] &lt;&gt; "DHCP",  ITEquipmentTable[[#This Row],[IPv4 Address]] &lt;&gt; "N/A")</f>
        <v>0</v>
      </c>
    </row>
    <row r="606" spans="1:13" x14ac:dyDescent="0.2">
      <c r="A606" s="168">
        <f>IF(LEN(ITSecondTable[[#This Row],[Tag]]) &gt; 0, _xlfn.XLOOKUP(ITSecondTable[[#This Row],[Tag]],StorageTable[Tag], StorageTable[In Storage - Count Total], "Err", 0, 1), 0)</f>
        <v>25</v>
      </c>
      <c r="B606" s="168">
        <f>_xlfn.LET(_xlpm.loc, ITEquipmentTable[Storage Location],
COUNTIFS(ITSecondTable[Tag], ITSecondTable[[#This Row],[Tag]], _xlpm.loc, "&lt;&gt;In Use", _xlpm.loc, "&lt;&gt;",  _xlpm.loc, "&lt;&gt;E-Waste", _xlpm.loc, "&lt;&gt;Virtual",  _xlpm.loc, "&lt;&gt;Assigned to Employee", _xlpm.loc, "&lt;&gt;Decommisioned", _xlpm.loc, "&lt;&gt;Missing")
)</f>
        <v>36</v>
      </c>
      <c r="C606" s="168">
        <f>_xlfn.LET(_xlpm.loc, ITEquipmentTable[Storage Location],
COUNTIFS(ITSecondTable[Tag], ITSecondTable[[#This Row],[Tag]], _xlpm.loc, "&lt;&gt;E-Waste", _xlpm.loc, "&lt;&gt;Virtual", _xlpm.loc, "&lt;&gt;Decommisioned")
)</f>
        <v>41</v>
      </c>
      <c r="D606" s="168">
        <f>_xlfn.LET(_xlpm.loc, ITEquipmentTable[Storage Location],
COUNTIFS(ITSecondTable[Tag], ITSecondTable[[#This Row],[Tag]], _xlpm.loc, "Missing")
)</f>
        <v>0</v>
      </c>
      <c r="E606" s="168">
        <f>_xlfn.LET(_xlpm.loc, ITEquipmentTable[Storage Location],
COUNTIFS(ITSecondTable[Tag], ITSecondTable[[#This Row],[Tag]], _xlpm.loc, "In Use") + COUNTIFS(ITSecondTable[Tag], ITSecondTable[[#This Row],[Tag]], _xlpm.loc, "Assigned to Employee")
)</f>
        <v>5</v>
      </c>
      <c r="F606" s="168">
        <f>_xlfn.LET(_xlpm.loc, ITEquipmentTable[Storage Location],
COUNTIFS(ITSecondTable[Tag], ITSecondTable[[#This Row],[Tag]], _xlpm.loc, "")
)</f>
        <v>0</v>
      </c>
      <c r="G606" s="168">
        <f>MAX(ITSecondTable[[#This Row],[SQty]] - ITSecondTable[[#This Row],[IQty]], 0)</f>
        <v>11</v>
      </c>
      <c r="H606" s="168">
        <f>MAX(ITSecondTable[[#This Row],[IQty]]-ITSecondTable[[#This Row],[SQty]], 0)</f>
        <v>0</v>
      </c>
      <c r="I606" s="151" t="str">
        <f>IFERROR(_xlfn.TEXTJOIN("~", TRUE, ITEquipmentTable[[#This Row],[Type]],ITEquipmentTable[[#This Row],[Brand]],ITEquipmentTable[[#This Row],[Model]]), "")</f>
        <v>Monitor~Acer~V206HQL</v>
      </c>
      <c r="J606" s="151" t="b">
        <f xml:space="preserve"> _xlfn.IFNA(MATCH( ITSecondTable[[#This Row],[Tag]], StorageTable[Tag], 0)  &gt; -1, FALSE)</f>
        <v>0</v>
      </c>
      <c r="K606" s="168" t="b">
        <f>COUNTIFS(ITEquipmentTable[Serial], ITEquipmentTable[[#This Row],[Serial]], ITEquipmentTable[Serial], "&lt;&gt;N/A") &gt; 1</f>
        <v>0</v>
      </c>
      <c r="L606" s="168" t="b">
        <f>COUNTIFS(ITEquipmentTable[Name], ITEquipmentTable[[#This Row],[Name]], ITEquipmentTable[Name], "&lt;&gt;&lt;Unassigned&gt;",  ITEquipmentTable[Name], "&lt;&gt;N/A") &gt; 1</f>
        <v>0</v>
      </c>
      <c r="M606" s="168" t="b">
        <f>AND(COUNTIFS(ITEquipmentTable[IPv4 Address], ITEquipmentTable[[#This Row],[IPv4 Address]]) &gt; 1, ITEquipmentTable[[#This Row],[IPv4 Address]] &lt;&gt; "DHCP",  ITEquipmentTable[[#This Row],[IPv4 Address]] &lt;&gt; "N/A")</f>
        <v>0</v>
      </c>
    </row>
    <row r="607" spans="1:13" x14ac:dyDescent="0.2">
      <c r="A607" s="168">
        <f>IF(LEN(ITSecondTable[[#This Row],[Tag]]) &gt; 0, _xlfn.XLOOKUP(ITSecondTable[[#This Row],[Tag]],StorageTable[Tag], StorageTable[In Storage - Count Total], "Err", 0, 1), 0)</f>
        <v>2</v>
      </c>
      <c r="B607" s="168">
        <f>_xlfn.LET(_xlpm.loc, ITEquipmentTable[Storage Location],
COUNTIFS(ITSecondTable[Tag], ITSecondTable[[#This Row],[Tag]], _xlpm.loc, "&lt;&gt;In Use", _xlpm.loc, "&lt;&gt;",  _xlpm.loc, "&lt;&gt;E-Waste", _xlpm.loc, "&lt;&gt;Virtual",  _xlpm.loc, "&lt;&gt;Assigned to Employee", _xlpm.loc, "&lt;&gt;Decommisioned", _xlpm.loc, "&lt;&gt;Missing")
)</f>
        <v>0</v>
      </c>
      <c r="C607" s="168">
        <f>_xlfn.LET(_xlpm.loc, ITEquipmentTable[Storage Location],
COUNTIFS(ITSecondTable[Tag], ITSecondTable[[#This Row],[Tag]], _xlpm.loc, "&lt;&gt;E-Waste", _xlpm.loc, "&lt;&gt;Virtual", _xlpm.loc, "&lt;&gt;Decommisioned")
)</f>
        <v>2</v>
      </c>
      <c r="D607" s="168">
        <f>_xlfn.LET(_xlpm.loc, ITEquipmentTable[Storage Location],
COUNTIFS(ITSecondTable[Tag], ITSecondTable[[#This Row],[Tag]], _xlpm.loc, "Missing")
)</f>
        <v>0</v>
      </c>
      <c r="E607" s="168">
        <f>_xlfn.LET(_xlpm.loc, ITEquipmentTable[Storage Location],
COUNTIFS(ITSecondTable[Tag], ITSecondTable[[#This Row],[Tag]], _xlpm.loc, "In Use") + COUNTIFS(ITSecondTable[Tag], ITSecondTable[[#This Row],[Tag]], _xlpm.loc, "Assigned to Employee")
)</f>
        <v>2</v>
      </c>
      <c r="F607" s="168">
        <f>_xlfn.LET(_xlpm.loc, ITEquipmentTable[Storage Location],
COUNTIFS(ITSecondTable[Tag], ITSecondTable[[#This Row],[Tag]], _xlpm.loc, "")
)</f>
        <v>0</v>
      </c>
      <c r="G607" s="168">
        <f>MAX(ITSecondTable[[#This Row],[SQty]] - ITSecondTable[[#This Row],[IQty]], 0)</f>
        <v>0</v>
      </c>
      <c r="H607" s="168">
        <f>MAX(ITSecondTable[[#This Row],[IQty]]-ITSecondTable[[#This Row],[SQty]], 0)</f>
        <v>2</v>
      </c>
      <c r="I607" s="151" t="str">
        <f>IFERROR(_xlfn.TEXTJOIN("~", TRUE, ITEquipmentTable[[#This Row],[Type]],ITEquipmentTable[[#This Row],[Brand]],ITEquipmentTable[[#This Row],[Model]]), "")</f>
        <v>Scanner~Zebra~DS3878</v>
      </c>
      <c r="J607" s="151" t="b">
        <f xml:space="preserve"> _xlfn.IFNA(MATCH( ITSecondTable[[#This Row],[Tag]], StorageTable[Tag], 0)  &gt; -1, FALSE)</f>
        <v>0</v>
      </c>
      <c r="K607" s="168" t="b">
        <f>COUNTIFS(ITEquipmentTable[Serial], ITEquipmentTable[[#This Row],[Serial]], ITEquipmentTable[Serial], "&lt;&gt;N/A") &gt; 1</f>
        <v>0</v>
      </c>
      <c r="L607" s="168" t="b">
        <f>COUNTIFS(ITEquipmentTable[Name], ITEquipmentTable[[#This Row],[Name]], ITEquipmentTable[Name], "&lt;&gt;&lt;Unassigned&gt;",  ITEquipmentTable[Name], "&lt;&gt;N/A") &gt; 1</f>
        <v>0</v>
      </c>
      <c r="M607" s="168" t="b">
        <f>AND(COUNTIFS(ITEquipmentTable[IPv4 Address], ITEquipmentTable[[#This Row],[IPv4 Address]]) &gt; 1, ITEquipmentTable[[#This Row],[IPv4 Address]] &lt;&gt; "DHCP",  ITEquipmentTable[[#This Row],[IPv4 Address]] &lt;&gt; "N/A")</f>
        <v>0</v>
      </c>
    </row>
    <row r="608" spans="1:13" x14ac:dyDescent="0.2">
      <c r="A608" s="168">
        <f>IF(LEN(ITSecondTable[[#This Row],[Tag]]) &gt; 0, _xlfn.XLOOKUP(ITSecondTable[[#This Row],[Tag]],StorageTable[Tag], StorageTable[In Storage - Count Total], "Err", 0, 1), 0)</f>
        <v>0</v>
      </c>
      <c r="B608" s="168">
        <f>_xlfn.LET(_xlpm.loc, ITEquipmentTable[Storage Location],
COUNTIFS(ITSecondTable[Tag], ITSecondTable[[#This Row],[Tag]], _xlpm.loc, "&lt;&gt;In Use", _xlpm.loc, "&lt;&gt;",  _xlpm.loc, "&lt;&gt;E-Waste", _xlpm.loc, "&lt;&gt;Virtual",  _xlpm.loc, "&lt;&gt;Assigned to Employee", _xlpm.loc, "&lt;&gt;Decommisioned", _xlpm.loc, "&lt;&gt;Missing")
)</f>
        <v>0</v>
      </c>
      <c r="C608" s="168">
        <f>_xlfn.LET(_xlpm.loc, ITEquipmentTable[Storage Location],
COUNTIFS(ITSecondTable[Tag], ITSecondTable[[#This Row],[Tag]], _xlpm.loc, "&lt;&gt;E-Waste", _xlpm.loc, "&lt;&gt;Virtual", _xlpm.loc, "&lt;&gt;Decommisioned")
)</f>
        <v>1</v>
      </c>
      <c r="D608" s="168">
        <f>_xlfn.LET(_xlpm.loc, ITEquipmentTable[Storage Location],
COUNTIFS(ITSecondTable[Tag], ITSecondTable[[#This Row],[Tag]], _xlpm.loc, "Missing")
)</f>
        <v>0</v>
      </c>
      <c r="E608" s="168">
        <f>_xlfn.LET(_xlpm.loc, ITEquipmentTable[Storage Location],
COUNTIFS(ITSecondTable[Tag], ITSecondTable[[#This Row],[Tag]], _xlpm.loc, "In Use") + COUNTIFS(ITSecondTable[Tag], ITSecondTable[[#This Row],[Tag]], _xlpm.loc, "Assigned to Employee")
)</f>
        <v>1</v>
      </c>
      <c r="F608" s="168">
        <f>_xlfn.LET(_xlpm.loc, ITEquipmentTable[Storage Location],
COUNTIFS(ITSecondTable[Tag], ITSecondTable[[#This Row],[Tag]], _xlpm.loc, "")
)</f>
        <v>0</v>
      </c>
      <c r="G608" s="168">
        <f>MAX(ITSecondTable[[#This Row],[SQty]] - ITSecondTable[[#This Row],[IQty]], 0)</f>
        <v>0</v>
      </c>
      <c r="H608" s="168">
        <f>MAX(ITSecondTable[[#This Row],[IQty]]-ITSecondTable[[#This Row],[SQty]], 0)</f>
        <v>0</v>
      </c>
      <c r="I608" s="151" t="str">
        <f>IFERROR(_xlfn.TEXTJOIN("~", TRUE, ITEquipmentTable[[#This Row],[Type]],ITEquipmentTable[[#This Row],[Brand]],ITEquipmentTable[[#This Row],[Model]]), "")</f>
        <v>TV~Vizio~V505-G9</v>
      </c>
      <c r="J608" s="151" t="b">
        <f xml:space="preserve"> _xlfn.IFNA(MATCH( ITSecondTable[[#This Row],[Tag]], StorageTable[Tag], 0)  &gt; -1, FALSE)</f>
        <v>0</v>
      </c>
      <c r="K608" s="168" t="b">
        <f>COUNTIFS(ITEquipmentTable[Serial], ITEquipmentTable[[#This Row],[Serial]], ITEquipmentTable[Serial], "&lt;&gt;N/A") &gt; 1</f>
        <v>0</v>
      </c>
      <c r="L608" s="168" t="b">
        <f>COUNTIFS(ITEquipmentTable[Name], ITEquipmentTable[[#This Row],[Name]], ITEquipmentTable[Name], "&lt;&gt;&lt;Unassigned&gt;",  ITEquipmentTable[Name], "&lt;&gt;N/A") &gt; 1</f>
        <v>0</v>
      </c>
      <c r="M608" s="168" t="b">
        <f>AND(COUNTIFS(ITEquipmentTable[IPv4 Address], ITEquipmentTable[[#This Row],[IPv4 Address]]) &gt; 1, ITEquipmentTable[[#This Row],[IPv4 Address]] &lt;&gt; "DHCP",  ITEquipmentTable[[#This Row],[IPv4 Address]] &lt;&gt; "N/A")</f>
        <v>0</v>
      </c>
    </row>
    <row r="609" spans="1:13" x14ac:dyDescent="0.2">
      <c r="A609" s="168">
        <f>IF(LEN(ITSecondTable[[#This Row],[Tag]]) &gt; 0, _xlfn.XLOOKUP(ITSecondTable[[#This Row],[Tag]],StorageTable[Tag], StorageTable[In Storage - Count Total], "Err", 0, 1), 0)</f>
        <v>0</v>
      </c>
      <c r="B609" s="168">
        <f>_xlfn.LET(_xlpm.loc, ITEquipmentTable[Storage Location],
COUNTIFS(ITSecondTable[Tag], ITSecondTable[[#This Row],[Tag]], _xlpm.loc, "&lt;&gt;In Use", _xlpm.loc, "&lt;&gt;",  _xlpm.loc, "&lt;&gt;E-Waste", _xlpm.loc, "&lt;&gt;Virtual",  _xlpm.loc, "&lt;&gt;Assigned to Employee", _xlpm.loc, "&lt;&gt;Decommisioned", _xlpm.loc, "&lt;&gt;Missing")
)</f>
        <v>11</v>
      </c>
      <c r="C609" s="168">
        <f>_xlfn.LET(_xlpm.loc, ITEquipmentTable[Storage Location],
COUNTIFS(ITSecondTable[Tag], ITSecondTable[[#This Row],[Tag]], _xlpm.loc, "&lt;&gt;E-Waste", _xlpm.loc, "&lt;&gt;Virtual", _xlpm.loc, "&lt;&gt;Decommisioned")
)</f>
        <v>11</v>
      </c>
      <c r="D609" s="168">
        <f>_xlfn.LET(_xlpm.loc, ITEquipmentTable[Storage Location],
COUNTIFS(ITSecondTable[Tag], ITSecondTable[[#This Row],[Tag]], _xlpm.loc, "Missing")
)</f>
        <v>0</v>
      </c>
      <c r="E609" s="168">
        <f>_xlfn.LET(_xlpm.loc, ITEquipmentTable[Storage Location],
COUNTIFS(ITSecondTable[Tag], ITSecondTable[[#This Row],[Tag]], _xlpm.loc, "In Use") + COUNTIFS(ITSecondTable[Tag], ITSecondTable[[#This Row],[Tag]], _xlpm.loc, "Assigned to Employee")
)</f>
        <v>0</v>
      </c>
      <c r="F609" s="168">
        <f>_xlfn.LET(_xlpm.loc, ITEquipmentTable[Storage Location],
COUNTIFS(ITSecondTable[Tag], ITSecondTable[[#This Row],[Tag]], _xlpm.loc, "")
)</f>
        <v>0</v>
      </c>
      <c r="G609" s="168">
        <f>MAX(ITSecondTable[[#This Row],[SQty]] - ITSecondTable[[#This Row],[IQty]], 0)</f>
        <v>11</v>
      </c>
      <c r="H609" s="168">
        <f>MAX(ITSecondTable[[#This Row],[IQty]]-ITSecondTable[[#This Row],[SQty]], 0)</f>
        <v>0</v>
      </c>
      <c r="I609" s="151" t="str">
        <f>IFERROR(_xlfn.TEXTJOIN("~", TRUE, ITEquipmentTable[[#This Row],[Type]],ITEquipmentTable[[#This Row],[Brand]],ITEquipmentTable[[#This Row],[Model]]), "")</f>
        <v>APC~APC~BE850M2</v>
      </c>
      <c r="J609" s="151" t="b">
        <f xml:space="preserve"> _xlfn.IFNA(MATCH( ITSecondTable[[#This Row],[Tag]], StorageTable[Tag], 0)  &gt; -1, FALSE)</f>
        <v>0</v>
      </c>
      <c r="K609" s="168" t="b">
        <f>COUNTIFS(ITEquipmentTable[Serial], ITEquipmentTable[[#This Row],[Serial]], ITEquipmentTable[Serial], "&lt;&gt;N/A") &gt; 1</f>
        <v>0</v>
      </c>
      <c r="L609" s="168" t="b">
        <f>COUNTIFS(ITEquipmentTable[Name], ITEquipmentTable[[#This Row],[Name]], ITEquipmentTable[Name], "&lt;&gt;&lt;Unassigned&gt;",  ITEquipmentTable[Name], "&lt;&gt;N/A") &gt; 1</f>
        <v>0</v>
      </c>
      <c r="M609" s="168" t="b">
        <f>AND(COUNTIFS(ITEquipmentTable[IPv4 Address], ITEquipmentTable[[#This Row],[IPv4 Address]]) &gt; 1, ITEquipmentTable[[#This Row],[IPv4 Address]] &lt;&gt; "DHCP",  ITEquipmentTable[[#This Row],[IPv4 Address]] &lt;&gt; "N/A")</f>
        <v>0</v>
      </c>
    </row>
    <row r="610" spans="1:13" x14ac:dyDescent="0.2">
      <c r="A610" s="168">
        <f>IF(LEN(ITSecondTable[[#This Row],[Tag]]) &gt; 0, _xlfn.XLOOKUP(ITSecondTable[[#This Row],[Tag]],StorageTable[Tag], StorageTable[In Storage - Count Total], "Err", 0, 1), 0)</f>
        <v>9</v>
      </c>
      <c r="B610" s="168">
        <f>_xlfn.LET(_xlpm.loc, ITEquipmentTable[Storage Location],
COUNTIFS(ITSecondTable[Tag], ITSecondTable[[#This Row],[Tag]], _xlpm.loc, "&lt;&gt;In Use", _xlpm.loc, "&lt;&gt;",  _xlpm.loc, "&lt;&gt;E-Waste", _xlpm.loc, "&lt;&gt;Virtual",  _xlpm.loc, "&lt;&gt;Assigned to Employee", _xlpm.loc, "&lt;&gt;Decommisioned", _xlpm.loc, "&lt;&gt;Missing")
)</f>
        <v>11</v>
      </c>
      <c r="C610" s="168">
        <f>_xlfn.LET(_xlpm.loc, ITEquipmentTable[Storage Location],
COUNTIFS(ITSecondTable[Tag], ITSecondTable[[#This Row],[Tag]], _xlpm.loc, "&lt;&gt;E-Waste", _xlpm.loc, "&lt;&gt;Virtual", _xlpm.loc, "&lt;&gt;Decommisioned")
)</f>
        <v>24</v>
      </c>
      <c r="D610" s="168">
        <f>_xlfn.LET(_xlpm.loc, ITEquipmentTable[Storage Location],
COUNTIFS(ITSecondTable[Tag], ITSecondTable[[#This Row],[Tag]], _xlpm.loc, "Missing")
)</f>
        <v>0</v>
      </c>
      <c r="E610" s="168">
        <f>_xlfn.LET(_xlpm.loc, ITEquipmentTable[Storage Location],
COUNTIFS(ITSecondTable[Tag], ITSecondTable[[#This Row],[Tag]], _xlpm.loc, "In Use") + COUNTIFS(ITSecondTable[Tag], ITSecondTable[[#This Row],[Tag]], _xlpm.loc, "Assigned to Employee")
)</f>
        <v>13</v>
      </c>
      <c r="F610" s="168">
        <f>_xlfn.LET(_xlpm.loc, ITEquipmentTable[Storage Location],
COUNTIFS(ITSecondTable[Tag], ITSecondTable[[#This Row],[Tag]], _xlpm.loc, "")
)</f>
        <v>0</v>
      </c>
      <c r="G610" s="168">
        <f>MAX(ITSecondTable[[#This Row],[SQty]] - ITSecondTable[[#This Row],[IQty]], 0)</f>
        <v>2</v>
      </c>
      <c r="H610" s="168">
        <f>MAX(ITSecondTable[[#This Row],[IQty]]-ITSecondTable[[#This Row],[SQty]], 0)</f>
        <v>0</v>
      </c>
      <c r="I610" s="151" t="str">
        <f>IFERROR(_xlfn.TEXTJOIN("~", TRUE, ITEquipmentTable[[#This Row],[Type]],ITEquipmentTable[[#This Row],[Brand]],ITEquipmentTable[[#This Row],[Model]]), "")</f>
        <v>Monitor~HP~HP P224 Monitor</v>
      </c>
      <c r="J610" s="151" t="b">
        <f xml:space="preserve"> _xlfn.IFNA(MATCH( ITSecondTable[[#This Row],[Tag]], StorageTable[Tag], 0)  &gt; -1, FALSE)</f>
        <v>0</v>
      </c>
      <c r="K610" s="168" t="b">
        <f>COUNTIFS(ITEquipmentTable[Serial], ITEquipmentTable[[#This Row],[Serial]], ITEquipmentTable[Serial], "&lt;&gt;N/A") &gt; 1</f>
        <v>0</v>
      </c>
      <c r="L610" s="168" t="b">
        <f>COUNTIFS(ITEquipmentTable[Name], ITEquipmentTable[[#This Row],[Name]], ITEquipmentTable[Name], "&lt;&gt;&lt;Unassigned&gt;",  ITEquipmentTable[Name], "&lt;&gt;N/A") &gt; 1</f>
        <v>0</v>
      </c>
      <c r="M610" s="168" t="b">
        <f>AND(COUNTIFS(ITEquipmentTable[IPv4 Address], ITEquipmentTable[[#This Row],[IPv4 Address]]) &gt; 1, ITEquipmentTable[[#This Row],[IPv4 Address]] &lt;&gt; "DHCP",  ITEquipmentTable[[#This Row],[IPv4 Address]] &lt;&gt; "N/A")</f>
        <v>0</v>
      </c>
    </row>
    <row r="611" spans="1:13" x14ac:dyDescent="0.2">
      <c r="A611" s="168">
        <f>IF(LEN(ITSecondTable[[#This Row],[Tag]]) &gt; 0, _xlfn.XLOOKUP(ITSecondTable[[#This Row],[Tag]],StorageTable[Tag], StorageTable[In Storage - Count Total], "Err", 0, 1), 0)</f>
        <v>9</v>
      </c>
      <c r="B611" s="168">
        <f>_xlfn.LET(_xlpm.loc, ITEquipmentTable[Storage Location],
COUNTIFS(ITSecondTable[Tag], ITSecondTable[[#This Row],[Tag]], _xlpm.loc, "&lt;&gt;In Use", _xlpm.loc, "&lt;&gt;",  _xlpm.loc, "&lt;&gt;E-Waste", _xlpm.loc, "&lt;&gt;Virtual",  _xlpm.loc, "&lt;&gt;Assigned to Employee", _xlpm.loc, "&lt;&gt;Decommisioned", _xlpm.loc, "&lt;&gt;Missing")
)</f>
        <v>11</v>
      </c>
      <c r="C611" s="168">
        <f>_xlfn.LET(_xlpm.loc, ITEquipmentTable[Storage Location],
COUNTIFS(ITSecondTable[Tag], ITSecondTable[[#This Row],[Tag]], _xlpm.loc, "&lt;&gt;E-Waste", _xlpm.loc, "&lt;&gt;Virtual", _xlpm.loc, "&lt;&gt;Decommisioned")
)</f>
        <v>24</v>
      </c>
      <c r="D611" s="168">
        <f>_xlfn.LET(_xlpm.loc, ITEquipmentTable[Storage Location],
COUNTIFS(ITSecondTable[Tag], ITSecondTable[[#This Row],[Tag]], _xlpm.loc, "Missing")
)</f>
        <v>0</v>
      </c>
      <c r="E611" s="168">
        <f>_xlfn.LET(_xlpm.loc, ITEquipmentTable[Storage Location],
COUNTIFS(ITSecondTable[Tag], ITSecondTable[[#This Row],[Tag]], _xlpm.loc, "In Use") + COUNTIFS(ITSecondTable[Tag], ITSecondTable[[#This Row],[Tag]], _xlpm.loc, "Assigned to Employee")
)</f>
        <v>13</v>
      </c>
      <c r="F611" s="168">
        <f>_xlfn.LET(_xlpm.loc, ITEquipmentTable[Storage Location],
COUNTIFS(ITSecondTable[Tag], ITSecondTable[[#This Row],[Tag]], _xlpm.loc, "")
)</f>
        <v>0</v>
      </c>
      <c r="G611" s="168">
        <f>MAX(ITSecondTable[[#This Row],[SQty]] - ITSecondTable[[#This Row],[IQty]], 0)</f>
        <v>2</v>
      </c>
      <c r="H611" s="168">
        <f>MAX(ITSecondTable[[#This Row],[IQty]]-ITSecondTable[[#This Row],[SQty]], 0)</f>
        <v>0</v>
      </c>
      <c r="I611" s="151" t="str">
        <f>IFERROR(_xlfn.TEXTJOIN("~", TRUE, ITEquipmentTable[[#This Row],[Type]],ITEquipmentTable[[#This Row],[Brand]],ITEquipmentTable[[#This Row],[Model]]), "")</f>
        <v>Monitor~HP~HP P224 Monitor</v>
      </c>
      <c r="J611" s="151" t="b">
        <f xml:space="preserve"> _xlfn.IFNA(MATCH( ITSecondTable[[#This Row],[Tag]], StorageTable[Tag], 0)  &gt; -1, FALSE)</f>
        <v>0</v>
      </c>
      <c r="K611" s="168" t="b">
        <f>COUNTIFS(ITEquipmentTable[Serial], ITEquipmentTable[[#This Row],[Serial]], ITEquipmentTable[Serial], "&lt;&gt;N/A") &gt; 1</f>
        <v>0</v>
      </c>
      <c r="L611" s="168" t="b">
        <f>COUNTIFS(ITEquipmentTable[Name], ITEquipmentTable[[#This Row],[Name]], ITEquipmentTable[Name], "&lt;&gt;&lt;Unassigned&gt;",  ITEquipmentTable[Name], "&lt;&gt;N/A") &gt; 1</f>
        <v>0</v>
      </c>
      <c r="M611" s="168" t="b">
        <f>AND(COUNTIFS(ITEquipmentTable[IPv4 Address], ITEquipmentTable[[#This Row],[IPv4 Address]]) &gt; 1, ITEquipmentTable[[#This Row],[IPv4 Address]] &lt;&gt; "DHCP",  ITEquipmentTable[[#This Row],[IPv4 Address]] &lt;&gt; "N/A")</f>
        <v>0</v>
      </c>
    </row>
    <row r="612" spans="1:13" x14ac:dyDescent="0.2">
      <c r="A612" s="168">
        <f>IF(LEN(ITSecondTable[[#This Row],[Tag]]) &gt; 0, _xlfn.XLOOKUP(ITSecondTable[[#This Row],[Tag]],StorageTable[Tag], StorageTable[In Storage - Count Total], "Err", 0, 1), 0)</f>
        <v>9</v>
      </c>
      <c r="B612" s="168">
        <f>_xlfn.LET(_xlpm.loc, ITEquipmentTable[Storage Location],
COUNTIFS(ITSecondTable[Tag], ITSecondTable[[#This Row],[Tag]], _xlpm.loc, "&lt;&gt;In Use", _xlpm.loc, "&lt;&gt;",  _xlpm.loc, "&lt;&gt;E-Waste", _xlpm.loc, "&lt;&gt;Virtual",  _xlpm.loc, "&lt;&gt;Assigned to Employee", _xlpm.loc, "&lt;&gt;Decommisioned", _xlpm.loc, "&lt;&gt;Missing")
)</f>
        <v>11</v>
      </c>
      <c r="C612" s="168">
        <f>_xlfn.LET(_xlpm.loc, ITEquipmentTable[Storage Location],
COUNTIFS(ITSecondTable[Tag], ITSecondTable[[#This Row],[Tag]], _xlpm.loc, "&lt;&gt;E-Waste", _xlpm.loc, "&lt;&gt;Virtual", _xlpm.loc, "&lt;&gt;Decommisioned")
)</f>
        <v>24</v>
      </c>
      <c r="D612" s="168">
        <f>_xlfn.LET(_xlpm.loc, ITEquipmentTable[Storage Location],
COUNTIFS(ITSecondTable[Tag], ITSecondTable[[#This Row],[Tag]], _xlpm.loc, "Missing")
)</f>
        <v>0</v>
      </c>
      <c r="E612" s="168">
        <f>_xlfn.LET(_xlpm.loc, ITEquipmentTable[Storage Location],
COUNTIFS(ITSecondTable[Tag], ITSecondTable[[#This Row],[Tag]], _xlpm.loc, "In Use") + COUNTIFS(ITSecondTable[Tag], ITSecondTable[[#This Row],[Tag]], _xlpm.loc, "Assigned to Employee")
)</f>
        <v>13</v>
      </c>
      <c r="F612" s="168">
        <f>_xlfn.LET(_xlpm.loc, ITEquipmentTable[Storage Location],
COUNTIFS(ITSecondTable[Tag], ITSecondTable[[#This Row],[Tag]], _xlpm.loc, "")
)</f>
        <v>0</v>
      </c>
      <c r="G612" s="168">
        <f>MAX(ITSecondTable[[#This Row],[SQty]] - ITSecondTable[[#This Row],[IQty]], 0)</f>
        <v>2</v>
      </c>
      <c r="H612" s="168">
        <f>MAX(ITSecondTable[[#This Row],[IQty]]-ITSecondTable[[#This Row],[SQty]], 0)</f>
        <v>0</v>
      </c>
      <c r="I612" s="151" t="str">
        <f>IFERROR(_xlfn.TEXTJOIN("~", TRUE, ITEquipmentTable[[#This Row],[Type]],ITEquipmentTable[[#This Row],[Brand]],ITEquipmentTable[[#This Row],[Model]]), "")</f>
        <v>Monitor~HP~HP P224 Monitor</v>
      </c>
      <c r="J612" s="151" t="b">
        <f xml:space="preserve"> _xlfn.IFNA(MATCH( ITSecondTable[[#This Row],[Tag]], StorageTable[Tag], 0)  &gt; -1, FALSE)</f>
        <v>0</v>
      </c>
      <c r="K612" s="168" t="b">
        <f>COUNTIFS(ITEquipmentTable[Serial], ITEquipmentTable[[#This Row],[Serial]], ITEquipmentTable[Serial], "&lt;&gt;N/A") &gt; 1</f>
        <v>0</v>
      </c>
      <c r="L612" s="168" t="b">
        <f>COUNTIFS(ITEquipmentTable[Name], ITEquipmentTable[[#This Row],[Name]], ITEquipmentTable[Name], "&lt;&gt;&lt;Unassigned&gt;",  ITEquipmentTable[Name], "&lt;&gt;N/A") &gt; 1</f>
        <v>0</v>
      </c>
      <c r="M612" s="168" t="b">
        <f>AND(COUNTIFS(ITEquipmentTable[IPv4 Address], ITEquipmentTable[[#This Row],[IPv4 Address]]) &gt; 1, ITEquipmentTable[[#This Row],[IPv4 Address]] &lt;&gt; "DHCP",  ITEquipmentTable[[#This Row],[IPv4 Address]] &lt;&gt; "N/A")</f>
        <v>0</v>
      </c>
    </row>
    <row r="613" spans="1:13" x14ac:dyDescent="0.2">
      <c r="A613" s="168">
        <f>IF(LEN(ITSecondTable[[#This Row],[Tag]]) &gt; 0, _xlfn.XLOOKUP(ITSecondTable[[#This Row],[Tag]],StorageTable[Tag], StorageTable[In Storage - Count Total], "Err", 0, 1), 0)</f>
        <v>9</v>
      </c>
      <c r="B613" s="168">
        <f>_xlfn.LET(_xlpm.loc, ITEquipmentTable[Storage Location],
COUNTIFS(ITSecondTable[Tag], ITSecondTable[[#This Row],[Tag]], _xlpm.loc, "&lt;&gt;In Use", _xlpm.loc, "&lt;&gt;",  _xlpm.loc, "&lt;&gt;E-Waste", _xlpm.loc, "&lt;&gt;Virtual",  _xlpm.loc, "&lt;&gt;Assigned to Employee", _xlpm.loc, "&lt;&gt;Decommisioned", _xlpm.loc, "&lt;&gt;Missing")
)</f>
        <v>11</v>
      </c>
      <c r="C613" s="168">
        <f>_xlfn.LET(_xlpm.loc, ITEquipmentTable[Storage Location],
COUNTIFS(ITSecondTable[Tag], ITSecondTable[[#This Row],[Tag]], _xlpm.loc, "&lt;&gt;E-Waste", _xlpm.loc, "&lt;&gt;Virtual", _xlpm.loc, "&lt;&gt;Decommisioned")
)</f>
        <v>24</v>
      </c>
      <c r="D613" s="168">
        <f>_xlfn.LET(_xlpm.loc, ITEquipmentTable[Storage Location],
COUNTIFS(ITSecondTable[Tag], ITSecondTable[[#This Row],[Tag]], _xlpm.loc, "Missing")
)</f>
        <v>0</v>
      </c>
      <c r="E613" s="168">
        <f>_xlfn.LET(_xlpm.loc, ITEquipmentTable[Storage Location],
COUNTIFS(ITSecondTable[Tag], ITSecondTable[[#This Row],[Tag]], _xlpm.loc, "In Use") + COUNTIFS(ITSecondTable[Tag], ITSecondTable[[#This Row],[Tag]], _xlpm.loc, "Assigned to Employee")
)</f>
        <v>13</v>
      </c>
      <c r="F613" s="168">
        <f>_xlfn.LET(_xlpm.loc, ITEquipmentTable[Storage Location],
COUNTIFS(ITSecondTable[Tag], ITSecondTable[[#This Row],[Tag]], _xlpm.loc, "")
)</f>
        <v>0</v>
      </c>
      <c r="G613" s="168">
        <f>MAX(ITSecondTable[[#This Row],[SQty]] - ITSecondTable[[#This Row],[IQty]], 0)</f>
        <v>2</v>
      </c>
      <c r="H613" s="168">
        <f>MAX(ITSecondTable[[#This Row],[IQty]]-ITSecondTable[[#This Row],[SQty]], 0)</f>
        <v>0</v>
      </c>
      <c r="I613" s="151" t="str">
        <f>IFERROR(_xlfn.TEXTJOIN("~", TRUE, ITEquipmentTable[[#This Row],[Type]],ITEquipmentTable[[#This Row],[Brand]],ITEquipmentTable[[#This Row],[Model]]), "")</f>
        <v>Monitor~HP~HP P224 Monitor</v>
      </c>
      <c r="J613" s="151" t="b">
        <f xml:space="preserve"> _xlfn.IFNA(MATCH( ITSecondTable[[#This Row],[Tag]], StorageTable[Tag], 0)  &gt; -1, FALSE)</f>
        <v>0</v>
      </c>
      <c r="K613" s="168" t="b">
        <f>COUNTIFS(ITEquipmentTable[Serial], ITEquipmentTable[[#This Row],[Serial]], ITEquipmentTable[Serial], "&lt;&gt;N/A") &gt; 1</f>
        <v>0</v>
      </c>
      <c r="L613" s="168" t="b">
        <f>COUNTIFS(ITEquipmentTable[Name], ITEquipmentTable[[#This Row],[Name]], ITEquipmentTable[Name], "&lt;&gt;&lt;Unassigned&gt;",  ITEquipmentTable[Name], "&lt;&gt;N/A") &gt; 1</f>
        <v>0</v>
      </c>
      <c r="M613" s="168" t="b">
        <f>AND(COUNTIFS(ITEquipmentTable[IPv4 Address], ITEquipmentTable[[#This Row],[IPv4 Address]]) &gt; 1, ITEquipmentTable[[#This Row],[IPv4 Address]] &lt;&gt; "DHCP",  ITEquipmentTable[[#This Row],[IPv4 Address]] &lt;&gt; "N/A")</f>
        <v>0</v>
      </c>
    </row>
    <row r="614" spans="1:13" x14ac:dyDescent="0.2">
      <c r="A614" s="168">
        <f>IF(LEN(ITSecondTable[[#This Row],[Tag]]) &gt; 0, _xlfn.XLOOKUP(ITSecondTable[[#This Row],[Tag]],StorageTable[Tag], StorageTable[In Storage - Count Total], "Err", 0, 1), 0)</f>
        <v>9</v>
      </c>
      <c r="B614" s="168">
        <f>_xlfn.LET(_xlpm.loc, ITEquipmentTable[Storage Location],
COUNTIFS(ITSecondTable[Tag], ITSecondTable[[#This Row],[Tag]], _xlpm.loc, "&lt;&gt;In Use", _xlpm.loc, "&lt;&gt;",  _xlpm.loc, "&lt;&gt;E-Waste", _xlpm.loc, "&lt;&gt;Virtual",  _xlpm.loc, "&lt;&gt;Assigned to Employee", _xlpm.loc, "&lt;&gt;Decommisioned", _xlpm.loc, "&lt;&gt;Missing")
)</f>
        <v>11</v>
      </c>
      <c r="C614" s="168">
        <f>_xlfn.LET(_xlpm.loc, ITEquipmentTable[Storage Location],
COUNTIFS(ITSecondTable[Tag], ITSecondTable[[#This Row],[Tag]], _xlpm.loc, "&lt;&gt;E-Waste", _xlpm.loc, "&lt;&gt;Virtual", _xlpm.loc, "&lt;&gt;Decommisioned")
)</f>
        <v>24</v>
      </c>
      <c r="D614" s="168">
        <f>_xlfn.LET(_xlpm.loc, ITEquipmentTable[Storage Location],
COUNTIFS(ITSecondTable[Tag], ITSecondTable[[#This Row],[Tag]], _xlpm.loc, "Missing")
)</f>
        <v>0</v>
      </c>
      <c r="E614" s="168">
        <f>_xlfn.LET(_xlpm.loc, ITEquipmentTable[Storage Location],
COUNTIFS(ITSecondTable[Tag], ITSecondTable[[#This Row],[Tag]], _xlpm.loc, "In Use") + COUNTIFS(ITSecondTable[Tag], ITSecondTable[[#This Row],[Tag]], _xlpm.loc, "Assigned to Employee")
)</f>
        <v>13</v>
      </c>
      <c r="F614" s="168">
        <f>_xlfn.LET(_xlpm.loc, ITEquipmentTable[Storage Location],
COUNTIFS(ITSecondTable[Tag], ITSecondTable[[#This Row],[Tag]], _xlpm.loc, "")
)</f>
        <v>0</v>
      </c>
      <c r="G614" s="168">
        <f>MAX(ITSecondTable[[#This Row],[SQty]] - ITSecondTable[[#This Row],[IQty]], 0)</f>
        <v>2</v>
      </c>
      <c r="H614" s="168">
        <f>MAX(ITSecondTable[[#This Row],[IQty]]-ITSecondTable[[#This Row],[SQty]], 0)</f>
        <v>0</v>
      </c>
      <c r="I614" s="151" t="str">
        <f>IFERROR(_xlfn.TEXTJOIN("~", TRUE, ITEquipmentTable[[#This Row],[Type]],ITEquipmentTable[[#This Row],[Brand]],ITEquipmentTable[[#This Row],[Model]]), "")</f>
        <v>Monitor~HP~HP P224 Monitor</v>
      </c>
      <c r="J614" s="151" t="b">
        <f xml:space="preserve"> _xlfn.IFNA(MATCH( ITSecondTable[[#This Row],[Tag]], StorageTable[Tag], 0)  &gt; -1, FALSE)</f>
        <v>0</v>
      </c>
      <c r="K614" s="168" t="b">
        <f>COUNTIFS(ITEquipmentTable[Serial], ITEquipmentTable[[#This Row],[Serial]], ITEquipmentTable[Serial], "&lt;&gt;N/A") &gt; 1</f>
        <v>0</v>
      </c>
      <c r="L614" s="168" t="b">
        <f>COUNTIFS(ITEquipmentTable[Name], ITEquipmentTable[[#This Row],[Name]], ITEquipmentTable[Name], "&lt;&gt;&lt;Unassigned&gt;",  ITEquipmentTable[Name], "&lt;&gt;N/A") &gt; 1</f>
        <v>0</v>
      </c>
      <c r="M614" s="168" t="b">
        <f>AND(COUNTIFS(ITEquipmentTable[IPv4 Address], ITEquipmentTable[[#This Row],[IPv4 Address]]) &gt; 1, ITEquipmentTable[[#This Row],[IPv4 Address]] &lt;&gt; "DHCP",  ITEquipmentTable[[#This Row],[IPv4 Address]] &lt;&gt; "N/A")</f>
        <v>0</v>
      </c>
    </row>
    <row r="615" spans="1:13" x14ac:dyDescent="0.2">
      <c r="A615" s="168">
        <f>IF(LEN(ITSecondTable[[#This Row],[Tag]]) &gt; 0, _xlfn.XLOOKUP(ITSecondTable[[#This Row],[Tag]],StorageTable[Tag], StorageTable[In Storage - Count Total], "Err", 0, 1), 0)</f>
        <v>9</v>
      </c>
      <c r="B615" s="168">
        <f>_xlfn.LET(_xlpm.loc, ITEquipmentTable[Storage Location],
COUNTIFS(ITSecondTable[Tag], ITSecondTable[[#This Row],[Tag]], _xlpm.loc, "&lt;&gt;In Use", _xlpm.loc, "&lt;&gt;",  _xlpm.loc, "&lt;&gt;E-Waste", _xlpm.loc, "&lt;&gt;Virtual",  _xlpm.loc, "&lt;&gt;Assigned to Employee", _xlpm.loc, "&lt;&gt;Decommisioned", _xlpm.loc, "&lt;&gt;Missing")
)</f>
        <v>11</v>
      </c>
      <c r="C615" s="168">
        <f>_xlfn.LET(_xlpm.loc, ITEquipmentTable[Storage Location],
COUNTIFS(ITSecondTable[Tag], ITSecondTable[[#This Row],[Tag]], _xlpm.loc, "&lt;&gt;E-Waste", _xlpm.loc, "&lt;&gt;Virtual", _xlpm.loc, "&lt;&gt;Decommisioned")
)</f>
        <v>24</v>
      </c>
      <c r="D615" s="168">
        <f>_xlfn.LET(_xlpm.loc, ITEquipmentTable[Storage Location],
COUNTIFS(ITSecondTable[Tag], ITSecondTable[[#This Row],[Tag]], _xlpm.loc, "Missing")
)</f>
        <v>0</v>
      </c>
      <c r="E615" s="168">
        <f>_xlfn.LET(_xlpm.loc, ITEquipmentTable[Storage Location],
COUNTIFS(ITSecondTable[Tag], ITSecondTable[[#This Row],[Tag]], _xlpm.loc, "In Use") + COUNTIFS(ITSecondTable[Tag], ITSecondTable[[#This Row],[Tag]], _xlpm.loc, "Assigned to Employee")
)</f>
        <v>13</v>
      </c>
      <c r="F615" s="168">
        <f>_xlfn.LET(_xlpm.loc, ITEquipmentTable[Storage Location],
COUNTIFS(ITSecondTable[Tag], ITSecondTable[[#This Row],[Tag]], _xlpm.loc, "")
)</f>
        <v>0</v>
      </c>
      <c r="G615" s="168">
        <f>MAX(ITSecondTable[[#This Row],[SQty]] - ITSecondTable[[#This Row],[IQty]], 0)</f>
        <v>2</v>
      </c>
      <c r="H615" s="168">
        <f>MAX(ITSecondTable[[#This Row],[IQty]]-ITSecondTable[[#This Row],[SQty]], 0)</f>
        <v>0</v>
      </c>
      <c r="I615" s="151" t="str">
        <f>IFERROR(_xlfn.TEXTJOIN("~", TRUE, ITEquipmentTable[[#This Row],[Type]],ITEquipmentTable[[#This Row],[Brand]],ITEquipmentTable[[#This Row],[Model]]), "")</f>
        <v>Monitor~HP~HP P224 Monitor</v>
      </c>
      <c r="J615" s="151" t="b">
        <f xml:space="preserve"> _xlfn.IFNA(MATCH( ITSecondTable[[#This Row],[Tag]], StorageTable[Tag], 0)  &gt; -1, FALSE)</f>
        <v>0</v>
      </c>
      <c r="K615" s="168" t="b">
        <f>COUNTIFS(ITEquipmentTable[Serial], ITEquipmentTable[[#This Row],[Serial]], ITEquipmentTable[Serial], "&lt;&gt;N/A") &gt; 1</f>
        <v>0</v>
      </c>
      <c r="L615" s="168" t="b">
        <f>COUNTIFS(ITEquipmentTable[Name], ITEquipmentTable[[#This Row],[Name]], ITEquipmentTable[Name], "&lt;&gt;&lt;Unassigned&gt;",  ITEquipmentTable[Name], "&lt;&gt;N/A") &gt; 1</f>
        <v>0</v>
      </c>
      <c r="M615" s="168" t="b">
        <f>AND(COUNTIFS(ITEquipmentTable[IPv4 Address], ITEquipmentTable[[#This Row],[IPv4 Address]]) &gt; 1, ITEquipmentTable[[#This Row],[IPv4 Address]] &lt;&gt; "DHCP",  ITEquipmentTable[[#This Row],[IPv4 Address]] &lt;&gt; "N/A")</f>
        <v>0</v>
      </c>
    </row>
    <row r="616" spans="1:13" x14ac:dyDescent="0.2">
      <c r="A616" s="168">
        <f>IF(LEN(ITSecondTable[[#This Row],[Tag]]) &gt; 0, _xlfn.XLOOKUP(ITSecondTable[[#This Row],[Tag]],StorageTable[Tag], StorageTable[In Storage - Count Total], "Err", 0, 1), 0)</f>
        <v>9</v>
      </c>
      <c r="B616" s="168">
        <f>_xlfn.LET(_xlpm.loc, ITEquipmentTable[Storage Location],
COUNTIFS(ITSecondTable[Tag], ITSecondTable[[#This Row],[Tag]], _xlpm.loc, "&lt;&gt;In Use", _xlpm.loc, "&lt;&gt;",  _xlpm.loc, "&lt;&gt;E-Waste", _xlpm.loc, "&lt;&gt;Virtual",  _xlpm.loc, "&lt;&gt;Assigned to Employee", _xlpm.loc, "&lt;&gt;Decommisioned", _xlpm.loc, "&lt;&gt;Missing")
)</f>
        <v>11</v>
      </c>
      <c r="C616" s="168">
        <f>_xlfn.LET(_xlpm.loc, ITEquipmentTable[Storage Location],
COUNTIFS(ITSecondTable[Tag], ITSecondTable[[#This Row],[Tag]], _xlpm.loc, "&lt;&gt;E-Waste", _xlpm.loc, "&lt;&gt;Virtual", _xlpm.loc, "&lt;&gt;Decommisioned")
)</f>
        <v>24</v>
      </c>
      <c r="D616" s="168">
        <f>_xlfn.LET(_xlpm.loc, ITEquipmentTable[Storage Location],
COUNTIFS(ITSecondTable[Tag], ITSecondTable[[#This Row],[Tag]], _xlpm.loc, "Missing")
)</f>
        <v>0</v>
      </c>
      <c r="E616" s="168">
        <f>_xlfn.LET(_xlpm.loc, ITEquipmentTable[Storage Location],
COUNTIFS(ITSecondTable[Tag], ITSecondTable[[#This Row],[Tag]], _xlpm.loc, "In Use") + COUNTIFS(ITSecondTable[Tag], ITSecondTable[[#This Row],[Tag]], _xlpm.loc, "Assigned to Employee")
)</f>
        <v>13</v>
      </c>
      <c r="F616" s="168">
        <f>_xlfn.LET(_xlpm.loc, ITEquipmentTable[Storage Location],
COUNTIFS(ITSecondTable[Tag], ITSecondTable[[#This Row],[Tag]], _xlpm.loc, "")
)</f>
        <v>0</v>
      </c>
      <c r="G616" s="168">
        <f>MAX(ITSecondTable[[#This Row],[SQty]] - ITSecondTable[[#This Row],[IQty]], 0)</f>
        <v>2</v>
      </c>
      <c r="H616" s="168">
        <f>MAX(ITSecondTable[[#This Row],[IQty]]-ITSecondTable[[#This Row],[SQty]], 0)</f>
        <v>0</v>
      </c>
      <c r="I616" s="151" t="str">
        <f>IFERROR(_xlfn.TEXTJOIN("~", TRUE, ITEquipmentTable[[#This Row],[Type]],ITEquipmentTable[[#This Row],[Brand]],ITEquipmentTable[[#This Row],[Model]]), "")</f>
        <v>Monitor~HP~HP P224 Monitor</v>
      </c>
      <c r="J616" s="151" t="b">
        <f xml:space="preserve"> _xlfn.IFNA(MATCH( ITSecondTable[[#This Row],[Tag]], StorageTable[Tag], 0)  &gt; -1, FALSE)</f>
        <v>0</v>
      </c>
      <c r="K616" s="168" t="b">
        <f>COUNTIFS(ITEquipmentTable[Serial], ITEquipmentTable[[#This Row],[Serial]], ITEquipmentTable[Serial], "&lt;&gt;N/A") &gt; 1</f>
        <v>0</v>
      </c>
      <c r="L616" s="168" t="b">
        <f>COUNTIFS(ITEquipmentTable[Name], ITEquipmentTable[[#This Row],[Name]], ITEquipmentTable[Name], "&lt;&gt;&lt;Unassigned&gt;",  ITEquipmentTable[Name], "&lt;&gt;N/A") &gt; 1</f>
        <v>0</v>
      </c>
      <c r="M616" s="168" t="b">
        <f>AND(COUNTIFS(ITEquipmentTable[IPv4 Address], ITEquipmentTable[[#This Row],[IPv4 Address]]) &gt; 1, ITEquipmentTable[[#This Row],[IPv4 Address]] &lt;&gt; "DHCP",  ITEquipmentTable[[#This Row],[IPv4 Address]] &lt;&gt; "N/A")</f>
        <v>0</v>
      </c>
    </row>
    <row r="617" spans="1:13" x14ac:dyDescent="0.2">
      <c r="A617" s="168">
        <f>IF(LEN(ITSecondTable[[#This Row],[Tag]]) &gt; 0, _xlfn.XLOOKUP(ITSecondTable[[#This Row],[Tag]],StorageTable[Tag], StorageTable[In Storage - Count Total], "Err", 0, 1), 0)</f>
        <v>9</v>
      </c>
      <c r="B617" s="168">
        <f>_xlfn.LET(_xlpm.loc, ITEquipmentTable[Storage Location],
COUNTIFS(ITSecondTable[Tag], ITSecondTable[[#This Row],[Tag]], _xlpm.loc, "&lt;&gt;In Use", _xlpm.loc, "&lt;&gt;",  _xlpm.loc, "&lt;&gt;E-Waste", _xlpm.loc, "&lt;&gt;Virtual",  _xlpm.loc, "&lt;&gt;Assigned to Employee", _xlpm.loc, "&lt;&gt;Decommisioned", _xlpm.loc, "&lt;&gt;Missing")
)</f>
        <v>11</v>
      </c>
      <c r="C617" s="168">
        <f>_xlfn.LET(_xlpm.loc, ITEquipmentTable[Storage Location],
COUNTIFS(ITSecondTable[Tag], ITSecondTable[[#This Row],[Tag]], _xlpm.loc, "&lt;&gt;E-Waste", _xlpm.loc, "&lt;&gt;Virtual", _xlpm.loc, "&lt;&gt;Decommisioned")
)</f>
        <v>24</v>
      </c>
      <c r="D617" s="168">
        <f>_xlfn.LET(_xlpm.loc, ITEquipmentTable[Storage Location],
COUNTIFS(ITSecondTable[Tag], ITSecondTable[[#This Row],[Tag]], _xlpm.loc, "Missing")
)</f>
        <v>0</v>
      </c>
      <c r="E617" s="168">
        <f>_xlfn.LET(_xlpm.loc, ITEquipmentTable[Storage Location],
COUNTIFS(ITSecondTable[Tag], ITSecondTable[[#This Row],[Tag]], _xlpm.loc, "In Use") + COUNTIFS(ITSecondTable[Tag], ITSecondTable[[#This Row],[Tag]], _xlpm.loc, "Assigned to Employee")
)</f>
        <v>13</v>
      </c>
      <c r="F617" s="168">
        <f>_xlfn.LET(_xlpm.loc, ITEquipmentTable[Storage Location],
COUNTIFS(ITSecondTable[Tag], ITSecondTable[[#This Row],[Tag]], _xlpm.loc, "")
)</f>
        <v>0</v>
      </c>
      <c r="G617" s="168">
        <f>MAX(ITSecondTable[[#This Row],[SQty]] - ITSecondTable[[#This Row],[IQty]], 0)</f>
        <v>2</v>
      </c>
      <c r="H617" s="168">
        <f>MAX(ITSecondTable[[#This Row],[IQty]]-ITSecondTable[[#This Row],[SQty]], 0)</f>
        <v>0</v>
      </c>
      <c r="I617" s="151" t="str">
        <f>IFERROR(_xlfn.TEXTJOIN("~", TRUE, ITEquipmentTable[[#This Row],[Type]],ITEquipmentTable[[#This Row],[Brand]],ITEquipmentTable[[#This Row],[Model]]), "")</f>
        <v>Monitor~HP~HP P224 Monitor</v>
      </c>
      <c r="J617" s="151" t="b">
        <f xml:space="preserve"> _xlfn.IFNA(MATCH( ITSecondTable[[#This Row],[Tag]], StorageTable[Tag], 0)  &gt; -1, FALSE)</f>
        <v>0</v>
      </c>
      <c r="K617" s="168" t="b">
        <f>COUNTIFS(ITEquipmentTable[Serial], ITEquipmentTable[[#This Row],[Serial]], ITEquipmentTable[Serial], "&lt;&gt;N/A") &gt; 1</f>
        <v>0</v>
      </c>
      <c r="L617" s="168" t="b">
        <f>COUNTIFS(ITEquipmentTable[Name], ITEquipmentTable[[#This Row],[Name]], ITEquipmentTable[Name], "&lt;&gt;&lt;Unassigned&gt;",  ITEquipmentTable[Name], "&lt;&gt;N/A") &gt; 1</f>
        <v>0</v>
      </c>
      <c r="M617" s="168" t="b">
        <f>AND(COUNTIFS(ITEquipmentTable[IPv4 Address], ITEquipmentTable[[#This Row],[IPv4 Address]]) &gt; 1, ITEquipmentTable[[#This Row],[IPv4 Address]] &lt;&gt; "DHCP",  ITEquipmentTable[[#This Row],[IPv4 Address]] &lt;&gt; "N/A")</f>
        <v>0</v>
      </c>
    </row>
    <row r="618" spans="1:13" x14ac:dyDescent="0.2">
      <c r="A618" s="168">
        <f>IF(LEN(ITSecondTable[[#This Row],[Tag]]) &gt; 0, _xlfn.XLOOKUP(ITSecondTable[[#This Row],[Tag]],StorageTable[Tag], StorageTable[In Storage - Count Total], "Err", 0, 1), 0)</f>
        <v>9</v>
      </c>
      <c r="B618" s="168">
        <f>_xlfn.LET(_xlpm.loc, ITEquipmentTable[Storage Location],
COUNTIFS(ITSecondTable[Tag], ITSecondTable[[#This Row],[Tag]], _xlpm.loc, "&lt;&gt;In Use", _xlpm.loc, "&lt;&gt;",  _xlpm.loc, "&lt;&gt;E-Waste", _xlpm.loc, "&lt;&gt;Virtual",  _xlpm.loc, "&lt;&gt;Assigned to Employee", _xlpm.loc, "&lt;&gt;Decommisioned", _xlpm.loc, "&lt;&gt;Missing")
)</f>
        <v>11</v>
      </c>
      <c r="C618" s="168">
        <f>_xlfn.LET(_xlpm.loc, ITEquipmentTable[Storage Location],
COUNTIFS(ITSecondTable[Tag], ITSecondTable[[#This Row],[Tag]], _xlpm.loc, "&lt;&gt;E-Waste", _xlpm.loc, "&lt;&gt;Virtual", _xlpm.loc, "&lt;&gt;Decommisioned")
)</f>
        <v>24</v>
      </c>
      <c r="D618" s="168">
        <f>_xlfn.LET(_xlpm.loc, ITEquipmentTable[Storage Location],
COUNTIFS(ITSecondTable[Tag], ITSecondTable[[#This Row],[Tag]], _xlpm.loc, "Missing")
)</f>
        <v>0</v>
      </c>
      <c r="E618" s="168">
        <f>_xlfn.LET(_xlpm.loc, ITEquipmentTable[Storage Location],
COUNTIFS(ITSecondTable[Tag], ITSecondTable[[#This Row],[Tag]], _xlpm.loc, "In Use") + COUNTIFS(ITSecondTable[Tag], ITSecondTable[[#This Row],[Tag]], _xlpm.loc, "Assigned to Employee")
)</f>
        <v>13</v>
      </c>
      <c r="F618" s="168">
        <f>_xlfn.LET(_xlpm.loc, ITEquipmentTable[Storage Location],
COUNTIFS(ITSecondTable[Tag], ITSecondTable[[#This Row],[Tag]], _xlpm.loc, "")
)</f>
        <v>0</v>
      </c>
      <c r="G618" s="168">
        <f>MAX(ITSecondTable[[#This Row],[SQty]] - ITSecondTable[[#This Row],[IQty]], 0)</f>
        <v>2</v>
      </c>
      <c r="H618" s="168">
        <f>MAX(ITSecondTable[[#This Row],[IQty]]-ITSecondTable[[#This Row],[SQty]], 0)</f>
        <v>0</v>
      </c>
      <c r="I618" s="151" t="str">
        <f>IFERROR(_xlfn.TEXTJOIN("~", TRUE, ITEquipmentTable[[#This Row],[Type]],ITEquipmentTable[[#This Row],[Brand]],ITEquipmentTable[[#This Row],[Model]]), "")</f>
        <v>Monitor~HP~HP P224 Monitor</v>
      </c>
      <c r="J618" s="151" t="b">
        <f xml:space="preserve"> _xlfn.IFNA(MATCH( ITSecondTable[[#This Row],[Tag]], StorageTable[Tag], 0)  &gt; -1, FALSE)</f>
        <v>0</v>
      </c>
      <c r="K618" s="168" t="b">
        <f>COUNTIFS(ITEquipmentTable[Serial], ITEquipmentTable[[#This Row],[Serial]], ITEquipmentTable[Serial], "&lt;&gt;N/A") &gt; 1</f>
        <v>0</v>
      </c>
      <c r="L618" s="168" t="b">
        <f>COUNTIFS(ITEquipmentTable[Name], ITEquipmentTable[[#This Row],[Name]], ITEquipmentTable[Name], "&lt;&gt;&lt;Unassigned&gt;",  ITEquipmentTable[Name], "&lt;&gt;N/A") &gt; 1</f>
        <v>0</v>
      </c>
      <c r="M618" s="168" t="b">
        <f>AND(COUNTIFS(ITEquipmentTable[IPv4 Address], ITEquipmentTable[[#This Row],[IPv4 Address]]) &gt; 1, ITEquipmentTable[[#This Row],[IPv4 Address]] &lt;&gt; "DHCP",  ITEquipmentTable[[#This Row],[IPv4 Address]] &lt;&gt; "N/A")</f>
        <v>0</v>
      </c>
    </row>
    <row r="619" spans="1:13" x14ac:dyDescent="0.2">
      <c r="A619" s="168">
        <f>IF(LEN(ITSecondTable[[#This Row],[Tag]]) &gt; 0, _xlfn.XLOOKUP(ITSecondTable[[#This Row],[Tag]],StorageTable[Tag], StorageTable[In Storage - Count Total], "Err", 0, 1), 0)</f>
        <v>0</v>
      </c>
      <c r="B619" s="168">
        <f>_xlfn.LET(_xlpm.loc, ITEquipmentTable[Storage Location],
COUNTIFS(ITSecondTable[Tag], ITSecondTable[[#This Row],[Tag]], _xlpm.loc, "&lt;&gt;In Use", _xlpm.loc, "&lt;&gt;",  _xlpm.loc, "&lt;&gt;E-Waste", _xlpm.loc, "&lt;&gt;Virtual",  _xlpm.loc, "&lt;&gt;Assigned to Employee", _xlpm.loc, "&lt;&gt;Decommisioned", _xlpm.loc, "&lt;&gt;Missing")
)</f>
        <v>3</v>
      </c>
      <c r="C619" s="168">
        <f>_xlfn.LET(_xlpm.loc, ITEquipmentTable[Storage Location],
COUNTIFS(ITSecondTable[Tag], ITSecondTable[[#This Row],[Tag]], _xlpm.loc, "&lt;&gt;E-Waste", _xlpm.loc, "&lt;&gt;Virtual", _xlpm.loc, "&lt;&gt;Decommisioned")
)</f>
        <v>3</v>
      </c>
      <c r="D619" s="168">
        <f>_xlfn.LET(_xlpm.loc, ITEquipmentTable[Storage Location],
COUNTIFS(ITSecondTable[Tag], ITSecondTable[[#This Row],[Tag]], _xlpm.loc, "Missing")
)</f>
        <v>0</v>
      </c>
      <c r="E619" s="168">
        <f>_xlfn.LET(_xlpm.loc, ITEquipmentTable[Storage Location],
COUNTIFS(ITSecondTable[Tag], ITSecondTable[[#This Row],[Tag]], _xlpm.loc, "In Use") + COUNTIFS(ITSecondTable[Tag], ITSecondTable[[#This Row],[Tag]], _xlpm.loc, "Assigned to Employee")
)</f>
        <v>0</v>
      </c>
      <c r="F619" s="168">
        <f>_xlfn.LET(_xlpm.loc, ITEquipmentTable[Storage Location],
COUNTIFS(ITSecondTable[Tag], ITSecondTable[[#This Row],[Tag]], _xlpm.loc, "")
)</f>
        <v>0</v>
      </c>
      <c r="G619" s="168">
        <f>MAX(ITSecondTable[[#This Row],[SQty]] - ITSecondTable[[#This Row],[IQty]], 0)</f>
        <v>3</v>
      </c>
      <c r="H619" s="168">
        <f>MAX(ITSecondTable[[#This Row],[IQty]]-ITSecondTable[[#This Row],[SQty]], 0)</f>
        <v>0</v>
      </c>
      <c r="I619" s="151" t="str">
        <f>IFERROR(_xlfn.TEXTJOIN("~", TRUE, ITEquipmentTable[[#This Row],[Type]],ITEquipmentTable[[#This Row],[Brand]],ITEquipmentTable[[#This Row],[Model]]), "")</f>
        <v>APC~APC~BE600M1</v>
      </c>
      <c r="J619" s="151" t="b">
        <f xml:space="preserve"> _xlfn.IFNA(MATCH( ITSecondTable[[#This Row],[Tag]], StorageTable[Tag], 0)  &gt; -1, FALSE)</f>
        <v>0</v>
      </c>
      <c r="K619" s="168" t="b">
        <f>COUNTIFS(ITEquipmentTable[Serial], ITEquipmentTable[[#This Row],[Serial]], ITEquipmentTable[Serial], "&lt;&gt;N/A") &gt; 1</f>
        <v>0</v>
      </c>
      <c r="L619" s="168" t="b">
        <f>COUNTIFS(ITEquipmentTable[Name], ITEquipmentTable[[#This Row],[Name]], ITEquipmentTable[Name], "&lt;&gt;&lt;Unassigned&gt;",  ITEquipmentTable[Name], "&lt;&gt;N/A") &gt; 1</f>
        <v>0</v>
      </c>
      <c r="M619" s="168" t="b">
        <f>AND(COUNTIFS(ITEquipmentTable[IPv4 Address], ITEquipmentTable[[#This Row],[IPv4 Address]]) &gt; 1, ITEquipmentTable[[#This Row],[IPv4 Address]] &lt;&gt; "DHCP",  ITEquipmentTable[[#This Row],[IPv4 Address]] &lt;&gt; "N/A")</f>
        <v>0</v>
      </c>
    </row>
    <row r="620" spans="1:13" x14ac:dyDescent="0.2">
      <c r="A620" s="168">
        <f>IF(LEN(ITSecondTable[[#This Row],[Tag]]) &gt; 0, _xlfn.XLOOKUP(ITSecondTable[[#This Row],[Tag]],StorageTable[Tag], StorageTable[In Storage - Count Total], "Err", 0, 1), 0)</f>
        <v>8</v>
      </c>
      <c r="B620" s="168">
        <f>_xlfn.LET(_xlpm.loc, ITEquipmentTable[Storage Location],
COUNTIFS(ITSecondTable[Tag], ITSecondTable[[#This Row],[Tag]], _xlpm.loc, "&lt;&gt;In Use", _xlpm.loc, "&lt;&gt;",  _xlpm.loc, "&lt;&gt;E-Waste", _xlpm.loc, "&lt;&gt;Virtual",  _xlpm.loc, "&lt;&gt;Assigned to Employee", _xlpm.loc, "&lt;&gt;Decommisioned", _xlpm.loc, "&lt;&gt;Missing")
)</f>
        <v>9</v>
      </c>
      <c r="C620" s="168">
        <f>_xlfn.LET(_xlpm.loc, ITEquipmentTable[Storage Location],
COUNTIFS(ITSecondTable[Tag], ITSecondTable[[#This Row],[Tag]], _xlpm.loc, "&lt;&gt;E-Waste", _xlpm.loc, "&lt;&gt;Virtual", _xlpm.loc, "&lt;&gt;Decommisioned")
)</f>
        <v>40</v>
      </c>
      <c r="D620" s="168">
        <f>_xlfn.LET(_xlpm.loc, ITEquipmentTable[Storage Location],
COUNTIFS(ITSecondTable[Tag], ITSecondTable[[#This Row],[Tag]], _xlpm.loc, "Missing")
)</f>
        <v>0</v>
      </c>
      <c r="E620" s="168">
        <f>_xlfn.LET(_xlpm.loc, ITEquipmentTable[Storage Location],
COUNTIFS(ITSecondTable[Tag], ITSecondTable[[#This Row],[Tag]], _xlpm.loc, "In Use") + COUNTIFS(ITSecondTable[Tag], ITSecondTable[[#This Row],[Tag]], _xlpm.loc, "Assigned to Employee")
)</f>
        <v>23</v>
      </c>
      <c r="F620" s="168">
        <f>_xlfn.LET(_xlpm.loc, ITEquipmentTable[Storage Location],
COUNTIFS(ITSecondTable[Tag], ITSecondTable[[#This Row],[Tag]], _xlpm.loc, "")
)</f>
        <v>8</v>
      </c>
      <c r="G620" s="168">
        <f>MAX(ITSecondTable[[#This Row],[SQty]] - ITSecondTable[[#This Row],[IQty]], 0)</f>
        <v>1</v>
      </c>
      <c r="H620" s="168">
        <f>MAX(ITSecondTable[[#This Row],[IQty]]-ITSecondTable[[#This Row],[SQty]], 0)</f>
        <v>0</v>
      </c>
      <c r="I620" s="151" t="str">
        <f>IFERROR(_xlfn.TEXTJOIN("~", TRUE, ITEquipmentTable[[#This Row],[Type]],ITEquipmentTable[[#This Row],[Brand]],ITEquipmentTable[[#This Row],[Model]]), "")</f>
        <v>Printer~Sato~CL4NX</v>
      </c>
      <c r="J620" s="151" t="b">
        <f xml:space="preserve"> _xlfn.IFNA(MATCH( ITSecondTable[[#This Row],[Tag]], StorageTable[Tag], 0)  &gt; -1, FALSE)</f>
        <v>0</v>
      </c>
      <c r="K620" s="168" t="b">
        <f>COUNTIFS(ITEquipmentTable[Serial], ITEquipmentTable[[#This Row],[Serial]], ITEquipmentTable[Serial], "&lt;&gt;N/A") &gt; 1</f>
        <v>0</v>
      </c>
      <c r="L620" s="168" t="b">
        <f>COUNTIFS(ITEquipmentTable[Name], ITEquipmentTable[[#This Row],[Name]], ITEquipmentTable[Name], "&lt;&gt;&lt;Unassigned&gt;",  ITEquipmentTable[Name], "&lt;&gt;N/A") &gt; 1</f>
        <v>0</v>
      </c>
      <c r="M620" s="168" t="b">
        <f>AND(COUNTIFS(ITEquipmentTable[IPv4 Address], ITEquipmentTable[[#This Row],[IPv4 Address]]) &gt; 1, ITEquipmentTable[[#This Row],[IPv4 Address]] &lt;&gt; "DHCP",  ITEquipmentTable[[#This Row],[IPv4 Address]] &lt;&gt; "N/A")</f>
        <v>0</v>
      </c>
    </row>
    <row r="621" spans="1:13" x14ac:dyDescent="0.2">
      <c r="A621" s="168">
        <f>IF(LEN(ITSecondTable[[#This Row],[Tag]]) &gt; 0, _xlfn.XLOOKUP(ITSecondTable[[#This Row],[Tag]],StorageTable[Tag], StorageTable[In Storage - Count Total], "Err", 0, 1), 0)</f>
        <v>8</v>
      </c>
      <c r="B621" s="168">
        <f>_xlfn.LET(_xlpm.loc, ITEquipmentTable[Storage Location],
COUNTIFS(ITSecondTable[Tag], ITSecondTable[[#This Row],[Tag]], _xlpm.loc, "&lt;&gt;In Use", _xlpm.loc, "&lt;&gt;",  _xlpm.loc, "&lt;&gt;E-Waste", _xlpm.loc, "&lt;&gt;Virtual",  _xlpm.loc, "&lt;&gt;Assigned to Employee", _xlpm.loc, "&lt;&gt;Decommisioned", _xlpm.loc, "&lt;&gt;Missing")
)</f>
        <v>9</v>
      </c>
      <c r="C621" s="168">
        <f>_xlfn.LET(_xlpm.loc, ITEquipmentTable[Storage Location],
COUNTIFS(ITSecondTable[Tag], ITSecondTable[[#This Row],[Tag]], _xlpm.loc, "&lt;&gt;E-Waste", _xlpm.loc, "&lt;&gt;Virtual", _xlpm.loc, "&lt;&gt;Decommisioned")
)</f>
        <v>40</v>
      </c>
      <c r="D621" s="168">
        <f>_xlfn.LET(_xlpm.loc, ITEquipmentTable[Storage Location],
COUNTIFS(ITSecondTable[Tag], ITSecondTable[[#This Row],[Tag]], _xlpm.loc, "Missing")
)</f>
        <v>0</v>
      </c>
      <c r="E621" s="168">
        <f>_xlfn.LET(_xlpm.loc, ITEquipmentTable[Storage Location],
COUNTIFS(ITSecondTable[Tag], ITSecondTable[[#This Row],[Tag]], _xlpm.loc, "In Use") + COUNTIFS(ITSecondTable[Tag], ITSecondTable[[#This Row],[Tag]], _xlpm.loc, "Assigned to Employee")
)</f>
        <v>23</v>
      </c>
      <c r="F621" s="168">
        <f>_xlfn.LET(_xlpm.loc, ITEquipmentTable[Storage Location],
COUNTIFS(ITSecondTable[Tag], ITSecondTable[[#This Row],[Tag]], _xlpm.loc, "")
)</f>
        <v>8</v>
      </c>
      <c r="G621" s="168">
        <f>MAX(ITSecondTable[[#This Row],[SQty]] - ITSecondTable[[#This Row],[IQty]], 0)</f>
        <v>1</v>
      </c>
      <c r="H621" s="168">
        <f>MAX(ITSecondTable[[#This Row],[IQty]]-ITSecondTable[[#This Row],[SQty]], 0)</f>
        <v>0</v>
      </c>
      <c r="I621" s="151" t="str">
        <f>IFERROR(_xlfn.TEXTJOIN("~", TRUE, ITEquipmentTable[[#This Row],[Type]],ITEquipmentTable[[#This Row],[Brand]],ITEquipmentTable[[#This Row],[Model]]), "")</f>
        <v>Printer~Sato~CL4NX</v>
      </c>
      <c r="J621" s="151" t="b">
        <f xml:space="preserve"> _xlfn.IFNA(MATCH( ITSecondTable[[#This Row],[Tag]], StorageTable[Tag], 0)  &gt; -1, FALSE)</f>
        <v>0</v>
      </c>
      <c r="K621" s="168" t="b">
        <f>COUNTIFS(ITEquipmentTable[Serial], ITEquipmentTable[[#This Row],[Serial]], ITEquipmentTable[Serial], "&lt;&gt;N/A") &gt; 1</f>
        <v>0</v>
      </c>
      <c r="L621" s="168" t="b">
        <f>COUNTIFS(ITEquipmentTable[Name], ITEquipmentTable[[#This Row],[Name]], ITEquipmentTable[Name], "&lt;&gt;&lt;Unassigned&gt;",  ITEquipmentTable[Name], "&lt;&gt;N/A") &gt; 1</f>
        <v>0</v>
      </c>
      <c r="M621" s="168" t="b">
        <f>AND(COUNTIFS(ITEquipmentTable[IPv4 Address], ITEquipmentTable[[#This Row],[IPv4 Address]]) &gt; 1, ITEquipmentTable[[#This Row],[IPv4 Address]] &lt;&gt; "DHCP",  ITEquipmentTable[[#This Row],[IPv4 Address]] &lt;&gt; "N/A")</f>
        <v>0</v>
      </c>
    </row>
    <row r="622" spans="1:13" x14ac:dyDescent="0.2">
      <c r="A622" s="168">
        <f>IF(LEN(ITSecondTable[[#This Row],[Tag]]) &gt; 0, _xlfn.XLOOKUP(ITSecondTable[[#This Row],[Tag]],StorageTable[Tag], StorageTable[In Storage - Count Total], "Err", 0, 1), 0)</f>
        <v>18</v>
      </c>
      <c r="B622" s="168">
        <f>_xlfn.LET(_xlpm.loc, ITEquipmentTable[Storage Location],
COUNTIFS(ITSecondTable[Tag], ITSecondTable[[#This Row],[Tag]], _xlpm.loc, "&lt;&gt;In Use", _xlpm.loc, "&lt;&gt;",  _xlpm.loc, "&lt;&gt;E-Waste", _xlpm.loc, "&lt;&gt;Virtual",  _xlpm.loc, "&lt;&gt;Assigned to Employee", _xlpm.loc, "&lt;&gt;Decommisioned", _xlpm.loc, "&lt;&gt;Missing")
)</f>
        <v>11</v>
      </c>
      <c r="C622" s="168">
        <f>_xlfn.LET(_xlpm.loc, ITEquipmentTable[Storage Location],
COUNTIFS(ITSecondTable[Tag], ITSecondTable[[#This Row],[Tag]], _xlpm.loc, "&lt;&gt;E-Waste", _xlpm.loc, "&lt;&gt;Virtual", _xlpm.loc, "&lt;&gt;Decommisioned")
)</f>
        <v>38</v>
      </c>
      <c r="D622" s="168">
        <f>_xlfn.LET(_xlpm.loc, ITEquipmentTable[Storage Location],
COUNTIFS(ITSecondTable[Tag], ITSecondTable[[#This Row],[Tag]], _xlpm.loc, "Missing")
)</f>
        <v>0</v>
      </c>
      <c r="E622" s="168">
        <f>_xlfn.LET(_xlpm.loc, ITEquipmentTable[Storage Location],
COUNTIFS(ITSecondTable[Tag], ITSecondTable[[#This Row],[Tag]], _xlpm.loc, "In Use") + COUNTIFS(ITSecondTable[Tag], ITSecondTable[[#This Row],[Tag]], _xlpm.loc, "Assigned to Employee")
)</f>
        <v>13</v>
      </c>
      <c r="F622" s="168">
        <f>_xlfn.LET(_xlpm.loc, ITEquipmentTable[Storage Location],
COUNTIFS(ITSecondTable[Tag], ITSecondTable[[#This Row],[Tag]], _xlpm.loc, "")
)</f>
        <v>14</v>
      </c>
      <c r="G622" s="168">
        <f>MAX(ITSecondTable[[#This Row],[SQty]] - ITSecondTable[[#This Row],[IQty]], 0)</f>
        <v>0</v>
      </c>
      <c r="H622" s="168">
        <f>MAX(ITSecondTable[[#This Row],[IQty]]-ITSecondTable[[#This Row],[SQty]], 0)</f>
        <v>7</v>
      </c>
      <c r="I622" s="151" t="str">
        <f>IFERROR(_xlfn.TEXTJOIN("~", TRUE, ITEquipmentTable[[#This Row],[Type]],ITEquipmentTable[[#This Row],[Brand]],ITEquipmentTable[[#This Row],[Model]]), "")</f>
        <v>Scanner~Honeywell~1911i</v>
      </c>
      <c r="J622" s="151" t="b">
        <f xml:space="preserve"> _xlfn.IFNA(MATCH( ITSecondTable[[#This Row],[Tag]], StorageTable[Tag], 0)  &gt; -1, FALSE)</f>
        <v>0</v>
      </c>
      <c r="K622" s="168" t="b">
        <f>COUNTIFS(ITEquipmentTable[Serial], ITEquipmentTable[[#This Row],[Serial]], ITEquipmentTable[Serial], "&lt;&gt;N/A") &gt; 1</f>
        <v>0</v>
      </c>
      <c r="L622" s="168" t="b">
        <f>COUNTIFS(ITEquipmentTable[Name], ITEquipmentTable[[#This Row],[Name]], ITEquipmentTable[Name], "&lt;&gt;&lt;Unassigned&gt;",  ITEquipmentTable[Name], "&lt;&gt;N/A") &gt; 1</f>
        <v>0</v>
      </c>
      <c r="M622" s="168" t="b">
        <f>AND(COUNTIFS(ITEquipmentTable[IPv4 Address], ITEquipmentTable[[#This Row],[IPv4 Address]]) &gt; 1, ITEquipmentTable[[#This Row],[IPv4 Address]] &lt;&gt; "DHCP",  ITEquipmentTable[[#This Row],[IPv4 Address]] &lt;&gt; "N/A")</f>
        <v>0</v>
      </c>
    </row>
    <row r="623" spans="1:13" x14ac:dyDescent="0.2">
      <c r="A623" s="168">
        <f>IF(LEN(ITSecondTable[[#This Row],[Tag]]) &gt; 0, _xlfn.XLOOKUP(ITSecondTable[[#This Row],[Tag]],StorageTable[Tag], StorageTable[In Storage - Count Total], "Err", 0, 1), 0)</f>
        <v>25</v>
      </c>
      <c r="B623" s="168">
        <f>_xlfn.LET(_xlpm.loc, ITEquipmentTable[Storage Location],
COUNTIFS(ITSecondTable[Tag], ITSecondTable[[#This Row],[Tag]], _xlpm.loc, "&lt;&gt;In Use", _xlpm.loc, "&lt;&gt;",  _xlpm.loc, "&lt;&gt;E-Waste", _xlpm.loc, "&lt;&gt;Virtual",  _xlpm.loc, "&lt;&gt;Assigned to Employee", _xlpm.loc, "&lt;&gt;Decommisioned", _xlpm.loc, "&lt;&gt;Missing")
)</f>
        <v>36</v>
      </c>
      <c r="C623" s="168">
        <f>_xlfn.LET(_xlpm.loc, ITEquipmentTable[Storage Location],
COUNTIFS(ITSecondTable[Tag], ITSecondTable[[#This Row],[Tag]], _xlpm.loc, "&lt;&gt;E-Waste", _xlpm.loc, "&lt;&gt;Virtual", _xlpm.loc, "&lt;&gt;Decommisioned")
)</f>
        <v>41</v>
      </c>
      <c r="D623" s="168">
        <f>_xlfn.LET(_xlpm.loc, ITEquipmentTable[Storage Location],
COUNTIFS(ITSecondTable[Tag], ITSecondTable[[#This Row],[Tag]], _xlpm.loc, "Missing")
)</f>
        <v>0</v>
      </c>
      <c r="E623" s="168">
        <f>_xlfn.LET(_xlpm.loc, ITEquipmentTable[Storage Location],
COUNTIFS(ITSecondTable[Tag], ITSecondTable[[#This Row],[Tag]], _xlpm.loc, "In Use") + COUNTIFS(ITSecondTable[Tag], ITSecondTable[[#This Row],[Tag]], _xlpm.loc, "Assigned to Employee")
)</f>
        <v>5</v>
      </c>
      <c r="F623" s="168">
        <f>_xlfn.LET(_xlpm.loc, ITEquipmentTable[Storage Location],
COUNTIFS(ITSecondTable[Tag], ITSecondTable[[#This Row],[Tag]], _xlpm.loc, "")
)</f>
        <v>0</v>
      </c>
      <c r="G623" s="168">
        <f>MAX(ITSecondTable[[#This Row],[SQty]] - ITSecondTable[[#This Row],[IQty]], 0)</f>
        <v>11</v>
      </c>
      <c r="H623" s="168">
        <f>MAX(ITSecondTable[[#This Row],[IQty]]-ITSecondTable[[#This Row],[SQty]], 0)</f>
        <v>0</v>
      </c>
      <c r="I623" s="151" t="str">
        <f>IFERROR(_xlfn.TEXTJOIN("~", TRUE, ITEquipmentTable[[#This Row],[Type]],ITEquipmentTable[[#This Row],[Brand]],ITEquipmentTable[[#This Row],[Model]]), "")</f>
        <v>Monitor~Acer~V206HQL</v>
      </c>
      <c r="J623" s="151" t="b">
        <f xml:space="preserve"> _xlfn.IFNA(MATCH( ITSecondTable[[#This Row],[Tag]], StorageTable[Tag], 0)  &gt; -1, FALSE)</f>
        <v>0</v>
      </c>
      <c r="K623" s="168" t="b">
        <f>COUNTIFS(ITEquipmentTable[Serial], ITEquipmentTable[[#This Row],[Serial]], ITEquipmentTable[Serial], "&lt;&gt;N/A") &gt; 1</f>
        <v>0</v>
      </c>
      <c r="L623" s="168" t="b">
        <f>COUNTIFS(ITEquipmentTable[Name], ITEquipmentTable[[#This Row],[Name]], ITEquipmentTable[Name], "&lt;&gt;&lt;Unassigned&gt;",  ITEquipmentTable[Name], "&lt;&gt;N/A") &gt; 1</f>
        <v>0</v>
      </c>
      <c r="M623" s="168" t="b">
        <f>AND(COUNTIFS(ITEquipmentTable[IPv4 Address], ITEquipmentTable[[#This Row],[IPv4 Address]]) &gt; 1, ITEquipmentTable[[#This Row],[IPv4 Address]] &lt;&gt; "DHCP",  ITEquipmentTable[[#This Row],[IPv4 Address]] &lt;&gt; "N/A")</f>
        <v>0</v>
      </c>
    </row>
    <row r="624" spans="1:13" x14ac:dyDescent="0.2">
      <c r="A624" s="168">
        <f>IF(LEN(ITSecondTable[[#This Row],[Tag]]) &gt; 0, _xlfn.XLOOKUP(ITSecondTable[[#This Row],[Tag]],StorageTable[Tag], StorageTable[In Storage - Count Total], "Err", 0, 1), 0)</f>
        <v>0</v>
      </c>
      <c r="B624" s="168">
        <f>_xlfn.LET(_xlpm.loc, ITEquipmentTable[Storage Location],
COUNTIFS(ITSecondTable[Tag], ITSecondTable[[#This Row],[Tag]], _xlpm.loc, "&lt;&gt;In Use", _xlpm.loc, "&lt;&gt;",  _xlpm.loc, "&lt;&gt;E-Waste", _xlpm.loc, "&lt;&gt;Virtual",  _xlpm.loc, "&lt;&gt;Assigned to Employee", _xlpm.loc, "&lt;&gt;Decommisioned", _xlpm.loc, "&lt;&gt;Missing")
)</f>
        <v>3</v>
      </c>
      <c r="C624" s="168">
        <f>_xlfn.LET(_xlpm.loc, ITEquipmentTable[Storage Location],
COUNTIFS(ITSecondTable[Tag], ITSecondTable[[#This Row],[Tag]], _xlpm.loc, "&lt;&gt;E-Waste", _xlpm.loc, "&lt;&gt;Virtual", _xlpm.loc, "&lt;&gt;Decommisioned")
)</f>
        <v>4</v>
      </c>
      <c r="D624" s="168">
        <f>_xlfn.LET(_xlpm.loc, ITEquipmentTable[Storage Location],
COUNTIFS(ITSecondTable[Tag], ITSecondTable[[#This Row],[Tag]], _xlpm.loc, "Missing")
)</f>
        <v>0</v>
      </c>
      <c r="E624" s="168">
        <f>_xlfn.LET(_xlpm.loc, ITEquipmentTable[Storage Location],
COUNTIFS(ITSecondTable[Tag], ITSecondTable[[#This Row],[Tag]], _xlpm.loc, "In Use") + COUNTIFS(ITSecondTable[Tag], ITSecondTable[[#This Row],[Tag]], _xlpm.loc, "Assigned to Employee")
)</f>
        <v>0</v>
      </c>
      <c r="F624" s="168">
        <f>_xlfn.LET(_xlpm.loc, ITEquipmentTable[Storage Location],
COUNTIFS(ITSecondTable[Tag], ITSecondTable[[#This Row],[Tag]], _xlpm.loc, "")
)</f>
        <v>1</v>
      </c>
      <c r="G624" s="168">
        <f>MAX(ITSecondTable[[#This Row],[SQty]] - ITSecondTable[[#This Row],[IQty]], 0)</f>
        <v>3</v>
      </c>
      <c r="H624" s="168">
        <f>MAX(ITSecondTable[[#This Row],[IQty]]-ITSecondTable[[#This Row],[SQty]], 0)</f>
        <v>0</v>
      </c>
      <c r="I624" s="151" t="str">
        <f>IFERROR(_xlfn.TEXTJOIN("~", TRUE, ITEquipmentTable[[#This Row],[Type]],ITEquipmentTable[[#This Row],[Brand]],ITEquipmentTable[[#This Row],[Model]]), "")</f>
        <v>APC~APC~BE750G</v>
      </c>
      <c r="J624" s="151" t="b">
        <f xml:space="preserve"> _xlfn.IFNA(MATCH( ITSecondTable[[#This Row],[Tag]], StorageTable[Tag], 0)  &gt; -1, FALSE)</f>
        <v>0</v>
      </c>
      <c r="K624" s="168" t="b">
        <f>COUNTIFS(ITEquipmentTable[Serial], ITEquipmentTable[[#This Row],[Serial]], ITEquipmentTable[Serial], "&lt;&gt;N/A") &gt; 1</f>
        <v>0</v>
      </c>
      <c r="L624" s="168" t="b">
        <f>COUNTIFS(ITEquipmentTable[Name], ITEquipmentTable[[#This Row],[Name]], ITEquipmentTable[Name], "&lt;&gt;&lt;Unassigned&gt;",  ITEquipmentTable[Name], "&lt;&gt;N/A") &gt; 1</f>
        <v>0</v>
      </c>
      <c r="M624" s="168" t="b">
        <f>AND(COUNTIFS(ITEquipmentTable[IPv4 Address], ITEquipmentTable[[#This Row],[IPv4 Address]]) &gt; 1, ITEquipmentTable[[#This Row],[IPv4 Address]] &lt;&gt; "DHCP",  ITEquipmentTable[[#This Row],[IPv4 Address]] &lt;&gt; "N/A")</f>
        <v>0</v>
      </c>
    </row>
    <row r="625" spans="1:13" x14ac:dyDescent="0.2">
      <c r="A625" s="168">
        <f>IF(LEN(ITSecondTable[[#This Row],[Tag]]) &gt; 0, _xlfn.XLOOKUP(ITSecondTable[[#This Row],[Tag]],StorageTable[Tag], StorageTable[In Storage - Count Total], "Err", 0, 1), 0)</f>
        <v>0</v>
      </c>
      <c r="B625" s="168">
        <f>_xlfn.LET(_xlpm.loc, ITEquipmentTable[Storage Location],
COUNTIFS(ITSecondTable[Tag], ITSecondTable[[#This Row],[Tag]], _xlpm.loc, "&lt;&gt;In Use", _xlpm.loc, "&lt;&gt;",  _xlpm.loc, "&lt;&gt;E-Waste", _xlpm.loc, "&lt;&gt;Virtual",  _xlpm.loc, "&lt;&gt;Assigned to Employee", _xlpm.loc, "&lt;&gt;Decommisioned", _xlpm.loc, "&lt;&gt;Missing")
)</f>
        <v>0</v>
      </c>
      <c r="C625" s="168">
        <f>_xlfn.LET(_xlpm.loc, ITEquipmentTable[Storage Location],
COUNTIFS(ITSecondTable[Tag], ITSecondTable[[#This Row],[Tag]], _xlpm.loc, "&lt;&gt;E-Waste", _xlpm.loc, "&lt;&gt;Virtual", _xlpm.loc, "&lt;&gt;Decommisioned")
)</f>
        <v>1</v>
      </c>
      <c r="D625" s="168">
        <f>_xlfn.LET(_xlpm.loc, ITEquipmentTable[Storage Location],
COUNTIFS(ITSecondTable[Tag], ITSecondTable[[#This Row],[Tag]], _xlpm.loc, "Missing")
)</f>
        <v>0</v>
      </c>
      <c r="E625" s="168">
        <f>_xlfn.LET(_xlpm.loc, ITEquipmentTable[Storage Location],
COUNTIFS(ITSecondTable[Tag], ITSecondTable[[#This Row],[Tag]], _xlpm.loc, "In Use") + COUNTIFS(ITSecondTable[Tag], ITSecondTable[[#This Row],[Tag]], _xlpm.loc, "Assigned to Employee")
)</f>
        <v>1</v>
      </c>
      <c r="F625" s="168">
        <f>_xlfn.LET(_xlpm.loc, ITEquipmentTable[Storage Location],
COUNTIFS(ITSecondTable[Tag], ITSecondTable[[#This Row],[Tag]], _xlpm.loc, "")
)</f>
        <v>0</v>
      </c>
      <c r="G625" s="168">
        <f>MAX(ITSecondTable[[#This Row],[SQty]] - ITSecondTable[[#This Row],[IQty]], 0)</f>
        <v>0</v>
      </c>
      <c r="H625" s="168">
        <f>MAX(ITSecondTable[[#This Row],[IQty]]-ITSecondTable[[#This Row],[SQty]], 0)</f>
        <v>0</v>
      </c>
      <c r="I625" s="151" t="str">
        <f>IFERROR(_xlfn.TEXTJOIN("~", TRUE, ITEquipmentTable[[#This Row],[Type]],ITEquipmentTable[[#This Row],[Brand]],ITEquipmentTable[[#This Row],[Model]]), "")</f>
        <v>APC~CyberPower</v>
      </c>
      <c r="J625" s="151" t="b">
        <f xml:space="preserve"> _xlfn.IFNA(MATCH( ITSecondTable[[#This Row],[Tag]], StorageTable[Tag], 0)  &gt; -1, FALSE)</f>
        <v>0</v>
      </c>
      <c r="K625" s="168" t="b">
        <f>COUNTIFS(ITEquipmentTable[Serial], ITEquipmentTable[[#This Row],[Serial]], ITEquipmentTable[Serial], "&lt;&gt;N/A") &gt; 1</f>
        <v>0</v>
      </c>
      <c r="L625" s="168" t="b">
        <f>COUNTIFS(ITEquipmentTable[Name], ITEquipmentTable[[#This Row],[Name]], ITEquipmentTable[Name], "&lt;&gt;&lt;Unassigned&gt;",  ITEquipmentTable[Name], "&lt;&gt;N/A") &gt; 1</f>
        <v>0</v>
      </c>
      <c r="M625" s="168" t="b">
        <f>AND(COUNTIFS(ITEquipmentTable[IPv4 Address], ITEquipmentTable[[#This Row],[IPv4 Address]]) &gt; 1, ITEquipmentTable[[#This Row],[IPv4 Address]] &lt;&gt; "DHCP",  ITEquipmentTable[[#This Row],[IPv4 Address]] &lt;&gt; "N/A")</f>
        <v>0</v>
      </c>
    </row>
    <row r="626" spans="1:13" x14ac:dyDescent="0.2">
      <c r="A626" s="168">
        <f>IF(LEN(ITSecondTable[[#This Row],[Tag]]) &gt; 0, _xlfn.XLOOKUP(ITSecondTable[[#This Row],[Tag]],StorageTable[Tag], StorageTable[In Storage - Count Total], "Err", 0, 1), 0)</f>
        <v>0</v>
      </c>
      <c r="B626" s="168">
        <f>_xlfn.LET(_xlpm.loc, ITEquipmentTable[Storage Location],
COUNTIFS(ITSecondTable[Tag], ITSecondTable[[#This Row],[Tag]], _xlpm.loc, "&lt;&gt;In Use", _xlpm.loc, "&lt;&gt;",  _xlpm.loc, "&lt;&gt;E-Waste", _xlpm.loc, "&lt;&gt;Virtual",  _xlpm.loc, "&lt;&gt;Assigned to Employee", _xlpm.loc, "&lt;&gt;Decommisioned", _xlpm.loc, "&lt;&gt;Missing")
)</f>
        <v>4</v>
      </c>
      <c r="C626" s="168">
        <f>_xlfn.LET(_xlpm.loc, ITEquipmentTable[Storage Location],
COUNTIFS(ITSecondTable[Tag], ITSecondTable[[#This Row],[Tag]], _xlpm.loc, "&lt;&gt;E-Waste", _xlpm.loc, "&lt;&gt;Virtual", _xlpm.loc, "&lt;&gt;Decommisioned")
)</f>
        <v>4</v>
      </c>
      <c r="D626" s="168">
        <f>_xlfn.LET(_xlpm.loc, ITEquipmentTable[Storage Location],
COUNTIFS(ITSecondTable[Tag], ITSecondTable[[#This Row],[Tag]], _xlpm.loc, "Missing")
)</f>
        <v>0</v>
      </c>
      <c r="E626" s="168">
        <f>_xlfn.LET(_xlpm.loc, ITEquipmentTable[Storage Location],
COUNTIFS(ITSecondTable[Tag], ITSecondTable[[#This Row],[Tag]], _xlpm.loc, "In Use") + COUNTIFS(ITSecondTable[Tag], ITSecondTable[[#This Row],[Tag]], _xlpm.loc, "Assigned to Employee")
)</f>
        <v>0</v>
      </c>
      <c r="F626" s="168">
        <f>_xlfn.LET(_xlpm.loc, ITEquipmentTable[Storage Location],
COUNTIFS(ITSecondTable[Tag], ITSecondTable[[#This Row],[Tag]], _xlpm.loc, "")
)</f>
        <v>0</v>
      </c>
      <c r="G626" s="168">
        <f>MAX(ITSecondTable[[#This Row],[SQty]] - ITSecondTable[[#This Row],[IQty]], 0)</f>
        <v>4</v>
      </c>
      <c r="H626" s="168">
        <f>MAX(ITSecondTable[[#This Row],[IQty]]-ITSecondTable[[#This Row],[SQty]], 0)</f>
        <v>0</v>
      </c>
      <c r="I626" s="151" t="str">
        <f>IFERROR(_xlfn.TEXTJOIN("~", TRUE, ITEquipmentTable[[#This Row],[Type]],ITEquipmentTable[[#This Row],[Brand]],ITEquipmentTable[[#This Row],[Model]]), "")</f>
        <v>APC~APC~SC620</v>
      </c>
      <c r="J626" s="151" t="b">
        <f xml:space="preserve"> _xlfn.IFNA(MATCH( ITSecondTable[[#This Row],[Tag]], StorageTable[Tag], 0)  &gt; -1, FALSE)</f>
        <v>0</v>
      </c>
      <c r="K626" s="168" t="b">
        <f>COUNTIFS(ITEquipmentTable[Serial], ITEquipmentTable[[#This Row],[Serial]], ITEquipmentTable[Serial], "&lt;&gt;N/A") &gt; 1</f>
        <v>0</v>
      </c>
      <c r="L626" s="168" t="b">
        <f>COUNTIFS(ITEquipmentTable[Name], ITEquipmentTable[[#This Row],[Name]], ITEquipmentTable[Name], "&lt;&gt;&lt;Unassigned&gt;",  ITEquipmentTable[Name], "&lt;&gt;N/A") &gt; 1</f>
        <v>0</v>
      </c>
      <c r="M626" s="168" t="b">
        <f>AND(COUNTIFS(ITEquipmentTable[IPv4 Address], ITEquipmentTable[[#This Row],[IPv4 Address]]) &gt; 1, ITEquipmentTable[[#This Row],[IPv4 Address]] &lt;&gt; "DHCP",  ITEquipmentTable[[#This Row],[IPv4 Address]] &lt;&gt; "N/A")</f>
        <v>0</v>
      </c>
    </row>
    <row r="627" spans="1:13" x14ac:dyDescent="0.2">
      <c r="A627" s="168">
        <f>IF(LEN(ITSecondTable[[#This Row],[Tag]]) &gt; 0, _xlfn.XLOOKUP(ITSecondTable[[#This Row],[Tag]],StorageTable[Tag], StorageTable[In Storage - Count Total], "Err", 0, 1), 0)</f>
        <v>0</v>
      </c>
      <c r="B627" s="168">
        <f>_xlfn.LET(_xlpm.loc, ITEquipmentTable[Storage Location],
COUNTIFS(ITSecondTable[Tag], ITSecondTable[[#This Row],[Tag]], _xlpm.loc, "&lt;&gt;In Use", _xlpm.loc, "&lt;&gt;",  _xlpm.loc, "&lt;&gt;E-Waste", _xlpm.loc, "&lt;&gt;Virtual",  _xlpm.loc, "&lt;&gt;Assigned to Employee", _xlpm.loc, "&lt;&gt;Decommisioned", _xlpm.loc, "&lt;&gt;Missing")
)</f>
        <v>4</v>
      </c>
      <c r="C627" s="168">
        <f>_xlfn.LET(_xlpm.loc, ITEquipmentTable[Storage Location],
COUNTIFS(ITSecondTable[Tag], ITSecondTable[[#This Row],[Tag]], _xlpm.loc, "&lt;&gt;E-Waste", _xlpm.loc, "&lt;&gt;Virtual", _xlpm.loc, "&lt;&gt;Decommisioned")
)</f>
        <v>4</v>
      </c>
      <c r="D627" s="168">
        <f>_xlfn.LET(_xlpm.loc, ITEquipmentTable[Storage Location],
COUNTIFS(ITSecondTable[Tag], ITSecondTable[[#This Row],[Tag]], _xlpm.loc, "Missing")
)</f>
        <v>0</v>
      </c>
      <c r="E627" s="168">
        <f>_xlfn.LET(_xlpm.loc, ITEquipmentTable[Storage Location],
COUNTIFS(ITSecondTable[Tag], ITSecondTable[[#This Row],[Tag]], _xlpm.loc, "In Use") + COUNTIFS(ITSecondTable[Tag], ITSecondTable[[#This Row],[Tag]], _xlpm.loc, "Assigned to Employee")
)</f>
        <v>0</v>
      </c>
      <c r="F627" s="168">
        <f>_xlfn.LET(_xlpm.loc, ITEquipmentTable[Storage Location],
COUNTIFS(ITSecondTable[Tag], ITSecondTable[[#This Row],[Tag]], _xlpm.loc, "")
)</f>
        <v>0</v>
      </c>
      <c r="G627" s="168">
        <f>MAX(ITSecondTable[[#This Row],[SQty]] - ITSecondTable[[#This Row],[IQty]], 0)</f>
        <v>4</v>
      </c>
      <c r="H627" s="168">
        <f>MAX(ITSecondTable[[#This Row],[IQty]]-ITSecondTable[[#This Row],[SQty]], 0)</f>
        <v>0</v>
      </c>
      <c r="I627" s="151" t="str">
        <f>IFERROR(_xlfn.TEXTJOIN("~", TRUE, ITEquipmentTable[[#This Row],[Type]],ITEquipmentTable[[#This Row],[Brand]],ITEquipmentTable[[#This Row],[Model]]), "")</f>
        <v>APC~APC~SC620</v>
      </c>
      <c r="J627" s="151" t="b">
        <f xml:space="preserve"> _xlfn.IFNA(MATCH( ITSecondTable[[#This Row],[Tag]], StorageTable[Tag], 0)  &gt; -1, FALSE)</f>
        <v>0</v>
      </c>
      <c r="K627" s="168" t="b">
        <f>COUNTIFS(ITEquipmentTable[Serial], ITEquipmentTable[[#This Row],[Serial]], ITEquipmentTable[Serial], "&lt;&gt;N/A") &gt; 1</f>
        <v>0</v>
      </c>
      <c r="L627" s="168" t="b">
        <f>COUNTIFS(ITEquipmentTable[Name], ITEquipmentTable[[#This Row],[Name]], ITEquipmentTable[Name], "&lt;&gt;&lt;Unassigned&gt;",  ITEquipmentTable[Name], "&lt;&gt;N/A") &gt; 1</f>
        <v>0</v>
      </c>
      <c r="M627" s="168" t="b">
        <f>AND(COUNTIFS(ITEquipmentTable[IPv4 Address], ITEquipmentTable[[#This Row],[IPv4 Address]]) &gt; 1, ITEquipmentTable[[#This Row],[IPv4 Address]] &lt;&gt; "DHCP",  ITEquipmentTable[[#This Row],[IPv4 Address]] &lt;&gt; "N/A")</f>
        <v>0</v>
      </c>
    </row>
    <row r="628" spans="1:13" x14ac:dyDescent="0.2">
      <c r="A628" s="168">
        <f>IF(LEN(ITSecondTable[[#This Row],[Tag]]) &gt; 0, _xlfn.XLOOKUP(ITSecondTable[[#This Row],[Tag]],StorageTable[Tag], StorageTable[In Storage - Count Total], "Err", 0, 1), 0)</f>
        <v>0</v>
      </c>
      <c r="B628" s="168">
        <f>_xlfn.LET(_xlpm.loc, ITEquipmentTable[Storage Location],
COUNTIFS(ITSecondTable[Tag], ITSecondTable[[#This Row],[Tag]], _xlpm.loc, "&lt;&gt;In Use", _xlpm.loc, "&lt;&gt;",  _xlpm.loc, "&lt;&gt;E-Waste", _xlpm.loc, "&lt;&gt;Virtual",  _xlpm.loc, "&lt;&gt;Assigned to Employee", _xlpm.loc, "&lt;&gt;Decommisioned", _xlpm.loc, "&lt;&gt;Missing")
)</f>
        <v>4</v>
      </c>
      <c r="C628" s="168">
        <f>_xlfn.LET(_xlpm.loc, ITEquipmentTable[Storage Location],
COUNTIFS(ITSecondTable[Tag], ITSecondTable[[#This Row],[Tag]], _xlpm.loc, "&lt;&gt;E-Waste", _xlpm.loc, "&lt;&gt;Virtual", _xlpm.loc, "&lt;&gt;Decommisioned")
)</f>
        <v>4</v>
      </c>
      <c r="D628" s="168">
        <f>_xlfn.LET(_xlpm.loc, ITEquipmentTable[Storage Location],
COUNTIFS(ITSecondTable[Tag], ITSecondTable[[#This Row],[Tag]], _xlpm.loc, "Missing")
)</f>
        <v>0</v>
      </c>
      <c r="E628" s="168">
        <f>_xlfn.LET(_xlpm.loc, ITEquipmentTable[Storage Location],
COUNTIFS(ITSecondTable[Tag], ITSecondTable[[#This Row],[Tag]], _xlpm.loc, "In Use") + COUNTIFS(ITSecondTable[Tag], ITSecondTable[[#This Row],[Tag]], _xlpm.loc, "Assigned to Employee")
)</f>
        <v>0</v>
      </c>
      <c r="F628" s="168">
        <f>_xlfn.LET(_xlpm.loc, ITEquipmentTable[Storage Location],
COUNTIFS(ITSecondTable[Tag], ITSecondTable[[#This Row],[Tag]], _xlpm.loc, "")
)</f>
        <v>0</v>
      </c>
      <c r="G628" s="168">
        <f>MAX(ITSecondTable[[#This Row],[SQty]] - ITSecondTable[[#This Row],[IQty]], 0)</f>
        <v>4</v>
      </c>
      <c r="H628" s="168">
        <f>MAX(ITSecondTable[[#This Row],[IQty]]-ITSecondTable[[#This Row],[SQty]], 0)</f>
        <v>0</v>
      </c>
      <c r="I628" s="151" t="str">
        <f>IFERROR(_xlfn.TEXTJOIN("~", TRUE, ITEquipmentTable[[#This Row],[Type]],ITEquipmentTable[[#This Row],[Brand]],ITEquipmentTable[[#This Row],[Model]]), "")</f>
        <v>APC~APC~SC620</v>
      </c>
      <c r="J628" s="151" t="b">
        <f xml:space="preserve"> _xlfn.IFNA(MATCH( ITSecondTable[[#This Row],[Tag]], StorageTable[Tag], 0)  &gt; -1, FALSE)</f>
        <v>0</v>
      </c>
      <c r="K628" s="168" t="b">
        <f>COUNTIFS(ITEquipmentTable[Serial], ITEquipmentTable[[#This Row],[Serial]], ITEquipmentTable[Serial], "&lt;&gt;N/A") &gt; 1</f>
        <v>0</v>
      </c>
      <c r="L628" s="168" t="b">
        <f>COUNTIFS(ITEquipmentTable[Name], ITEquipmentTable[[#This Row],[Name]], ITEquipmentTable[Name], "&lt;&gt;&lt;Unassigned&gt;",  ITEquipmentTable[Name], "&lt;&gt;N/A") &gt; 1</f>
        <v>0</v>
      </c>
      <c r="M628" s="168" t="b">
        <f>AND(COUNTIFS(ITEquipmentTable[IPv4 Address], ITEquipmentTable[[#This Row],[IPv4 Address]]) &gt; 1, ITEquipmentTable[[#This Row],[IPv4 Address]] &lt;&gt; "DHCP",  ITEquipmentTable[[#This Row],[IPv4 Address]] &lt;&gt; "N/A")</f>
        <v>0</v>
      </c>
    </row>
    <row r="629" spans="1:13" x14ac:dyDescent="0.2">
      <c r="A629" s="168">
        <f>IF(LEN(ITSecondTable[[#This Row],[Tag]]) &gt; 0, _xlfn.XLOOKUP(ITSecondTable[[#This Row],[Tag]],StorageTable[Tag], StorageTable[In Storage - Count Total], "Err", 0, 1), 0)</f>
        <v>30</v>
      </c>
      <c r="B629" s="168">
        <f>_xlfn.LET(_xlpm.loc, ITEquipmentTable[Storage Location],
COUNTIFS(ITSecondTable[Tag], ITSecondTable[[#This Row],[Tag]], _xlpm.loc, "&lt;&gt;In Use", _xlpm.loc, "&lt;&gt;",  _xlpm.loc, "&lt;&gt;E-Waste", _xlpm.loc, "&lt;&gt;Virtual",  _xlpm.loc, "&lt;&gt;Assigned to Employee", _xlpm.loc, "&lt;&gt;Decommisioned", _xlpm.loc, "&lt;&gt;Missing")
)</f>
        <v>21</v>
      </c>
      <c r="C629" s="168">
        <f>_xlfn.LET(_xlpm.loc, ITEquipmentTable[Storage Location],
COUNTIFS(ITSecondTable[Tag], ITSecondTable[[#This Row],[Tag]], _xlpm.loc, "&lt;&gt;E-Waste", _xlpm.loc, "&lt;&gt;Virtual", _xlpm.loc, "&lt;&gt;Decommisioned")
)</f>
        <v>33</v>
      </c>
      <c r="D629" s="168">
        <f>_xlfn.LET(_xlpm.loc, ITEquipmentTable[Storage Location],
COUNTIFS(ITSecondTable[Tag], ITSecondTable[[#This Row],[Tag]], _xlpm.loc, "Missing")
)</f>
        <v>0</v>
      </c>
      <c r="E629" s="168">
        <f>_xlfn.LET(_xlpm.loc, ITEquipmentTable[Storage Location],
COUNTIFS(ITSecondTable[Tag], ITSecondTable[[#This Row],[Tag]], _xlpm.loc, "In Use") + COUNTIFS(ITSecondTable[Tag], ITSecondTable[[#This Row],[Tag]], _xlpm.loc, "Assigned to Employee")
)</f>
        <v>12</v>
      </c>
      <c r="F629" s="168">
        <f>_xlfn.LET(_xlpm.loc, ITEquipmentTable[Storage Location],
COUNTIFS(ITSecondTable[Tag], ITSecondTable[[#This Row],[Tag]], _xlpm.loc, "")
)</f>
        <v>0</v>
      </c>
      <c r="G629" s="168">
        <f>MAX(ITSecondTable[[#This Row],[SQty]] - ITSecondTable[[#This Row],[IQty]], 0)</f>
        <v>0</v>
      </c>
      <c r="H629" s="168">
        <f>MAX(ITSecondTable[[#This Row],[IQty]]-ITSecondTable[[#This Row],[SQty]], 0)</f>
        <v>9</v>
      </c>
      <c r="I629" s="151" t="str">
        <f>IFERROR(_xlfn.TEXTJOIN("~", TRUE, ITEquipmentTable[[#This Row],[Type]],ITEquipmentTable[[#This Row],[Brand]],ITEquipmentTable[[#This Row],[Model]]), "")</f>
        <v>Scanner Base~Honeywell~CCB02-100BT-07N</v>
      </c>
      <c r="J629" s="151" t="b">
        <f xml:space="preserve"> _xlfn.IFNA(MATCH( ITSecondTable[[#This Row],[Tag]], StorageTable[Tag], 0)  &gt; -1, FALSE)</f>
        <v>0</v>
      </c>
      <c r="K629" s="168" t="b">
        <f>COUNTIFS(ITEquipmentTable[Serial], ITEquipmentTable[[#This Row],[Serial]], ITEquipmentTable[Serial], "&lt;&gt;N/A") &gt; 1</f>
        <v>0</v>
      </c>
      <c r="L629" s="168" t="b">
        <f>COUNTIFS(ITEquipmentTable[Name], ITEquipmentTable[[#This Row],[Name]], ITEquipmentTable[Name], "&lt;&gt;&lt;Unassigned&gt;",  ITEquipmentTable[Name], "&lt;&gt;N/A") &gt; 1</f>
        <v>0</v>
      </c>
      <c r="M629" s="168" t="b">
        <f>AND(COUNTIFS(ITEquipmentTable[IPv4 Address], ITEquipmentTable[[#This Row],[IPv4 Address]]) &gt; 1, ITEquipmentTable[[#This Row],[IPv4 Address]] &lt;&gt; "DHCP",  ITEquipmentTable[[#This Row],[IPv4 Address]] &lt;&gt; "N/A")</f>
        <v>0</v>
      </c>
    </row>
    <row r="630" spans="1:13" x14ac:dyDescent="0.2">
      <c r="A630" s="168">
        <f>IF(LEN(ITSecondTable[[#This Row],[Tag]]) &gt; 0, _xlfn.XLOOKUP(ITSecondTable[[#This Row],[Tag]],StorageTable[Tag], StorageTable[In Storage - Count Total], "Err", 0, 1), 0)</f>
        <v>30</v>
      </c>
      <c r="B630" s="168">
        <f>_xlfn.LET(_xlpm.loc, ITEquipmentTable[Storage Location],
COUNTIFS(ITSecondTable[Tag], ITSecondTable[[#This Row],[Tag]], _xlpm.loc, "&lt;&gt;In Use", _xlpm.loc, "&lt;&gt;",  _xlpm.loc, "&lt;&gt;E-Waste", _xlpm.loc, "&lt;&gt;Virtual",  _xlpm.loc, "&lt;&gt;Assigned to Employee", _xlpm.loc, "&lt;&gt;Decommisioned", _xlpm.loc, "&lt;&gt;Missing")
)</f>
        <v>21</v>
      </c>
      <c r="C630" s="168">
        <f>_xlfn.LET(_xlpm.loc, ITEquipmentTable[Storage Location],
COUNTIFS(ITSecondTable[Tag], ITSecondTable[[#This Row],[Tag]], _xlpm.loc, "&lt;&gt;E-Waste", _xlpm.loc, "&lt;&gt;Virtual", _xlpm.loc, "&lt;&gt;Decommisioned")
)</f>
        <v>33</v>
      </c>
      <c r="D630" s="168">
        <f>_xlfn.LET(_xlpm.loc, ITEquipmentTable[Storage Location],
COUNTIFS(ITSecondTable[Tag], ITSecondTable[[#This Row],[Tag]], _xlpm.loc, "Missing")
)</f>
        <v>0</v>
      </c>
      <c r="E630" s="168">
        <f>_xlfn.LET(_xlpm.loc, ITEquipmentTable[Storage Location],
COUNTIFS(ITSecondTable[Tag], ITSecondTable[[#This Row],[Tag]], _xlpm.loc, "In Use") + COUNTIFS(ITSecondTable[Tag], ITSecondTable[[#This Row],[Tag]], _xlpm.loc, "Assigned to Employee")
)</f>
        <v>12</v>
      </c>
      <c r="F630" s="168">
        <f>_xlfn.LET(_xlpm.loc, ITEquipmentTable[Storage Location],
COUNTIFS(ITSecondTable[Tag], ITSecondTable[[#This Row],[Tag]], _xlpm.loc, "")
)</f>
        <v>0</v>
      </c>
      <c r="G630" s="168">
        <f>MAX(ITSecondTable[[#This Row],[SQty]] - ITSecondTable[[#This Row],[IQty]], 0)</f>
        <v>0</v>
      </c>
      <c r="H630" s="168">
        <f>MAX(ITSecondTable[[#This Row],[IQty]]-ITSecondTable[[#This Row],[SQty]], 0)</f>
        <v>9</v>
      </c>
      <c r="I630" s="151" t="str">
        <f>IFERROR(_xlfn.TEXTJOIN("~", TRUE, ITEquipmentTable[[#This Row],[Type]],ITEquipmentTable[[#This Row],[Brand]],ITEquipmentTable[[#This Row],[Model]]), "")</f>
        <v>Scanner Base~Honeywell~CCB02-100BT-07N</v>
      </c>
      <c r="J630" s="151" t="b">
        <f xml:space="preserve"> _xlfn.IFNA(MATCH( ITSecondTable[[#This Row],[Tag]], StorageTable[Tag], 0)  &gt; -1, FALSE)</f>
        <v>0</v>
      </c>
      <c r="K630" s="168" t="b">
        <f>COUNTIFS(ITEquipmentTable[Serial], ITEquipmentTable[[#This Row],[Serial]], ITEquipmentTable[Serial], "&lt;&gt;N/A") &gt; 1</f>
        <v>0</v>
      </c>
      <c r="L630" s="168" t="b">
        <f>COUNTIFS(ITEquipmentTable[Name], ITEquipmentTable[[#This Row],[Name]], ITEquipmentTable[Name], "&lt;&gt;&lt;Unassigned&gt;",  ITEquipmentTable[Name], "&lt;&gt;N/A") &gt; 1</f>
        <v>0</v>
      </c>
      <c r="M630" s="168" t="b">
        <f>AND(COUNTIFS(ITEquipmentTable[IPv4 Address], ITEquipmentTable[[#This Row],[IPv4 Address]]) &gt; 1, ITEquipmentTable[[#This Row],[IPv4 Address]] &lt;&gt; "DHCP",  ITEquipmentTable[[#This Row],[IPv4 Address]] &lt;&gt; "N/A")</f>
        <v>0</v>
      </c>
    </row>
    <row r="631" spans="1:13" x14ac:dyDescent="0.2">
      <c r="A631" s="168">
        <f>IF(LEN(ITSecondTable[[#This Row],[Tag]]) &gt; 0, _xlfn.XLOOKUP(ITSecondTable[[#This Row],[Tag]],StorageTable[Tag], StorageTable[In Storage - Count Total], "Err", 0, 1), 0)</f>
        <v>18</v>
      </c>
      <c r="B631" s="168">
        <f>_xlfn.LET(_xlpm.loc, ITEquipmentTable[Storage Location],
COUNTIFS(ITSecondTable[Tag], ITSecondTable[[#This Row],[Tag]], _xlpm.loc, "&lt;&gt;In Use", _xlpm.loc, "&lt;&gt;",  _xlpm.loc, "&lt;&gt;E-Waste", _xlpm.loc, "&lt;&gt;Virtual",  _xlpm.loc, "&lt;&gt;Assigned to Employee", _xlpm.loc, "&lt;&gt;Decommisioned", _xlpm.loc, "&lt;&gt;Missing")
)</f>
        <v>11</v>
      </c>
      <c r="C631" s="168">
        <f>_xlfn.LET(_xlpm.loc, ITEquipmentTable[Storage Location],
COUNTIFS(ITSecondTable[Tag], ITSecondTable[[#This Row],[Tag]], _xlpm.loc, "&lt;&gt;E-Waste", _xlpm.loc, "&lt;&gt;Virtual", _xlpm.loc, "&lt;&gt;Decommisioned")
)</f>
        <v>38</v>
      </c>
      <c r="D631" s="168">
        <f>_xlfn.LET(_xlpm.loc, ITEquipmentTable[Storage Location],
COUNTIFS(ITSecondTable[Tag], ITSecondTable[[#This Row],[Tag]], _xlpm.loc, "Missing")
)</f>
        <v>0</v>
      </c>
      <c r="E631" s="168">
        <f>_xlfn.LET(_xlpm.loc, ITEquipmentTable[Storage Location],
COUNTIFS(ITSecondTable[Tag], ITSecondTable[[#This Row],[Tag]], _xlpm.loc, "In Use") + COUNTIFS(ITSecondTable[Tag], ITSecondTable[[#This Row],[Tag]], _xlpm.loc, "Assigned to Employee")
)</f>
        <v>13</v>
      </c>
      <c r="F631" s="168">
        <f>_xlfn.LET(_xlpm.loc, ITEquipmentTable[Storage Location],
COUNTIFS(ITSecondTable[Tag], ITSecondTable[[#This Row],[Tag]], _xlpm.loc, "")
)</f>
        <v>14</v>
      </c>
      <c r="G631" s="168">
        <f>MAX(ITSecondTable[[#This Row],[SQty]] - ITSecondTable[[#This Row],[IQty]], 0)</f>
        <v>0</v>
      </c>
      <c r="H631" s="168">
        <f>MAX(ITSecondTable[[#This Row],[IQty]]-ITSecondTable[[#This Row],[SQty]], 0)</f>
        <v>7</v>
      </c>
      <c r="I631" s="151" t="str">
        <f>IFERROR(_xlfn.TEXTJOIN("~", TRUE, ITEquipmentTable[[#This Row],[Type]],ITEquipmentTable[[#This Row],[Brand]],ITEquipmentTable[[#This Row],[Model]]), "")</f>
        <v>Scanner~Honeywell~1911i</v>
      </c>
      <c r="J631" s="151" t="b">
        <f xml:space="preserve"> _xlfn.IFNA(MATCH( ITSecondTable[[#This Row],[Tag]], StorageTable[Tag], 0)  &gt; -1, FALSE)</f>
        <v>0</v>
      </c>
      <c r="K631" s="168" t="b">
        <f>COUNTIFS(ITEquipmentTable[Serial], ITEquipmentTable[[#This Row],[Serial]], ITEquipmentTable[Serial], "&lt;&gt;N/A") &gt; 1</f>
        <v>0</v>
      </c>
      <c r="L631" s="168" t="b">
        <f>COUNTIFS(ITEquipmentTable[Name], ITEquipmentTable[[#This Row],[Name]], ITEquipmentTable[Name], "&lt;&gt;&lt;Unassigned&gt;",  ITEquipmentTable[Name], "&lt;&gt;N/A") &gt; 1</f>
        <v>0</v>
      </c>
      <c r="M631" s="168" t="b">
        <f>AND(COUNTIFS(ITEquipmentTable[IPv4 Address], ITEquipmentTable[[#This Row],[IPv4 Address]]) &gt; 1, ITEquipmentTable[[#This Row],[IPv4 Address]] &lt;&gt; "DHCP",  ITEquipmentTable[[#This Row],[IPv4 Address]] &lt;&gt; "N/A")</f>
        <v>0</v>
      </c>
    </row>
    <row r="632" spans="1:13" x14ac:dyDescent="0.2">
      <c r="A632" s="168">
        <f>IF(LEN(ITSecondTable[[#This Row],[Tag]]) &gt; 0, _xlfn.XLOOKUP(ITSecondTable[[#This Row],[Tag]],StorageTable[Tag], StorageTable[In Storage - Count Total], "Err", 0, 1), 0)</f>
        <v>18</v>
      </c>
      <c r="B632" s="168">
        <f>_xlfn.LET(_xlpm.loc, ITEquipmentTable[Storage Location],
COUNTIFS(ITSecondTable[Tag], ITSecondTable[[#This Row],[Tag]], _xlpm.loc, "&lt;&gt;In Use", _xlpm.loc, "&lt;&gt;",  _xlpm.loc, "&lt;&gt;E-Waste", _xlpm.loc, "&lt;&gt;Virtual",  _xlpm.loc, "&lt;&gt;Assigned to Employee", _xlpm.loc, "&lt;&gt;Decommisioned", _xlpm.loc, "&lt;&gt;Missing")
)</f>
        <v>11</v>
      </c>
      <c r="C632" s="168">
        <f>_xlfn.LET(_xlpm.loc, ITEquipmentTable[Storage Location],
COUNTIFS(ITSecondTable[Tag], ITSecondTable[[#This Row],[Tag]], _xlpm.loc, "&lt;&gt;E-Waste", _xlpm.loc, "&lt;&gt;Virtual", _xlpm.loc, "&lt;&gt;Decommisioned")
)</f>
        <v>38</v>
      </c>
      <c r="D632" s="168">
        <f>_xlfn.LET(_xlpm.loc, ITEquipmentTable[Storage Location],
COUNTIFS(ITSecondTable[Tag], ITSecondTable[[#This Row],[Tag]], _xlpm.loc, "Missing")
)</f>
        <v>0</v>
      </c>
      <c r="E632" s="168">
        <f>_xlfn.LET(_xlpm.loc, ITEquipmentTable[Storage Location],
COUNTIFS(ITSecondTable[Tag], ITSecondTable[[#This Row],[Tag]], _xlpm.loc, "In Use") + COUNTIFS(ITSecondTable[Tag], ITSecondTable[[#This Row],[Tag]], _xlpm.loc, "Assigned to Employee")
)</f>
        <v>13</v>
      </c>
      <c r="F632" s="168">
        <f>_xlfn.LET(_xlpm.loc, ITEquipmentTable[Storage Location],
COUNTIFS(ITSecondTable[Tag], ITSecondTable[[#This Row],[Tag]], _xlpm.loc, "")
)</f>
        <v>14</v>
      </c>
      <c r="G632" s="168">
        <f>MAX(ITSecondTable[[#This Row],[SQty]] - ITSecondTable[[#This Row],[IQty]], 0)</f>
        <v>0</v>
      </c>
      <c r="H632" s="168">
        <f>MAX(ITSecondTable[[#This Row],[IQty]]-ITSecondTable[[#This Row],[SQty]], 0)</f>
        <v>7</v>
      </c>
      <c r="I632" s="151" t="str">
        <f>IFERROR(_xlfn.TEXTJOIN("~", TRUE, ITEquipmentTable[[#This Row],[Type]],ITEquipmentTable[[#This Row],[Brand]],ITEquipmentTable[[#This Row],[Model]]), "")</f>
        <v>Scanner~Honeywell~1911i</v>
      </c>
      <c r="J632" s="151" t="b">
        <f xml:space="preserve"> _xlfn.IFNA(MATCH( ITSecondTable[[#This Row],[Tag]], StorageTable[Tag], 0)  &gt; -1, FALSE)</f>
        <v>0</v>
      </c>
      <c r="K632" s="168" t="b">
        <f>COUNTIFS(ITEquipmentTable[Serial], ITEquipmentTable[[#This Row],[Serial]], ITEquipmentTable[Serial], "&lt;&gt;N/A") &gt; 1</f>
        <v>0</v>
      </c>
      <c r="L632" s="168" t="b">
        <f>COUNTIFS(ITEquipmentTable[Name], ITEquipmentTable[[#This Row],[Name]], ITEquipmentTable[Name], "&lt;&gt;&lt;Unassigned&gt;",  ITEquipmentTable[Name], "&lt;&gt;N/A") &gt; 1</f>
        <v>0</v>
      </c>
      <c r="M632" s="168" t="b">
        <f>AND(COUNTIFS(ITEquipmentTable[IPv4 Address], ITEquipmentTable[[#This Row],[IPv4 Address]]) &gt; 1, ITEquipmentTable[[#This Row],[IPv4 Address]] &lt;&gt; "DHCP",  ITEquipmentTable[[#This Row],[IPv4 Address]] &lt;&gt; "N/A")</f>
        <v>0</v>
      </c>
    </row>
    <row r="633" spans="1:13" x14ac:dyDescent="0.2">
      <c r="A633" s="168">
        <f>IF(LEN(ITSecondTable[[#This Row],[Tag]]) &gt; 0, _xlfn.XLOOKUP(ITSecondTable[[#This Row],[Tag]],StorageTable[Tag], StorageTable[In Storage - Count Total], "Err", 0, 1), 0)</f>
        <v>18</v>
      </c>
      <c r="B633" s="168">
        <f>_xlfn.LET(_xlpm.loc, ITEquipmentTable[Storage Location],
COUNTIFS(ITSecondTable[Tag], ITSecondTable[[#This Row],[Tag]], _xlpm.loc, "&lt;&gt;In Use", _xlpm.loc, "&lt;&gt;",  _xlpm.loc, "&lt;&gt;E-Waste", _xlpm.loc, "&lt;&gt;Virtual",  _xlpm.loc, "&lt;&gt;Assigned to Employee", _xlpm.loc, "&lt;&gt;Decommisioned", _xlpm.loc, "&lt;&gt;Missing")
)</f>
        <v>11</v>
      </c>
      <c r="C633" s="168">
        <f>_xlfn.LET(_xlpm.loc, ITEquipmentTable[Storage Location],
COUNTIFS(ITSecondTable[Tag], ITSecondTable[[#This Row],[Tag]], _xlpm.loc, "&lt;&gt;E-Waste", _xlpm.loc, "&lt;&gt;Virtual", _xlpm.loc, "&lt;&gt;Decommisioned")
)</f>
        <v>38</v>
      </c>
      <c r="D633" s="168">
        <f>_xlfn.LET(_xlpm.loc, ITEquipmentTable[Storage Location],
COUNTIFS(ITSecondTable[Tag], ITSecondTable[[#This Row],[Tag]], _xlpm.loc, "Missing")
)</f>
        <v>0</v>
      </c>
      <c r="E633" s="168">
        <f>_xlfn.LET(_xlpm.loc, ITEquipmentTable[Storage Location],
COUNTIFS(ITSecondTable[Tag], ITSecondTable[[#This Row],[Tag]], _xlpm.loc, "In Use") + COUNTIFS(ITSecondTable[Tag], ITSecondTable[[#This Row],[Tag]], _xlpm.loc, "Assigned to Employee")
)</f>
        <v>13</v>
      </c>
      <c r="F633" s="168">
        <f>_xlfn.LET(_xlpm.loc, ITEquipmentTable[Storage Location],
COUNTIFS(ITSecondTable[Tag], ITSecondTable[[#This Row],[Tag]], _xlpm.loc, "")
)</f>
        <v>14</v>
      </c>
      <c r="G633" s="168">
        <f>MAX(ITSecondTable[[#This Row],[SQty]] - ITSecondTable[[#This Row],[IQty]], 0)</f>
        <v>0</v>
      </c>
      <c r="H633" s="168">
        <f>MAX(ITSecondTable[[#This Row],[IQty]]-ITSecondTable[[#This Row],[SQty]], 0)</f>
        <v>7</v>
      </c>
      <c r="I633" s="151" t="str">
        <f>IFERROR(_xlfn.TEXTJOIN("~", TRUE, ITEquipmentTable[[#This Row],[Type]],ITEquipmentTable[[#This Row],[Brand]],ITEquipmentTable[[#This Row],[Model]]), "")</f>
        <v>Scanner~Honeywell~1911i</v>
      </c>
      <c r="J633" s="151" t="b">
        <f xml:space="preserve"> _xlfn.IFNA(MATCH( ITSecondTable[[#This Row],[Tag]], StorageTable[Tag], 0)  &gt; -1, FALSE)</f>
        <v>0</v>
      </c>
      <c r="K633" s="168" t="b">
        <f>COUNTIFS(ITEquipmentTable[Serial], ITEquipmentTable[[#This Row],[Serial]], ITEquipmentTable[Serial], "&lt;&gt;N/A") &gt; 1</f>
        <v>0</v>
      </c>
      <c r="L633" s="168" t="b">
        <f>COUNTIFS(ITEquipmentTable[Name], ITEquipmentTable[[#This Row],[Name]], ITEquipmentTable[Name], "&lt;&gt;&lt;Unassigned&gt;",  ITEquipmentTable[Name], "&lt;&gt;N/A") &gt; 1</f>
        <v>0</v>
      </c>
      <c r="M633" s="168" t="b">
        <f>AND(COUNTIFS(ITEquipmentTable[IPv4 Address], ITEquipmentTable[[#This Row],[IPv4 Address]]) &gt; 1, ITEquipmentTable[[#This Row],[IPv4 Address]] &lt;&gt; "DHCP",  ITEquipmentTable[[#This Row],[IPv4 Address]] &lt;&gt; "N/A")</f>
        <v>0</v>
      </c>
    </row>
    <row r="634" spans="1:13" x14ac:dyDescent="0.2">
      <c r="A634" s="168">
        <f>IF(LEN(ITSecondTable[[#This Row],[Tag]]) &gt; 0, _xlfn.XLOOKUP(ITSecondTable[[#This Row],[Tag]],StorageTable[Tag], StorageTable[In Storage - Count Total], "Err", 0, 1), 0)</f>
        <v>0</v>
      </c>
      <c r="B634" s="168">
        <f>_xlfn.LET(_xlpm.loc, ITEquipmentTable[Storage Location],
COUNTIFS(ITSecondTable[Tag], ITSecondTable[[#This Row],[Tag]], _xlpm.loc, "&lt;&gt;In Use", _xlpm.loc, "&lt;&gt;",  _xlpm.loc, "&lt;&gt;E-Waste", _xlpm.loc, "&lt;&gt;Virtual",  _xlpm.loc, "&lt;&gt;Assigned to Employee", _xlpm.loc, "&lt;&gt;Decommisioned", _xlpm.loc, "&lt;&gt;Missing")
)</f>
        <v>3</v>
      </c>
      <c r="C634" s="168">
        <f>_xlfn.LET(_xlpm.loc, ITEquipmentTable[Storage Location],
COUNTIFS(ITSecondTable[Tag], ITSecondTable[[#This Row],[Tag]], _xlpm.loc, "&lt;&gt;E-Waste", _xlpm.loc, "&lt;&gt;Virtual", _xlpm.loc, "&lt;&gt;Decommisioned")
)</f>
        <v>3</v>
      </c>
      <c r="D634" s="168">
        <f>_xlfn.LET(_xlpm.loc, ITEquipmentTable[Storage Location],
COUNTIFS(ITSecondTable[Tag], ITSecondTable[[#This Row],[Tag]], _xlpm.loc, "Missing")
)</f>
        <v>0</v>
      </c>
      <c r="E634" s="168">
        <f>_xlfn.LET(_xlpm.loc, ITEquipmentTable[Storage Location],
COUNTIFS(ITSecondTable[Tag], ITSecondTable[[#This Row],[Tag]], _xlpm.loc, "In Use") + COUNTIFS(ITSecondTable[Tag], ITSecondTable[[#This Row],[Tag]], _xlpm.loc, "Assigned to Employee")
)</f>
        <v>0</v>
      </c>
      <c r="F634" s="168">
        <f>_xlfn.LET(_xlpm.loc, ITEquipmentTable[Storage Location],
COUNTIFS(ITSecondTable[Tag], ITSecondTable[[#This Row],[Tag]], _xlpm.loc, "")
)</f>
        <v>0</v>
      </c>
      <c r="G634" s="168">
        <f>MAX(ITSecondTable[[#This Row],[SQty]] - ITSecondTable[[#This Row],[IQty]], 0)</f>
        <v>3</v>
      </c>
      <c r="H634" s="168">
        <f>MAX(ITSecondTable[[#This Row],[IQty]]-ITSecondTable[[#This Row],[SQty]], 0)</f>
        <v>0</v>
      </c>
      <c r="I634" s="151" t="str">
        <f>IFERROR(_xlfn.TEXTJOIN("~", TRUE, ITEquipmentTable[[#This Row],[Type]],ITEquipmentTable[[#This Row],[Brand]],ITEquipmentTable[[#This Row],[Model]]), "")</f>
        <v>APC~APC~BE600M1</v>
      </c>
      <c r="J634" s="151" t="b">
        <f xml:space="preserve"> _xlfn.IFNA(MATCH( ITSecondTable[[#This Row],[Tag]], StorageTable[Tag], 0)  &gt; -1, FALSE)</f>
        <v>0</v>
      </c>
      <c r="K634" s="168" t="b">
        <f>COUNTIFS(ITEquipmentTable[Serial], ITEquipmentTable[[#This Row],[Serial]], ITEquipmentTable[Serial], "&lt;&gt;N/A") &gt; 1</f>
        <v>0</v>
      </c>
      <c r="L634" s="168" t="b">
        <f>COUNTIFS(ITEquipmentTable[Name], ITEquipmentTable[[#This Row],[Name]], ITEquipmentTable[Name], "&lt;&gt;&lt;Unassigned&gt;",  ITEquipmentTable[Name], "&lt;&gt;N/A") &gt; 1</f>
        <v>0</v>
      </c>
      <c r="M634" s="168" t="b">
        <f>AND(COUNTIFS(ITEquipmentTable[IPv4 Address], ITEquipmentTable[[#This Row],[IPv4 Address]]) &gt; 1, ITEquipmentTable[[#This Row],[IPv4 Address]] &lt;&gt; "DHCP",  ITEquipmentTable[[#This Row],[IPv4 Address]] &lt;&gt; "N/A")</f>
        <v>0</v>
      </c>
    </row>
    <row r="635" spans="1:13" x14ac:dyDescent="0.2">
      <c r="A635" s="168">
        <f>IF(LEN(ITSecondTable[[#This Row],[Tag]]) &gt; 0, _xlfn.XLOOKUP(ITSecondTable[[#This Row],[Tag]],StorageTable[Tag], StorageTable[In Storage - Count Total], "Err", 0, 1), 0)</f>
        <v>8</v>
      </c>
      <c r="B635" s="168">
        <f>_xlfn.LET(_xlpm.loc, ITEquipmentTable[Storage Location],
COUNTIFS(ITSecondTable[Tag], ITSecondTable[[#This Row],[Tag]], _xlpm.loc, "&lt;&gt;In Use", _xlpm.loc, "&lt;&gt;",  _xlpm.loc, "&lt;&gt;E-Waste", _xlpm.loc, "&lt;&gt;Virtual",  _xlpm.loc, "&lt;&gt;Assigned to Employee", _xlpm.loc, "&lt;&gt;Decommisioned", _xlpm.loc, "&lt;&gt;Missing")
)</f>
        <v>9</v>
      </c>
      <c r="C635" s="168">
        <f>_xlfn.LET(_xlpm.loc, ITEquipmentTable[Storage Location],
COUNTIFS(ITSecondTable[Tag], ITSecondTable[[#This Row],[Tag]], _xlpm.loc, "&lt;&gt;E-Waste", _xlpm.loc, "&lt;&gt;Virtual", _xlpm.loc, "&lt;&gt;Decommisioned")
)</f>
        <v>40</v>
      </c>
      <c r="D635" s="168">
        <f>_xlfn.LET(_xlpm.loc, ITEquipmentTable[Storage Location],
COUNTIFS(ITSecondTable[Tag], ITSecondTable[[#This Row],[Tag]], _xlpm.loc, "Missing")
)</f>
        <v>0</v>
      </c>
      <c r="E635" s="168">
        <f>_xlfn.LET(_xlpm.loc, ITEquipmentTable[Storage Location],
COUNTIFS(ITSecondTable[Tag], ITSecondTable[[#This Row],[Tag]], _xlpm.loc, "In Use") + COUNTIFS(ITSecondTable[Tag], ITSecondTable[[#This Row],[Tag]], _xlpm.loc, "Assigned to Employee")
)</f>
        <v>23</v>
      </c>
      <c r="F635" s="168">
        <f>_xlfn.LET(_xlpm.loc, ITEquipmentTable[Storage Location],
COUNTIFS(ITSecondTable[Tag], ITSecondTable[[#This Row],[Tag]], _xlpm.loc, "")
)</f>
        <v>8</v>
      </c>
      <c r="G635" s="168">
        <f>MAX(ITSecondTable[[#This Row],[SQty]] - ITSecondTable[[#This Row],[IQty]], 0)</f>
        <v>1</v>
      </c>
      <c r="H635" s="168">
        <f>MAX(ITSecondTable[[#This Row],[IQty]]-ITSecondTable[[#This Row],[SQty]], 0)</f>
        <v>0</v>
      </c>
      <c r="I635" s="151" t="str">
        <f>IFERROR(_xlfn.TEXTJOIN("~", TRUE, ITEquipmentTable[[#This Row],[Type]],ITEquipmentTable[[#This Row],[Brand]],ITEquipmentTable[[#This Row],[Model]]), "")</f>
        <v>Printer~Sato~CL4NX</v>
      </c>
      <c r="J635" s="151" t="b">
        <f xml:space="preserve"> _xlfn.IFNA(MATCH( ITSecondTable[[#This Row],[Tag]], StorageTable[Tag], 0)  &gt; -1, FALSE)</f>
        <v>0</v>
      </c>
      <c r="K635" s="168" t="b">
        <f>COUNTIFS(ITEquipmentTable[Serial], ITEquipmentTable[[#This Row],[Serial]], ITEquipmentTable[Serial], "&lt;&gt;N/A") &gt; 1</f>
        <v>0</v>
      </c>
      <c r="L635" s="168" t="b">
        <f>COUNTIFS(ITEquipmentTable[Name], ITEquipmentTable[[#This Row],[Name]], ITEquipmentTable[Name], "&lt;&gt;&lt;Unassigned&gt;",  ITEquipmentTable[Name], "&lt;&gt;N/A") &gt; 1</f>
        <v>0</v>
      </c>
      <c r="M635" s="168" t="b">
        <f>AND(COUNTIFS(ITEquipmentTable[IPv4 Address], ITEquipmentTable[[#This Row],[IPv4 Address]]) &gt; 1, ITEquipmentTable[[#This Row],[IPv4 Address]] &lt;&gt; "DHCP",  ITEquipmentTable[[#This Row],[IPv4 Address]] &lt;&gt; "N/A")</f>
        <v>0</v>
      </c>
    </row>
    <row r="636" spans="1:13" x14ac:dyDescent="0.2">
      <c r="A636" s="168">
        <f>IF(LEN(ITSecondTable[[#This Row],[Tag]]) &gt; 0, _xlfn.XLOOKUP(ITSecondTable[[#This Row],[Tag]],StorageTable[Tag], StorageTable[In Storage - Count Total], "Err", 0, 1), 0)</f>
        <v>18</v>
      </c>
      <c r="B636" s="168">
        <f>_xlfn.LET(_xlpm.loc, ITEquipmentTable[Storage Location],
COUNTIFS(ITSecondTable[Tag], ITSecondTable[[#This Row],[Tag]], _xlpm.loc, "&lt;&gt;In Use", _xlpm.loc, "&lt;&gt;",  _xlpm.loc, "&lt;&gt;E-Waste", _xlpm.loc, "&lt;&gt;Virtual",  _xlpm.loc, "&lt;&gt;Assigned to Employee", _xlpm.loc, "&lt;&gt;Decommisioned", _xlpm.loc, "&lt;&gt;Missing")
)</f>
        <v>11</v>
      </c>
      <c r="C636" s="168">
        <f>_xlfn.LET(_xlpm.loc, ITEquipmentTable[Storage Location],
COUNTIFS(ITSecondTable[Tag], ITSecondTable[[#This Row],[Tag]], _xlpm.loc, "&lt;&gt;E-Waste", _xlpm.loc, "&lt;&gt;Virtual", _xlpm.loc, "&lt;&gt;Decommisioned")
)</f>
        <v>38</v>
      </c>
      <c r="D636" s="168">
        <f>_xlfn.LET(_xlpm.loc, ITEquipmentTable[Storage Location],
COUNTIFS(ITSecondTable[Tag], ITSecondTable[[#This Row],[Tag]], _xlpm.loc, "Missing")
)</f>
        <v>0</v>
      </c>
      <c r="E636" s="168">
        <f>_xlfn.LET(_xlpm.loc, ITEquipmentTable[Storage Location],
COUNTIFS(ITSecondTable[Tag], ITSecondTable[[#This Row],[Tag]], _xlpm.loc, "In Use") + COUNTIFS(ITSecondTable[Tag], ITSecondTable[[#This Row],[Tag]], _xlpm.loc, "Assigned to Employee")
)</f>
        <v>13</v>
      </c>
      <c r="F636" s="168">
        <f>_xlfn.LET(_xlpm.loc, ITEquipmentTable[Storage Location],
COUNTIFS(ITSecondTable[Tag], ITSecondTable[[#This Row],[Tag]], _xlpm.loc, "")
)</f>
        <v>14</v>
      </c>
      <c r="G636" s="168">
        <f>MAX(ITSecondTable[[#This Row],[SQty]] - ITSecondTable[[#This Row],[IQty]], 0)</f>
        <v>0</v>
      </c>
      <c r="H636" s="168">
        <f>MAX(ITSecondTable[[#This Row],[IQty]]-ITSecondTable[[#This Row],[SQty]], 0)</f>
        <v>7</v>
      </c>
      <c r="I636" s="151" t="str">
        <f>IFERROR(_xlfn.TEXTJOIN("~", TRUE, ITEquipmentTable[[#This Row],[Type]],ITEquipmentTable[[#This Row],[Brand]],ITEquipmentTable[[#This Row],[Model]]), "")</f>
        <v>Scanner~Honeywell~1911i</v>
      </c>
      <c r="J636" s="151" t="b">
        <f xml:space="preserve"> _xlfn.IFNA(MATCH( ITSecondTable[[#This Row],[Tag]], StorageTable[Tag], 0)  &gt; -1, FALSE)</f>
        <v>0</v>
      </c>
      <c r="K636" s="168" t="b">
        <f>COUNTIFS(ITEquipmentTable[Serial], ITEquipmentTable[[#This Row],[Serial]], ITEquipmentTable[Serial], "&lt;&gt;N/A") &gt; 1</f>
        <v>0</v>
      </c>
      <c r="L636" s="168" t="b">
        <f>COUNTIFS(ITEquipmentTable[Name], ITEquipmentTable[[#This Row],[Name]], ITEquipmentTable[Name], "&lt;&gt;&lt;Unassigned&gt;",  ITEquipmentTable[Name], "&lt;&gt;N/A") &gt; 1</f>
        <v>0</v>
      </c>
      <c r="M636" s="168" t="b">
        <f>AND(COUNTIFS(ITEquipmentTable[IPv4 Address], ITEquipmentTable[[#This Row],[IPv4 Address]]) &gt; 1, ITEquipmentTable[[#This Row],[IPv4 Address]] &lt;&gt; "DHCP",  ITEquipmentTable[[#This Row],[IPv4 Address]] &lt;&gt; "N/A")</f>
        <v>0</v>
      </c>
    </row>
    <row r="637" spans="1:13" x14ac:dyDescent="0.2">
      <c r="A637" s="168">
        <f>IF(LEN(ITSecondTable[[#This Row],[Tag]]) &gt; 0, _xlfn.XLOOKUP(ITSecondTable[[#This Row],[Tag]],StorageTable[Tag], StorageTable[In Storage - Count Total], "Err", 0, 1), 0)</f>
        <v>30</v>
      </c>
      <c r="B637" s="168">
        <f>_xlfn.LET(_xlpm.loc, ITEquipmentTable[Storage Location],
COUNTIFS(ITSecondTable[Tag], ITSecondTable[[#This Row],[Tag]], _xlpm.loc, "&lt;&gt;In Use", _xlpm.loc, "&lt;&gt;",  _xlpm.loc, "&lt;&gt;E-Waste", _xlpm.loc, "&lt;&gt;Virtual",  _xlpm.loc, "&lt;&gt;Assigned to Employee", _xlpm.loc, "&lt;&gt;Decommisioned", _xlpm.loc, "&lt;&gt;Missing")
)</f>
        <v>21</v>
      </c>
      <c r="C637" s="168">
        <f>_xlfn.LET(_xlpm.loc, ITEquipmentTable[Storage Location],
COUNTIFS(ITSecondTable[Tag], ITSecondTable[[#This Row],[Tag]], _xlpm.loc, "&lt;&gt;E-Waste", _xlpm.loc, "&lt;&gt;Virtual", _xlpm.loc, "&lt;&gt;Decommisioned")
)</f>
        <v>33</v>
      </c>
      <c r="D637" s="168">
        <f>_xlfn.LET(_xlpm.loc, ITEquipmentTable[Storage Location],
COUNTIFS(ITSecondTable[Tag], ITSecondTable[[#This Row],[Tag]], _xlpm.loc, "Missing")
)</f>
        <v>0</v>
      </c>
      <c r="E637" s="168">
        <f>_xlfn.LET(_xlpm.loc, ITEquipmentTable[Storage Location],
COUNTIFS(ITSecondTable[Tag], ITSecondTable[[#This Row],[Tag]], _xlpm.loc, "In Use") + COUNTIFS(ITSecondTable[Tag], ITSecondTable[[#This Row],[Tag]], _xlpm.loc, "Assigned to Employee")
)</f>
        <v>12</v>
      </c>
      <c r="F637" s="168">
        <f>_xlfn.LET(_xlpm.loc, ITEquipmentTable[Storage Location],
COUNTIFS(ITSecondTable[Tag], ITSecondTable[[#This Row],[Tag]], _xlpm.loc, "")
)</f>
        <v>0</v>
      </c>
      <c r="G637" s="168">
        <f>MAX(ITSecondTable[[#This Row],[SQty]] - ITSecondTable[[#This Row],[IQty]], 0)</f>
        <v>0</v>
      </c>
      <c r="H637" s="168">
        <f>MAX(ITSecondTable[[#This Row],[IQty]]-ITSecondTable[[#This Row],[SQty]], 0)</f>
        <v>9</v>
      </c>
      <c r="I637" s="151" t="str">
        <f>IFERROR(_xlfn.TEXTJOIN("~", TRUE, ITEquipmentTable[[#This Row],[Type]],ITEquipmentTable[[#This Row],[Brand]],ITEquipmentTable[[#This Row],[Model]]), "")</f>
        <v>Scanner Base~Honeywell~CCB02-100BT-07N</v>
      </c>
      <c r="J637" s="151" t="b">
        <f xml:space="preserve"> _xlfn.IFNA(MATCH( ITSecondTable[[#This Row],[Tag]], StorageTable[Tag], 0)  &gt; -1, FALSE)</f>
        <v>0</v>
      </c>
      <c r="K637" s="168" t="b">
        <f>COUNTIFS(ITEquipmentTable[Serial], ITEquipmentTable[[#This Row],[Serial]], ITEquipmentTable[Serial], "&lt;&gt;N/A") &gt; 1</f>
        <v>0</v>
      </c>
      <c r="L637" s="168" t="b">
        <f>COUNTIFS(ITEquipmentTable[Name], ITEquipmentTable[[#This Row],[Name]], ITEquipmentTable[Name], "&lt;&gt;&lt;Unassigned&gt;",  ITEquipmentTable[Name], "&lt;&gt;N/A") &gt; 1</f>
        <v>0</v>
      </c>
      <c r="M637" s="168" t="b">
        <f>AND(COUNTIFS(ITEquipmentTable[IPv4 Address], ITEquipmentTable[[#This Row],[IPv4 Address]]) &gt; 1, ITEquipmentTable[[#This Row],[IPv4 Address]] &lt;&gt; "DHCP",  ITEquipmentTable[[#This Row],[IPv4 Address]] &lt;&gt; "N/A")</f>
        <v>0</v>
      </c>
    </row>
    <row r="638" spans="1:13" x14ac:dyDescent="0.2">
      <c r="A638" s="168">
        <f>IF(LEN(ITSecondTable[[#This Row],[Tag]]) &gt; 0, _xlfn.XLOOKUP(ITSecondTable[[#This Row],[Tag]],StorageTable[Tag], StorageTable[In Storage - Count Total], "Err", 0, 1), 0)</f>
        <v>18</v>
      </c>
      <c r="B638" s="168">
        <f>_xlfn.LET(_xlpm.loc, ITEquipmentTable[Storage Location],
COUNTIFS(ITSecondTable[Tag], ITSecondTable[[#This Row],[Tag]], _xlpm.loc, "&lt;&gt;In Use", _xlpm.loc, "&lt;&gt;",  _xlpm.loc, "&lt;&gt;E-Waste", _xlpm.loc, "&lt;&gt;Virtual",  _xlpm.loc, "&lt;&gt;Assigned to Employee", _xlpm.loc, "&lt;&gt;Decommisioned", _xlpm.loc, "&lt;&gt;Missing")
)</f>
        <v>11</v>
      </c>
      <c r="C638" s="168">
        <f>_xlfn.LET(_xlpm.loc, ITEquipmentTable[Storage Location],
COUNTIFS(ITSecondTable[Tag], ITSecondTable[[#This Row],[Tag]], _xlpm.loc, "&lt;&gt;E-Waste", _xlpm.loc, "&lt;&gt;Virtual", _xlpm.loc, "&lt;&gt;Decommisioned")
)</f>
        <v>38</v>
      </c>
      <c r="D638" s="168">
        <f>_xlfn.LET(_xlpm.loc, ITEquipmentTable[Storage Location],
COUNTIFS(ITSecondTable[Tag], ITSecondTable[[#This Row],[Tag]], _xlpm.loc, "Missing")
)</f>
        <v>0</v>
      </c>
      <c r="E638" s="168">
        <f>_xlfn.LET(_xlpm.loc, ITEquipmentTable[Storage Location],
COUNTIFS(ITSecondTable[Tag], ITSecondTable[[#This Row],[Tag]], _xlpm.loc, "In Use") + COUNTIFS(ITSecondTable[Tag], ITSecondTable[[#This Row],[Tag]], _xlpm.loc, "Assigned to Employee")
)</f>
        <v>13</v>
      </c>
      <c r="F638" s="168">
        <f>_xlfn.LET(_xlpm.loc, ITEquipmentTable[Storage Location],
COUNTIFS(ITSecondTable[Tag], ITSecondTable[[#This Row],[Tag]], _xlpm.loc, "")
)</f>
        <v>14</v>
      </c>
      <c r="G638" s="168">
        <f>MAX(ITSecondTable[[#This Row],[SQty]] - ITSecondTable[[#This Row],[IQty]], 0)</f>
        <v>0</v>
      </c>
      <c r="H638" s="168">
        <f>MAX(ITSecondTable[[#This Row],[IQty]]-ITSecondTable[[#This Row],[SQty]], 0)</f>
        <v>7</v>
      </c>
      <c r="I638" s="151" t="str">
        <f>IFERROR(_xlfn.TEXTJOIN("~", TRUE, ITEquipmentTable[[#This Row],[Type]],ITEquipmentTable[[#This Row],[Brand]],ITEquipmentTable[[#This Row],[Model]]), "")</f>
        <v>Scanner~Honeywell~1911i</v>
      </c>
      <c r="J638" s="151" t="b">
        <f xml:space="preserve"> _xlfn.IFNA(MATCH( ITSecondTable[[#This Row],[Tag]], StorageTable[Tag], 0)  &gt; -1, FALSE)</f>
        <v>0</v>
      </c>
      <c r="K638" s="168" t="b">
        <f>COUNTIFS(ITEquipmentTable[Serial], ITEquipmentTable[[#This Row],[Serial]], ITEquipmentTable[Serial], "&lt;&gt;N/A") &gt; 1</f>
        <v>0</v>
      </c>
      <c r="L638" s="168" t="b">
        <f>COUNTIFS(ITEquipmentTable[Name], ITEquipmentTable[[#This Row],[Name]], ITEquipmentTable[Name], "&lt;&gt;&lt;Unassigned&gt;",  ITEquipmentTable[Name], "&lt;&gt;N/A") &gt; 1</f>
        <v>0</v>
      </c>
      <c r="M638" s="168" t="b">
        <f>AND(COUNTIFS(ITEquipmentTable[IPv4 Address], ITEquipmentTable[[#This Row],[IPv4 Address]]) &gt; 1, ITEquipmentTable[[#This Row],[IPv4 Address]] &lt;&gt; "DHCP",  ITEquipmentTable[[#This Row],[IPv4 Address]] &lt;&gt; "N/A")</f>
        <v>0</v>
      </c>
    </row>
    <row r="639" spans="1:13" x14ac:dyDescent="0.2">
      <c r="A639" s="168">
        <f>IF(LEN(ITSecondTable[[#This Row],[Tag]]) &gt; 0, _xlfn.XLOOKUP(ITSecondTable[[#This Row],[Tag]],StorageTable[Tag], StorageTable[In Storage - Count Total], "Err", 0, 1), 0)</f>
        <v>30</v>
      </c>
      <c r="B639" s="168">
        <f>_xlfn.LET(_xlpm.loc, ITEquipmentTable[Storage Location],
COUNTIFS(ITSecondTable[Tag], ITSecondTable[[#This Row],[Tag]], _xlpm.loc, "&lt;&gt;In Use", _xlpm.loc, "&lt;&gt;",  _xlpm.loc, "&lt;&gt;E-Waste", _xlpm.loc, "&lt;&gt;Virtual",  _xlpm.loc, "&lt;&gt;Assigned to Employee", _xlpm.loc, "&lt;&gt;Decommisioned", _xlpm.loc, "&lt;&gt;Missing")
)</f>
        <v>21</v>
      </c>
      <c r="C639" s="168">
        <f>_xlfn.LET(_xlpm.loc, ITEquipmentTable[Storage Location],
COUNTIFS(ITSecondTable[Tag], ITSecondTable[[#This Row],[Tag]], _xlpm.loc, "&lt;&gt;E-Waste", _xlpm.loc, "&lt;&gt;Virtual", _xlpm.loc, "&lt;&gt;Decommisioned")
)</f>
        <v>33</v>
      </c>
      <c r="D639" s="168">
        <f>_xlfn.LET(_xlpm.loc, ITEquipmentTable[Storage Location],
COUNTIFS(ITSecondTable[Tag], ITSecondTable[[#This Row],[Tag]], _xlpm.loc, "Missing")
)</f>
        <v>0</v>
      </c>
      <c r="E639" s="168">
        <f>_xlfn.LET(_xlpm.loc, ITEquipmentTable[Storage Location],
COUNTIFS(ITSecondTable[Tag], ITSecondTable[[#This Row],[Tag]], _xlpm.loc, "In Use") + COUNTIFS(ITSecondTable[Tag], ITSecondTable[[#This Row],[Tag]], _xlpm.loc, "Assigned to Employee")
)</f>
        <v>12</v>
      </c>
      <c r="F639" s="168">
        <f>_xlfn.LET(_xlpm.loc, ITEquipmentTable[Storage Location],
COUNTIFS(ITSecondTable[Tag], ITSecondTable[[#This Row],[Tag]], _xlpm.loc, "")
)</f>
        <v>0</v>
      </c>
      <c r="G639" s="168">
        <f>MAX(ITSecondTable[[#This Row],[SQty]] - ITSecondTable[[#This Row],[IQty]], 0)</f>
        <v>0</v>
      </c>
      <c r="H639" s="168">
        <f>MAX(ITSecondTable[[#This Row],[IQty]]-ITSecondTable[[#This Row],[SQty]], 0)</f>
        <v>9</v>
      </c>
      <c r="I639" s="151" t="str">
        <f>IFERROR(_xlfn.TEXTJOIN("~", TRUE, ITEquipmentTable[[#This Row],[Type]],ITEquipmentTable[[#This Row],[Brand]],ITEquipmentTable[[#This Row],[Model]]), "")</f>
        <v>Scanner Base~Honeywell~CCB02-100BT-07N</v>
      </c>
      <c r="J639" s="151" t="b">
        <f xml:space="preserve"> _xlfn.IFNA(MATCH( ITSecondTable[[#This Row],[Tag]], StorageTable[Tag], 0)  &gt; -1, FALSE)</f>
        <v>0</v>
      </c>
      <c r="K639" s="168" t="b">
        <f>COUNTIFS(ITEquipmentTable[Serial], ITEquipmentTable[[#This Row],[Serial]], ITEquipmentTable[Serial], "&lt;&gt;N/A") &gt; 1</f>
        <v>0</v>
      </c>
      <c r="L639" s="168" t="b">
        <f>COUNTIFS(ITEquipmentTable[Name], ITEquipmentTable[[#This Row],[Name]], ITEquipmentTable[Name], "&lt;&gt;&lt;Unassigned&gt;",  ITEquipmentTable[Name], "&lt;&gt;N/A") &gt; 1</f>
        <v>0</v>
      </c>
      <c r="M639" s="168" t="b">
        <f>AND(COUNTIFS(ITEquipmentTable[IPv4 Address], ITEquipmentTable[[#This Row],[IPv4 Address]]) &gt; 1, ITEquipmentTable[[#This Row],[IPv4 Address]] &lt;&gt; "DHCP",  ITEquipmentTable[[#This Row],[IPv4 Address]] &lt;&gt; "N/A")</f>
        <v>0</v>
      </c>
    </row>
    <row r="640" spans="1:13" x14ac:dyDescent="0.2">
      <c r="A640" s="168">
        <f>IF(LEN(ITSecondTable[[#This Row],[Tag]]) &gt; 0, _xlfn.XLOOKUP(ITSecondTable[[#This Row],[Tag]],StorageTable[Tag], StorageTable[In Storage - Count Total], "Err", 0, 1), 0)</f>
        <v>18</v>
      </c>
      <c r="B640" s="168">
        <f>_xlfn.LET(_xlpm.loc, ITEquipmentTable[Storage Location],
COUNTIFS(ITSecondTable[Tag], ITSecondTable[[#This Row],[Tag]], _xlpm.loc, "&lt;&gt;In Use", _xlpm.loc, "&lt;&gt;",  _xlpm.loc, "&lt;&gt;E-Waste", _xlpm.loc, "&lt;&gt;Virtual",  _xlpm.loc, "&lt;&gt;Assigned to Employee", _xlpm.loc, "&lt;&gt;Decommisioned", _xlpm.loc, "&lt;&gt;Missing")
)</f>
        <v>11</v>
      </c>
      <c r="C640" s="168">
        <f>_xlfn.LET(_xlpm.loc, ITEquipmentTable[Storage Location],
COUNTIFS(ITSecondTable[Tag], ITSecondTable[[#This Row],[Tag]], _xlpm.loc, "&lt;&gt;E-Waste", _xlpm.loc, "&lt;&gt;Virtual", _xlpm.loc, "&lt;&gt;Decommisioned")
)</f>
        <v>38</v>
      </c>
      <c r="D640" s="168">
        <f>_xlfn.LET(_xlpm.loc, ITEquipmentTable[Storage Location],
COUNTIFS(ITSecondTable[Tag], ITSecondTable[[#This Row],[Tag]], _xlpm.loc, "Missing")
)</f>
        <v>0</v>
      </c>
      <c r="E640" s="168">
        <f>_xlfn.LET(_xlpm.loc, ITEquipmentTable[Storage Location],
COUNTIFS(ITSecondTable[Tag], ITSecondTable[[#This Row],[Tag]], _xlpm.loc, "In Use") + COUNTIFS(ITSecondTable[Tag], ITSecondTable[[#This Row],[Tag]], _xlpm.loc, "Assigned to Employee")
)</f>
        <v>13</v>
      </c>
      <c r="F640" s="168">
        <f>_xlfn.LET(_xlpm.loc, ITEquipmentTable[Storage Location],
COUNTIFS(ITSecondTable[Tag], ITSecondTable[[#This Row],[Tag]], _xlpm.loc, "")
)</f>
        <v>14</v>
      </c>
      <c r="G640" s="168">
        <f>MAX(ITSecondTable[[#This Row],[SQty]] - ITSecondTable[[#This Row],[IQty]], 0)</f>
        <v>0</v>
      </c>
      <c r="H640" s="168">
        <f>MAX(ITSecondTable[[#This Row],[IQty]]-ITSecondTable[[#This Row],[SQty]], 0)</f>
        <v>7</v>
      </c>
      <c r="I640" s="151" t="str">
        <f>IFERROR(_xlfn.TEXTJOIN("~", TRUE, ITEquipmentTable[[#This Row],[Type]],ITEquipmentTable[[#This Row],[Brand]],ITEquipmentTable[[#This Row],[Model]]), "")</f>
        <v>Scanner~Honeywell~1911i</v>
      </c>
      <c r="J640" s="151" t="b">
        <f xml:space="preserve"> _xlfn.IFNA(MATCH( ITSecondTable[[#This Row],[Tag]], StorageTable[Tag], 0)  &gt; -1, FALSE)</f>
        <v>0</v>
      </c>
      <c r="K640" s="168" t="b">
        <f>COUNTIFS(ITEquipmentTable[Serial], ITEquipmentTable[[#This Row],[Serial]], ITEquipmentTable[Serial], "&lt;&gt;N/A") &gt; 1</f>
        <v>0</v>
      </c>
      <c r="L640" s="168" t="b">
        <f>COUNTIFS(ITEquipmentTable[Name], ITEquipmentTable[[#This Row],[Name]], ITEquipmentTable[Name], "&lt;&gt;&lt;Unassigned&gt;",  ITEquipmentTable[Name], "&lt;&gt;N/A") &gt; 1</f>
        <v>0</v>
      </c>
      <c r="M640" s="168" t="b">
        <f>AND(COUNTIFS(ITEquipmentTable[IPv4 Address], ITEquipmentTable[[#This Row],[IPv4 Address]]) &gt; 1, ITEquipmentTable[[#This Row],[IPv4 Address]] &lt;&gt; "DHCP",  ITEquipmentTable[[#This Row],[IPv4 Address]] &lt;&gt; "N/A")</f>
        <v>0</v>
      </c>
    </row>
    <row r="641" spans="1:13" x14ac:dyDescent="0.2">
      <c r="A641" s="168">
        <f>IF(LEN(ITSecondTable[[#This Row],[Tag]]) &gt; 0, _xlfn.XLOOKUP(ITSecondTable[[#This Row],[Tag]],StorageTable[Tag], StorageTable[In Storage - Count Total], "Err", 0, 1), 0)</f>
        <v>30</v>
      </c>
      <c r="B641" s="1">
        <f>_xlfn.LET(_xlpm.loc, ITEquipmentTable[Storage Location],
COUNTIFS(ITSecondTable[Tag], ITSecondTable[[#This Row],[Tag]], _xlpm.loc, "&lt;&gt;In Use", _xlpm.loc, "&lt;&gt;",  _xlpm.loc, "&lt;&gt;E-Waste", _xlpm.loc, "&lt;&gt;Virtual",  _xlpm.loc, "&lt;&gt;Assigned to Employee", _xlpm.loc, "&lt;&gt;Decommisioned", _xlpm.loc, "&lt;&gt;Missing")
)</f>
        <v>21</v>
      </c>
      <c r="C641" s="1">
        <f>_xlfn.LET(_xlpm.loc, ITEquipmentTable[Storage Location],
COUNTIFS(ITSecondTable[Tag], ITSecondTable[[#This Row],[Tag]], _xlpm.loc, "&lt;&gt;E-Waste", _xlpm.loc, "&lt;&gt;Virtual", _xlpm.loc, "&lt;&gt;Decommisioned")
)</f>
        <v>33</v>
      </c>
      <c r="D641" s="168">
        <f>_xlfn.LET(_xlpm.loc, ITEquipmentTable[Storage Location],
COUNTIFS(ITSecondTable[Tag], ITSecondTable[[#This Row],[Tag]], _xlpm.loc, "Missing")
)</f>
        <v>0</v>
      </c>
      <c r="E641" s="168">
        <f>_xlfn.LET(_xlpm.loc, ITEquipmentTable[Storage Location],
COUNTIFS(ITSecondTable[Tag], ITSecondTable[[#This Row],[Tag]], _xlpm.loc, "In Use") + COUNTIFS(ITSecondTable[Tag], ITSecondTable[[#This Row],[Tag]], _xlpm.loc, "Assigned to Employee")
)</f>
        <v>12</v>
      </c>
      <c r="F641" s="168">
        <f>_xlfn.LET(_xlpm.loc, ITEquipmentTable[Storage Location],
COUNTIFS(ITSecondTable[Tag], ITSecondTable[[#This Row],[Tag]], _xlpm.loc, "")
)</f>
        <v>0</v>
      </c>
      <c r="G641" s="168">
        <f>MAX(ITSecondTable[[#This Row],[SQty]] - ITSecondTable[[#This Row],[IQty]], 0)</f>
        <v>0</v>
      </c>
      <c r="H641" s="168">
        <f>MAX(ITSecondTable[[#This Row],[IQty]]-ITSecondTable[[#This Row],[SQty]], 0)</f>
        <v>9</v>
      </c>
      <c r="I641" s="151" t="str">
        <f>IFERROR(_xlfn.TEXTJOIN("~", TRUE, ITEquipmentTable[[#This Row],[Type]],ITEquipmentTable[[#This Row],[Brand]],ITEquipmentTable[[#This Row],[Model]]), "")</f>
        <v>Scanner Base~Honeywell~CCB02-100BT-07N</v>
      </c>
      <c r="J641" s="151" t="b">
        <f xml:space="preserve"> _xlfn.IFNA(MATCH( ITSecondTable[[#This Row],[Tag]], StorageTable[Tag], 0)  &gt; -1, FALSE)</f>
        <v>0</v>
      </c>
      <c r="K641" s="168" t="b">
        <f>COUNTIFS(ITEquipmentTable[Serial], ITEquipmentTable[[#This Row],[Serial]], ITEquipmentTable[Serial], "&lt;&gt;N/A") &gt; 1</f>
        <v>0</v>
      </c>
      <c r="L641" s="168" t="b">
        <f>COUNTIFS(ITEquipmentTable[Name], ITEquipmentTable[[#This Row],[Name]], ITEquipmentTable[Name], "&lt;&gt;&lt;Unassigned&gt;",  ITEquipmentTable[Name], "&lt;&gt;N/A") &gt; 1</f>
        <v>0</v>
      </c>
      <c r="M641" s="168" t="b">
        <f>AND(COUNTIFS(ITEquipmentTable[IPv4 Address], ITEquipmentTable[[#This Row],[IPv4 Address]]) &gt; 1, ITEquipmentTable[[#This Row],[IPv4 Address]] &lt;&gt; "DHCP",  ITEquipmentTable[[#This Row],[IPv4 Address]] &lt;&gt; "N/A")</f>
        <v>0</v>
      </c>
    </row>
    <row r="642" spans="1:13" x14ac:dyDescent="0.2">
      <c r="A642" s="168">
        <f>IF(LEN(ITSecondTable[[#This Row],[Tag]]) &gt; 0, _xlfn.XLOOKUP(ITSecondTable[[#This Row],[Tag]],StorageTable[Tag], StorageTable[In Storage - Count Total], "Err", 0, 1), 0)</f>
        <v>18</v>
      </c>
      <c r="B642" s="1">
        <f>_xlfn.LET(_xlpm.loc, ITEquipmentTable[Storage Location],
COUNTIFS(ITSecondTable[Tag], ITSecondTable[[#This Row],[Tag]], _xlpm.loc, "&lt;&gt;In Use", _xlpm.loc, "&lt;&gt;",  _xlpm.loc, "&lt;&gt;E-Waste", _xlpm.loc, "&lt;&gt;Virtual",  _xlpm.loc, "&lt;&gt;Assigned to Employee", _xlpm.loc, "&lt;&gt;Decommisioned", _xlpm.loc, "&lt;&gt;Missing")
)</f>
        <v>11</v>
      </c>
      <c r="C642" s="1">
        <f>_xlfn.LET(_xlpm.loc, ITEquipmentTable[Storage Location],
COUNTIFS(ITSecondTable[Tag], ITSecondTable[[#This Row],[Tag]], _xlpm.loc, "&lt;&gt;E-Waste", _xlpm.loc, "&lt;&gt;Virtual", _xlpm.loc, "&lt;&gt;Decommisioned")
)</f>
        <v>38</v>
      </c>
      <c r="D642" s="168">
        <f>_xlfn.LET(_xlpm.loc, ITEquipmentTable[Storage Location],
COUNTIFS(ITSecondTable[Tag], ITSecondTable[[#This Row],[Tag]], _xlpm.loc, "Missing")
)</f>
        <v>0</v>
      </c>
      <c r="E642" s="168">
        <f>_xlfn.LET(_xlpm.loc, ITEquipmentTable[Storage Location],
COUNTIFS(ITSecondTable[Tag], ITSecondTable[[#This Row],[Tag]], _xlpm.loc, "In Use") + COUNTIFS(ITSecondTable[Tag], ITSecondTable[[#This Row],[Tag]], _xlpm.loc, "Assigned to Employee")
)</f>
        <v>13</v>
      </c>
      <c r="F642" s="168">
        <f>_xlfn.LET(_xlpm.loc, ITEquipmentTable[Storage Location],
COUNTIFS(ITSecondTable[Tag], ITSecondTable[[#This Row],[Tag]], _xlpm.loc, "")
)</f>
        <v>14</v>
      </c>
      <c r="G642" s="168">
        <f>MAX(ITSecondTable[[#This Row],[SQty]] - ITSecondTable[[#This Row],[IQty]], 0)</f>
        <v>0</v>
      </c>
      <c r="H642" s="168">
        <f>MAX(ITSecondTable[[#This Row],[IQty]]-ITSecondTable[[#This Row],[SQty]], 0)</f>
        <v>7</v>
      </c>
      <c r="I642" s="151" t="str">
        <f>IFERROR(_xlfn.TEXTJOIN("~", TRUE, ITEquipmentTable[[#This Row],[Type]],ITEquipmentTable[[#This Row],[Brand]],ITEquipmentTable[[#This Row],[Model]]), "")</f>
        <v>Scanner~Honeywell~1911i</v>
      </c>
      <c r="J642" s="151" t="b">
        <f xml:space="preserve"> _xlfn.IFNA(MATCH( ITSecondTable[[#This Row],[Tag]], StorageTable[Tag], 0)  &gt; -1, FALSE)</f>
        <v>0</v>
      </c>
      <c r="K642" s="168" t="b">
        <f>COUNTIFS(ITEquipmentTable[Serial], ITEquipmentTable[[#This Row],[Serial]], ITEquipmentTable[Serial], "&lt;&gt;N/A") &gt; 1</f>
        <v>0</v>
      </c>
      <c r="L642" s="168" t="b">
        <f>COUNTIFS(ITEquipmentTable[Name], ITEquipmentTable[[#This Row],[Name]], ITEquipmentTable[Name], "&lt;&gt;&lt;Unassigned&gt;",  ITEquipmentTable[Name], "&lt;&gt;N/A") &gt; 1</f>
        <v>0</v>
      </c>
      <c r="M642" s="168" t="b">
        <f>AND(COUNTIFS(ITEquipmentTable[IPv4 Address], ITEquipmentTable[[#This Row],[IPv4 Address]]) &gt; 1, ITEquipmentTable[[#This Row],[IPv4 Address]] &lt;&gt; "DHCP",  ITEquipmentTable[[#This Row],[IPv4 Address]] &lt;&gt; "N/A")</f>
        <v>0</v>
      </c>
    </row>
    <row r="643" spans="1:13" x14ac:dyDescent="0.2">
      <c r="A643" s="168">
        <f>IF(LEN(ITSecondTable[[#This Row],[Tag]]) &gt; 0, _xlfn.XLOOKUP(ITSecondTable[[#This Row],[Tag]],StorageTable[Tag], StorageTable[In Storage - Count Total], "Err", 0, 1), 0)</f>
        <v>30</v>
      </c>
      <c r="B643" s="168">
        <f>_xlfn.LET(_xlpm.loc, ITEquipmentTable[Storage Location],
COUNTIFS(ITSecondTable[Tag], ITSecondTable[[#This Row],[Tag]], _xlpm.loc, "&lt;&gt;In Use", _xlpm.loc, "&lt;&gt;",  _xlpm.loc, "&lt;&gt;E-Waste", _xlpm.loc, "&lt;&gt;Virtual",  _xlpm.loc, "&lt;&gt;Assigned to Employee", _xlpm.loc, "&lt;&gt;Decommisioned", _xlpm.loc, "&lt;&gt;Missing")
)</f>
        <v>21</v>
      </c>
      <c r="C643" s="168">
        <f>_xlfn.LET(_xlpm.loc, ITEquipmentTable[Storage Location],
COUNTIFS(ITSecondTable[Tag], ITSecondTable[[#This Row],[Tag]], _xlpm.loc, "&lt;&gt;E-Waste", _xlpm.loc, "&lt;&gt;Virtual", _xlpm.loc, "&lt;&gt;Decommisioned")
)</f>
        <v>33</v>
      </c>
      <c r="D643" s="168">
        <f>_xlfn.LET(_xlpm.loc, ITEquipmentTable[Storage Location],
COUNTIFS(ITSecondTable[Tag], ITSecondTable[[#This Row],[Tag]], _xlpm.loc, "Missing")
)</f>
        <v>0</v>
      </c>
      <c r="E643" s="168">
        <f>_xlfn.LET(_xlpm.loc, ITEquipmentTable[Storage Location],
COUNTIFS(ITSecondTable[Tag], ITSecondTable[[#This Row],[Tag]], _xlpm.loc, "In Use") + COUNTIFS(ITSecondTable[Tag], ITSecondTable[[#This Row],[Tag]], _xlpm.loc, "Assigned to Employee")
)</f>
        <v>12</v>
      </c>
      <c r="F643" s="168">
        <f>_xlfn.LET(_xlpm.loc, ITEquipmentTable[Storage Location],
COUNTIFS(ITSecondTable[Tag], ITSecondTable[[#This Row],[Tag]], _xlpm.loc, "")
)</f>
        <v>0</v>
      </c>
      <c r="G643" s="168">
        <f>MAX(ITSecondTable[[#This Row],[SQty]] - ITSecondTable[[#This Row],[IQty]], 0)</f>
        <v>0</v>
      </c>
      <c r="H643" s="168">
        <f>MAX(ITSecondTable[[#This Row],[IQty]]-ITSecondTable[[#This Row],[SQty]], 0)</f>
        <v>9</v>
      </c>
      <c r="I643" s="151" t="str">
        <f>IFERROR(_xlfn.TEXTJOIN("~", TRUE, ITEquipmentTable[[#This Row],[Type]],ITEquipmentTable[[#This Row],[Brand]],ITEquipmentTable[[#This Row],[Model]]), "")</f>
        <v>Scanner Base~Honeywell~CCB02-100BT-07N</v>
      </c>
      <c r="J643" s="151" t="b">
        <f xml:space="preserve"> _xlfn.IFNA(MATCH( ITSecondTable[[#This Row],[Tag]], StorageTable[Tag], 0)  &gt; -1, FALSE)</f>
        <v>0</v>
      </c>
      <c r="K643" s="168" t="b">
        <f>COUNTIFS(ITEquipmentTable[Serial], ITEquipmentTable[[#This Row],[Serial]], ITEquipmentTable[Serial], "&lt;&gt;N/A") &gt; 1</f>
        <v>0</v>
      </c>
      <c r="L643" s="168" t="b">
        <f>COUNTIFS(ITEquipmentTable[Name], ITEquipmentTable[[#This Row],[Name]], ITEquipmentTable[Name], "&lt;&gt;&lt;Unassigned&gt;",  ITEquipmentTable[Name], "&lt;&gt;N/A") &gt; 1</f>
        <v>0</v>
      </c>
      <c r="M643" s="168" t="b">
        <f>AND(COUNTIFS(ITEquipmentTable[IPv4 Address], ITEquipmentTable[[#This Row],[IPv4 Address]]) &gt; 1, ITEquipmentTable[[#This Row],[IPv4 Address]] &lt;&gt; "DHCP",  ITEquipmentTable[[#This Row],[IPv4 Address]] &lt;&gt; "N/A")</f>
        <v>0</v>
      </c>
    </row>
    <row r="644" spans="1:13" x14ac:dyDescent="0.2">
      <c r="A644" s="168">
        <f>IF(LEN(ITSecondTable[[#This Row],[Tag]]) &gt; 0, _xlfn.XLOOKUP(ITSecondTable[[#This Row],[Tag]],StorageTable[Tag], StorageTable[In Storage - Count Total], "Err", 0, 1), 0)</f>
        <v>18</v>
      </c>
      <c r="B644" s="168">
        <f>_xlfn.LET(_xlpm.loc, ITEquipmentTable[Storage Location],
COUNTIFS(ITSecondTable[Tag], ITSecondTable[[#This Row],[Tag]], _xlpm.loc, "&lt;&gt;In Use", _xlpm.loc, "&lt;&gt;",  _xlpm.loc, "&lt;&gt;E-Waste", _xlpm.loc, "&lt;&gt;Virtual",  _xlpm.loc, "&lt;&gt;Assigned to Employee", _xlpm.loc, "&lt;&gt;Decommisioned", _xlpm.loc, "&lt;&gt;Missing")
)</f>
        <v>11</v>
      </c>
      <c r="C644" s="168">
        <f>_xlfn.LET(_xlpm.loc, ITEquipmentTable[Storage Location],
COUNTIFS(ITSecondTable[Tag], ITSecondTable[[#This Row],[Tag]], _xlpm.loc, "&lt;&gt;E-Waste", _xlpm.loc, "&lt;&gt;Virtual", _xlpm.loc, "&lt;&gt;Decommisioned")
)</f>
        <v>38</v>
      </c>
      <c r="D644" s="168">
        <f>_xlfn.LET(_xlpm.loc, ITEquipmentTable[Storage Location],
COUNTIFS(ITSecondTable[Tag], ITSecondTable[[#This Row],[Tag]], _xlpm.loc, "Missing")
)</f>
        <v>0</v>
      </c>
      <c r="E644" s="168">
        <f>_xlfn.LET(_xlpm.loc, ITEquipmentTable[Storage Location],
COUNTIFS(ITSecondTable[Tag], ITSecondTable[[#This Row],[Tag]], _xlpm.loc, "In Use") + COUNTIFS(ITSecondTable[Tag], ITSecondTable[[#This Row],[Tag]], _xlpm.loc, "Assigned to Employee")
)</f>
        <v>13</v>
      </c>
      <c r="F644" s="168">
        <f>_xlfn.LET(_xlpm.loc, ITEquipmentTable[Storage Location],
COUNTIFS(ITSecondTable[Tag], ITSecondTable[[#This Row],[Tag]], _xlpm.loc, "")
)</f>
        <v>14</v>
      </c>
      <c r="G644" s="168">
        <f>MAX(ITSecondTable[[#This Row],[SQty]] - ITSecondTable[[#This Row],[IQty]], 0)</f>
        <v>0</v>
      </c>
      <c r="H644" s="168">
        <f>MAX(ITSecondTable[[#This Row],[IQty]]-ITSecondTable[[#This Row],[SQty]], 0)</f>
        <v>7</v>
      </c>
      <c r="I644" s="151" t="str">
        <f>IFERROR(_xlfn.TEXTJOIN("~", TRUE, ITEquipmentTable[[#This Row],[Type]],ITEquipmentTable[[#This Row],[Brand]],ITEquipmentTable[[#This Row],[Model]]), "")</f>
        <v>Scanner~Honeywell~1911i</v>
      </c>
      <c r="J644" s="151" t="b">
        <f xml:space="preserve"> _xlfn.IFNA(MATCH( ITSecondTable[[#This Row],[Tag]], StorageTable[Tag], 0)  &gt; -1, FALSE)</f>
        <v>0</v>
      </c>
      <c r="K644" s="168" t="b">
        <f>COUNTIFS(ITEquipmentTable[Serial], ITEquipmentTable[[#This Row],[Serial]], ITEquipmentTable[Serial], "&lt;&gt;N/A") &gt; 1</f>
        <v>0</v>
      </c>
      <c r="L644" s="168" t="b">
        <f>COUNTIFS(ITEquipmentTable[Name], ITEquipmentTable[[#This Row],[Name]], ITEquipmentTable[Name], "&lt;&gt;&lt;Unassigned&gt;",  ITEquipmentTable[Name], "&lt;&gt;N/A") &gt; 1</f>
        <v>0</v>
      </c>
      <c r="M644" s="168" t="b">
        <f>AND(COUNTIFS(ITEquipmentTable[IPv4 Address], ITEquipmentTable[[#This Row],[IPv4 Address]]) &gt; 1, ITEquipmentTable[[#This Row],[IPv4 Address]] &lt;&gt; "DHCP",  ITEquipmentTable[[#This Row],[IPv4 Address]] &lt;&gt; "N/A")</f>
        <v>0</v>
      </c>
    </row>
    <row r="645" spans="1:13" x14ac:dyDescent="0.2">
      <c r="A645" s="168">
        <f>IF(LEN(ITSecondTable[[#This Row],[Tag]]) &gt; 0, _xlfn.XLOOKUP(ITSecondTable[[#This Row],[Tag]],StorageTable[Tag], StorageTable[In Storage - Count Total], "Err", 0, 1), 0)</f>
        <v>30</v>
      </c>
      <c r="B645" s="168">
        <f>_xlfn.LET(_xlpm.loc, ITEquipmentTable[Storage Location],
COUNTIFS(ITSecondTable[Tag], ITSecondTable[[#This Row],[Tag]], _xlpm.loc, "&lt;&gt;In Use", _xlpm.loc, "&lt;&gt;",  _xlpm.loc, "&lt;&gt;E-Waste", _xlpm.loc, "&lt;&gt;Virtual",  _xlpm.loc, "&lt;&gt;Assigned to Employee", _xlpm.loc, "&lt;&gt;Decommisioned", _xlpm.loc, "&lt;&gt;Missing")
)</f>
        <v>21</v>
      </c>
      <c r="C645" s="168">
        <f>_xlfn.LET(_xlpm.loc, ITEquipmentTable[Storage Location],
COUNTIFS(ITSecondTable[Tag], ITSecondTable[[#This Row],[Tag]], _xlpm.loc, "&lt;&gt;E-Waste", _xlpm.loc, "&lt;&gt;Virtual", _xlpm.loc, "&lt;&gt;Decommisioned")
)</f>
        <v>33</v>
      </c>
      <c r="D645" s="168">
        <f>_xlfn.LET(_xlpm.loc, ITEquipmentTable[Storage Location],
COUNTIFS(ITSecondTable[Tag], ITSecondTable[[#This Row],[Tag]], _xlpm.loc, "Missing")
)</f>
        <v>0</v>
      </c>
      <c r="E645" s="168">
        <f>_xlfn.LET(_xlpm.loc, ITEquipmentTable[Storage Location],
COUNTIFS(ITSecondTable[Tag], ITSecondTable[[#This Row],[Tag]], _xlpm.loc, "In Use") + COUNTIFS(ITSecondTable[Tag], ITSecondTable[[#This Row],[Tag]], _xlpm.loc, "Assigned to Employee")
)</f>
        <v>12</v>
      </c>
      <c r="F645" s="168">
        <f>_xlfn.LET(_xlpm.loc, ITEquipmentTable[Storage Location],
COUNTIFS(ITSecondTable[Tag], ITSecondTable[[#This Row],[Tag]], _xlpm.loc, "")
)</f>
        <v>0</v>
      </c>
      <c r="G645" s="168">
        <f>MAX(ITSecondTable[[#This Row],[SQty]] - ITSecondTable[[#This Row],[IQty]], 0)</f>
        <v>0</v>
      </c>
      <c r="H645" s="168">
        <f>MAX(ITSecondTable[[#This Row],[IQty]]-ITSecondTable[[#This Row],[SQty]], 0)</f>
        <v>9</v>
      </c>
      <c r="I645" s="151" t="str">
        <f>IFERROR(_xlfn.TEXTJOIN("~", TRUE, ITEquipmentTable[[#This Row],[Type]],ITEquipmentTable[[#This Row],[Brand]],ITEquipmentTable[[#This Row],[Model]]), "")</f>
        <v>Scanner Base~Honeywell~CCB02-100BT-07N</v>
      </c>
      <c r="J645" s="151" t="b">
        <f xml:space="preserve"> _xlfn.IFNA(MATCH( ITSecondTable[[#This Row],[Tag]], StorageTable[Tag], 0)  &gt; -1, FALSE)</f>
        <v>0</v>
      </c>
      <c r="K645" s="168" t="b">
        <f>COUNTIFS(ITEquipmentTable[Serial], ITEquipmentTable[[#This Row],[Serial]], ITEquipmentTable[Serial], "&lt;&gt;N/A") &gt; 1</f>
        <v>0</v>
      </c>
      <c r="L645" s="168" t="b">
        <f>COUNTIFS(ITEquipmentTable[Name], ITEquipmentTable[[#This Row],[Name]], ITEquipmentTable[Name], "&lt;&gt;&lt;Unassigned&gt;",  ITEquipmentTable[Name], "&lt;&gt;N/A") &gt; 1</f>
        <v>0</v>
      </c>
      <c r="M645" s="168" t="b">
        <f>AND(COUNTIFS(ITEquipmentTable[IPv4 Address], ITEquipmentTable[[#This Row],[IPv4 Address]]) &gt; 1, ITEquipmentTable[[#This Row],[IPv4 Address]] &lt;&gt; "DHCP",  ITEquipmentTable[[#This Row],[IPv4 Address]] &lt;&gt; "N/A")</f>
        <v>0</v>
      </c>
    </row>
    <row r="646" spans="1:13" x14ac:dyDescent="0.2">
      <c r="A646" s="168">
        <f>IF(LEN(ITSecondTable[[#This Row],[Tag]]) &gt; 0, _xlfn.XLOOKUP(ITSecondTable[[#This Row],[Tag]],StorageTable[Tag], StorageTable[In Storage - Count Total], "Err", 0, 1), 0)</f>
        <v>18</v>
      </c>
      <c r="B646" s="168">
        <f>_xlfn.LET(_xlpm.loc, ITEquipmentTable[Storage Location],
COUNTIFS(ITSecondTable[Tag], ITSecondTable[[#This Row],[Tag]], _xlpm.loc, "&lt;&gt;In Use", _xlpm.loc, "&lt;&gt;",  _xlpm.loc, "&lt;&gt;E-Waste", _xlpm.loc, "&lt;&gt;Virtual",  _xlpm.loc, "&lt;&gt;Assigned to Employee", _xlpm.loc, "&lt;&gt;Decommisioned", _xlpm.loc, "&lt;&gt;Missing")
)</f>
        <v>11</v>
      </c>
      <c r="C646" s="168">
        <f>_xlfn.LET(_xlpm.loc, ITEquipmentTable[Storage Location],
COUNTIFS(ITSecondTable[Tag], ITSecondTable[[#This Row],[Tag]], _xlpm.loc, "&lt;&gt;E-Waste", _xlpm.loc, "&lt;&gt;Virtual", _xlpm.loc, "&lt;&gt;Decommisioned")
)</f>
        <v>38</v>
      </c>
      <c r="D646" s="168">
        <f>_xlfn.LET(_xlpm.loc, ITEquipmentTable[Storage Location],
COUNTIFS(ITSecondTable[Tag], ITSecondTable[[#This Row],[Tag]], _xlpm.loc, "Missing")
)</f>
        <v>0</v>
      </c>
      <c r="E646" s="168">
        <f>_xlfn.LET(_xlpm.loc, ITEquipmentTable[Storage Location],
COUNTIFS(ITSecondTable[Tag], ITSecondTable[[#This Row],[Tag]], _xlpm.loc, "In Use") + COUNTIFS(ITSecondTable[Tag], ITSecondTable[[#This Row],[Tag]], _xlpm.loc, "Assigned to Employee")
)</f>
        <v>13</v>
      </c>
      <c r="F646" s="168">
        <f>_xlfn.LET(_xlpm.loc, ITEquipmentTable[Storage Location],
COUNTIFS(ITSecondTable[Tag], ITSecondTable[[#This Row],[Tag]], _xlpm.loc, "")
)</f>
        <v>14</v>
      </c>
      <c r="G646" s="168">
        <f>MAX(ITSecondTable[[#This Row],[SQty]] - ITSecondTable[[#This Row],[IQty]], 0)</f>
        <v>0</v>
      </c>
      <c r="H646" s="168">
        <f>MAX(ITSecondTable[[#This Row],[IQty]]-ITSecondTable[[#This Row],[SQty]], 0)</f>
        <v>7</v>
      </c>
      <c r="I646" s="151" t="str">
        <f>IFERROR(_xlfn.TEXTJOIN("~", TRUE, ITEquipmentTable[[#This Row],[Type]],ITEquipmentTable[[#This Row],[Brand]],ITEquipmentTable[[#This Row],[Model]]), "")</f>
        <v>Scanner~Honeywell~1911i</v>
      </c>
      <c r="J646" s="151" t="b">
        <f xml:space="preserve"> _xlfn.IFNA(MATCH( ITSecondTable[[#This Row],[Tag]], StorageTable[Tag], 0)  &gt; -1, FALSE)</f>
        <v>0</v>
      </c>
      <c r="K646" s="168" t="b">
        <f>COUNTIFS(ITEquipmentTable[Serial], ITEquipmentTable[[#This Row],[Serial]], ITEquipmentTable[Serial], "&lt;&gt;N/A") &gt; 1</f>
        <v>0</v>
      </c>
      <c r="L646" s="168" t="b">
        <f>COUNTIFS(ITEquipmentTable[Name], ITEquipmentTable[[#This Row],[Name]], ITEquipmentTable[Name], "&lt;&gt;&lt;Unassigned&gt;",  ITEquipmentTable[Name], "&lt;&gt;N/A") &gt; 1</f>
        <v>0</v>
      </c>
      <c r="M646" s="168" t="b">
        <f>AND(COUNTIFS(ITEquipmentTable[IPv4 Address], ITEquipmentTable[[#This Row],[IPv4 Address]]) &gt; 1, ITEquipmentTable[[#This Row],[IPv4 Address]] &lt;&gt; "DHCP",  ITEquipmentTable[[#This Row],[IPv4 Address]] &lt;&gt; "N/A")</f>
        <v>0</v>
      </c>
    </row>
    <row r="647" spans="1:13" x14ac:dyDescent="0.2">
      <c r="A647" s="168">
        <f>IF(LEN(ITSecondTable[[#This Row],[Tag]]) &gt; 0, _xlfn.XLOOKUP(ITSecondTable[[#This Row],[Tag]],StorageTable[Tag], StorageTable[In Storage - Count Total], "Err", 0, 1), 0)</f>
        <v>30</v>
      </c>
      <c r="B647" s="168">
        <f>_xlfn.LET(_xlpm.loc, ITEquipmentTable[Storage Location],
COUNTIFS(ITSecondTable[Tag], ITSecondTable[[#This Row],[Tag]], _xlpm.loc, "&lt;&gt;In Use", _xlpm.loc, "&lt;&gt;",  _xlpm.loc, "&lt;&gt;E-Waste", _xlpm.loc, "&lt;&gt;Virtual",  _xlpm.loc, "&lt;&gt;Assigned to Employee", _xlpm.loc, "&lt;&gt;Decommisioned", _xlpm.loc, "&lt;&gt;Missing")
)</f>
        <v>21</v>
      </c>
      <c r="C647" s="168">
        <f>_xlfn.LET(_xlpm.loc, ITEquipmentTable[Storage Location],
COUNTIFS(ITSecondTable[Tag], ITSecondTable[[#This Row],[Tag]], _xlpm.loc, "&lt;&gt;E-Waste", _xlpm.loc, "&lt;&gt;Virtual", _xlpm.loc, "&lt;&gt;Decommisioned")
)</f>
        <v>33</v>
      </c>
      <c r="D647" s="168">
        <f>_xlfn.LET(_xlpm.loc, ITEquipmentTable[Storage Location],
COUNTIFS(ITSecondTable[Tag], ITSecondTable[[#This Row],[Tag]], _xlpm.loc, "Missing")
)</f>
        <v>0</v>
      </c>
      <c r="E647" s="168">
        <f>_xlfn.LET(_xlpm.loc, ITEquipmentTable[Storage Location],
COUNTIFS(ITSecondTable[Tag], ITSecondTable[[#This Row],[Tag]], _xlpm.loc, "In Use") + COUNTIFS(ITSecondTable[Tag], ITSecondTable[[#This Row],[Tag]], _xlpm.loc, "Assigned to Employee")
)</f>
        <v>12</v>
      </c>
      <c r="F647" s="168">
        <f>_xlfn.LET(_xlpm.loc, ITEquipmentTable[Storage Location],
COUNTIFS(ITSecondTable[Tag], ITSecondTable[[#This Row],[Tag]], _xlpm.loc, "")
)</f>
        <v>0</v>
      </c>
      <c r="G647" s="168">
        <f>MAX(ITSecondTable[[#This Row],[SQty]] - ITSecondTable[[#This Row],[IQty]], 0)</f>
        <v>0</v>
      </c>
      <c r="H647" s="168">
        <f>MAX(ITSecondTable[[#This Row],[IQty]]-ITSecondTable[[#This Row],[SQty]], 0)</f>
        <v>9</v>
      </c>
      <c r="I647" s="151" t="str">
        <f>IFERROR(_xlfn.TEXTJOIN("~", TRUE, ITEquipmentTable[[#This Row],[Type]],ITEquipmentTable[[#This Row],[Brand]],ITEquipmentTable[[#This Row],[Model]]), "")</f>
        <v>Scanner Base~Honeywell~CCB02-100BT-07N</v>
      </c>
      <c r="J647" s="151" t="b">
        <f xml:space="preserve"> _xlfn.IFNA(MATCH( ITSecondTable[[#This Row],[Tag]], StorageTable[Tag], 0)  &gt; -1, FALSE)</f>
        <v>0</v>
      </c>
      <c r="K647" s="168" t="b">
        <f>COUNTIFS(ITEquipmentTable[Serial], ITEquipmentTable[[#This Row],[Serial]], ITEquipmentTable[Serial], "&lt;&gt;N/A") &gt; 1</f>
        <v>0</v>
      </c>
      <c r="L647" s="168" t="b">
        <f>COUNTIFS(ITEquipmentTable[Name], ITEquipmentTable[[#This Row],[Name]], ITEquipmentTable[Name], "&lt;&gt;&lt;Unassigned&gt;",  ITEquipmentTable[Name], "&lt;&gt;N/A") &gt; 1</f>
        <v>0</v>
      </c>
      <c r="M647" s="168" t="b">
        <f>AND(COUNTIFS(ITEquipmentTable[IPv4 Address], ITEquipmentTable[[#This Row],[IPv4 Address]]) &gt; 1, ITEquipmentTable[[#This Row],[IPv4 Address]] &lt;&gt; "DHCP",  ITEquipmentTable[[#This Row],[IPv4 Address]] &lt;&gt; "N/A")</f>
        <v>0</v>
      </c>
    </row>
    <row r="648" spans="1:13" x14ac:dyDescent="0.2">
      <c r="A648" s="168">
        <f>IF(LEN(ITSecondTable[[#This Row],[Tag]]) &gt; 0, _xlfn.XLOOKUP(ITSecondTable[[#This Row],[Tag]],StorageTable[Tag], StorageTable[In Storage - Count Total], "Err", 0, 1), 0)</f>
        <v>18</v>
      </c>
      <c r="B648" s="168">
        <f>_xlfn.LET(_xlpm.loc, ITEquipmentTable[Storage Location],
COUNTIFS(ITSecondTable[Tag], ITSecondTable[[#This Row],[Tag]], _xlpm.loc, "&lt;&gt;In Use", _xlpm.loc, "&lt;&gt;",  _xlpm.loc, "&lt;&gt;E-Waste", _xlpm.loc, "&lt;&gt;Virtual",  _xlpm.loc, "&lt;&gt;Assigned to Employee", _xlpm.loc, "&lt;&gt;Decommisioned", _xlpm.loc, "&lt;&gt;Missing")
)</f>
        <v>11</v>
      </c>
      <c r="C648" s="168">
        <f>_xlfn.LET(_xlpm.loc, ITEquipmentTable[Storage Location],
COUNTIFS(ITSecondTable[Tag], ITSecondTable[[#This Row],[Tag]], _xlpm.loc, "&lt;&gt;E-Waste", _xlpm.loc, "&lt;&gt;Virtual", _xlpm.loc, "&lt;&gt;Decommisioned")
)</f>
        <v>38</v>
      </c>
      <c r="D648" s="168">
        <f>_xlfn.LET(_xlpm.loc, ITEquipmentTable[Storage Location],
COUNTIFS(ITSecondTable[Tag], ITSecondTable[[#This Row],[Tag]], _xlpm.loc, "Missing")
)</f>
        <v>0</v>
      </c>
      <c r="E648" s="168">
        <f>_xlfn.LET(_xlpm.loc, ITEquipmentTable[Storage Location],
COUNTIFS(ITSecondTable[Tag], ITSecondTable[[#This Row],[Tag]], _xlpm.loc, "In Use") + COUNTIFS(ITSecondTable[Tag], ITSecondTable[[#This Row],[Tag]], _xlpm.loc, "Assigned to Employee")
)</f>
        <v>13</v>
      </c>
      <c r="F648" s="168">
        <f>_xlfn.LET(_xlpm.loc, ITEquipmentTable[Storage Location],
COUNTIFS(ITSecondTable[Tag], ITSecondTable[[#This Row],[Tag]], _xlpm.loc, "")
)</f>
        <v>14</v>
      </c>
      <c r="G648" s="168">
        <f>MAX(ITSecondTable[[#This Row],[SQty]] - ITSecondTable[[#This Row],[IQty]], 0)</f>
        <v>0</v>
      </c>
      <c r="H648" s="168">
        <f>MAX(ITSecondTable[[#This Row],[IQty]]-ITSecondTable[[#This Row],[SQty]], 0)</f>
        <v>7</v>
      </c>
      <c r="I648" s="151" t="str">
        <f>IFERROR(_xlfn.TEXTJOIN("~", TRUE, ITEquipmentTable[[#This Row],[Type]],ITEquipmentTable[[#This Row],[Brand]],ITEquipmentTable[[#This Row],[Model]]), "")</f>
        <v>Scanner~Honeywell~1911i</v>
      </c>
      <c r="J648" s="151" t="b">
        <f xml:space="preserve"> _xlfn.IFNA(MATCH( ITSecondTable[[#This Row],[Tag]], StorageTable[Tag], 0)  &gt; -1, FALSE)</f>
        <v>0</v>
      </c>
      <c r="K648" s="168" t="b">
        <f>COUNTIFS(ITEquipmentTable[Serial], ITEquipmentTable[[#This Row],[Serial]], ITEquipmentTable[Serial], "&lt;&gt;N/A") &gt; 1</f>
        <v>0</v>
      </c>
      <c r="L648" s="168" t="b">
        <f>COUNTIFS(ITEquipmentTable[Name], ITEquipmentTable[[#This Row],[Name]], ITEquipmentTable[Name], "&lt;&gt;&lt;Unassigned&gt;",  ITEquipmentTable[Name], "&lt;&gt;N/A") &gt; 1</f>
        <v>0</v>
      </c>
      <c r="M648" s="168" t="b">
        <f>AND(COUNTIFS(ITEquipmentTable[IPv4 Address], ITEquipmentTable[[#This Row],[IPv4 Address]]) &gt; 1, ITEquipmentTable[[#This Row],[IPv4 Address]] &lt;&gt; "DHCP",  ITEquipmentTable[[#This Row],[IPv4 Address]] &lt;&gt; "N/A")</f>
        <v>0</v>
      </c>
    </row>
    <row r="649" spans="1:13" x14ac:dyDescent="0.2">
      <c r="A649" s="168">
        <f>IF(LEN(ITSecondTable[[#This Row],[Tag]]) &gt; 0, _xlfn.XLOOKUP(ITSecondTable[[#This Row],[Tag]],StorageTable[Tag], StorageTable[In Storage - Count Total], "Err", 0, 1), 0)</f>
        <v>30</v>
      </c>
      <c r="B649" s="168">
        <f>_xlfn.LET(_xlpm.loc, ITEquipmentTable[Storage Location],
COUNTIFS(ITSecondTable[Tag], ITSecondTable[[#This Row],[Tag]], _xlpm.loc, "&lt;&gt;In Use", _xlpm.loc, "&lt;&gt;",  _xlpm.loc, "&lt;&gt;E-Waste", _xlpm.loc, "&lt;&gt;Virtual",  _xlpm.loc, "&lt;&gt;Assigned to Employee", _xlpm.loc, "&lt;&gt;Decommisioned", _xlpm.loc, "&lt;&gt;Missing")
)</f>
        <v>21</v>
      </c>
      <c r="C649" s="168">
        <f>_xlfn.LET(_xlpm.loc, ITEquipmentTable[Storage Location],
COUNTIFS(ITSecondTable[Tag], ITSecondTable[[#This Row],[Tag]], _xlpm.loc, "&lt;&gt;E-Waste", _xlpm.loc, "&lt;&gt;Virtual", _xlpm.loc, "&lt;&gt;Decommisioned")
)</f>
        <v>33</v>
      </c>
      <c r="D649" s="168">
        <f>_xlfn.LET(_xlpm.loc, ITEquipmentTable[Storage Location],
COUNTIFS(ITSecondTable[Tag], ITSecondTable[[#This Row],[Tag]], _xlpm.loc, "Missing")
)</f>
        <v>0</v>
      </c>
      <c r="E649" s="168">
        <f>_xlfn.LET(_xlpm.loc, ITEquipmentTable[Storage Location],
COUNTIFS(ITSecondTable[Tag], ITSecondTable[[#This Row],[Tag]], _xlpm.loc, "In Use") + COUNTIFS(ITSecondTable[Tag], ITSecondTable[[#This Row],[Tag]], _xlpm.loc, "Assigned to Employee")
)</f>
        <v>12</v>
      </c>
      <c r="F649" s="168">
        <f>_xlfn.LET(_xlpm.loc, ITEquipmentTable[Storage Location],
COUNTIFS(ITSecondTable[Tag], ITSecondTable[[#This Row],[Tag]], _xlpm.loc, "")
)</f>
        <v>0</v>
      </c>
      <c r="G649" s="168">
        <f>MAX(ITSecondTable[[#This Row],[SQty]] - ITSecondTable[[#This Row],[IQty]], 0)</f>
        <v>0</v>
      </c>
      <c r="H649" s="168">
        <f>MAX(ITSecondTable[[#This Row],[IQty]]-ITSecondTable[[#This Row],[SQty]], 0)</f>
        <v>9</v>
      </c>
      <c r="I649" s="151" t="str">
        <f>IFERROR(_xlfn.TEXTJOIN("~", TRUE, ITEquipmentTable[[#This Row],[Type]],ITEquipmentTable[[#This Row],[Brand]],ITEquipmentTable[[#This Row],[Model]]), "")</f>
        <v>Scanner Base~Honeywell~CCB02-100BT-07N</v>
      </c>
      <c r="J649" s="151" t="b">
        <f xml:space="preserve"> _xlfn.IFNA(MATCH( ITSecondTable[[#This Row],[Tag]], StorageTable[Tag], 0)  &gt; -1, FALSE)</f>
        <v>0</v>
      </c>
      <c r="K649" s="168" t="b">
        <f>COUNTIFS(ITEquipmentTable[Serial], ITEquipmentTable[[#This Row],[Serial]], ITEquipmentTable[Serial], "&lt;&gt;N/A") &gt; 1</f>
        <v>0</v>
      </c>
      <c r="L649" s="168" t="b">
        <f>COUNTIFS(ITEquipmentTable[Name], ITEquipmentTable[[#This Row],[Name]], ITEquipmentTable[Name], "&lt;&gt;&lt;Unassigned&gt;",  ITEquipmentTable[Name], "&lt;&gt;N/A") &gt; 1</f>
        <v>0</v>
      </c>
      <c r="M649" s="168" t="b">
        <f>AND(COUNTIFS(ITEquipmentTable[IPv4 Address], ITEquipmentTable[[#This Row],[IPv4 Address]]) &gt; 1, ITEquipmentTable[[#This Row],[IPv4 Address]] &lt;&gt; "DHCP",  ITEquipmentTable[[#This Row],[IPv4 Address]] &lt;&gt; "N/A")</f>
        <v>0</v>
      </c>
    </row>
    <row r="650" spans="1:13" x14ac:dyDescent="0.2">
      <c r="A650" s="168">
        <f>IF(LEN(ITSecondTable[[#This Row],[Tag]]) &gt; 0, _xlfn.XLOOKUP(ITSecondTable[[#This Row],[Tag]],StorageTable[Tag], StorageTable[In Storage - Count Total], "Err", 0, 1), 0)</f>
        <v>18</v>
      </c>
      <c r="B650" s="168">
        <f>_xlfn.LET(_xlpm.loc, ITEquipmentTable[Storage Location],
COUNTIFS(ITSecondTable[Tag], ITSecondTable[[#This Row],[Tag]], _xlpm.loc, "&lt;&gt;In Use", _xlpm.loc, "&lt;&gt;",  _xlpm.loc, "&lt;&gt;E-Waste", _xlpm.loc, "&lt;&gt;Virtual",  _xlpm.loc, "&lt;&gt;Assigned to Employee", _xlpm.loc, "&lt;&gt;Decommisioned", _xlpm.loc, "&lt;&gt;Missing")
)</f>
        <v>11</v>
      </c>
      <c r="C650" s="168">
        <f>_xlfn.LET(_xlpm.loc, ITEquipmentTable[Storage Location],
COUNTIFS(ITSecondTable[Tag], ITSecondTable[[#This Row],[Tag]], _xlpm.loc, "&lt;&gt;E-Waste", _xlpm.loc, "&lt;&gt;Virtual", _xlpm.loc, "&lt;&gt;Decommisioned")
)</f>
        <v>38</v>
      </c>
      <c r="D650" s="168">
        <f>_xlfn.LET(_xlpm.loc, ITEquipmentTable[Storage Location],
COUNTIFS(ITSecondTable[Tag], ITSecondTable[[#This Row],[Tag]], _xlpm.loc, "Missing")
)</f>
        <v>0</v>
      </c>
      <c r="E650" s="168">
        <f>_xlfn.LET(_xlpm.loc, ITEquipmentTable[Storage Location],
COUNTIFS(ITSecondTable[Tag], ITSecondTable[[#This Row],[Tag]], _xlpm.loc, "In Use") + COUNTIFS(ITSecondTable[Tag], ITSecondTable[[#This Row],[Tag]], _xlpm.loc, "Assigned to Employee")
)</f>
        <v>13</v>
      </c>
      <c r="F650" s="168">
        <f>_xlfn.LET(_xlpm.loc, ITEquipmentTable[Storage Location],
COUNTIFS(ITSecondTable[Tag], ITSecondTable[[#This Row],[Tag]], _xlpm.loc, "")
)</f>
        <v>14</v>
      </c>
      <c r="G650" s="168">
        <f>MAX(ITSecondTable[[#This Row],[SQty]] - ITSecondTable[[#This Row],[IQty]], 0)</f>
        <v>0</v>
      </c>
      <c r="H650" s="168">
        <f>MAX(ITSecondTable[[#This Row],[IQty]]-ITSecondTable[[#This Row],[SQty]], 0)</f>
        <v>7</v>
      </c>
      <c r="I650" s="151" t="str">
        <f>IFERROR(_xlfn.TEXTJOIN("~", TRUE, ITEquipmentTable[[#This Row],[Type]],ITEquipmentTable[[#This Row],[Brand]],ITEquipmentTable[[#This Row],[Model]]), "")</f>
        <v>Scanner~Honeywell~1911i</v>
      </c>
      <c r="J650" s="151" t="b">
        <f xml:space="preserve"> _xlfn.IFNA(MATCH( ITSecondTable[[#This Row],[Tag]], StorageTable[Tag], 0)  &gt; -1, FALSE)</f>
        <v>0</v>
      </c>
      <c r="K650" s="168" t="b">
        <f>COUNTIFS(ITEquipmentTable[Serial], ITEquipmentTable[[#This Row],[Serial]], ITEquipmentTable[Serial], "&lt;&gt;N/A") &gt; 1</f>
        <v>0</v>
      </c>
      <c r="L650" s="168" t="b">
        <f>COUNTIFS(ITEquipmentTable[Name], ITEquipmentTable[[#This Row],[Name]], ITEquipmentTable[Name], "&lt;&gt;&lt;Unassigned&gt;",  ITEquipmentTable[Name], "&lt;&gt;N/A") &gt; 1</f>
        <v>0</v>
      </c>
      <c r="M650" s="168" t="b">
        <f>AND(COUNTIFS(ITEquipmentTable[IPv4 Address], ITEquipmentTable[[#This Row],[IPv4 Address]]) &gt; 1, ITEquipmentTable[[#This Row],[IPv4 Address]] &lt;&gt; "DHCP",  ITEquipmentTable[[#This Row],[IPv4 Address]] &lt;&gt; "N/A")</f>
        <v>0</v>
      </c>
    </row>
    <row r="651" spans="1:13" x14ac:dyDescent="0.2">
      <c r="A651" s="168">
        <f>IF(LEN(ITSecondTable[[#This Row],[Tag]]) &gt; 0, _xlfn.XLOOKUP(ITSecondTable[[#This Row],[Tag]],StorageTable[Tag], StorageTable[In Storage - Count Total], "Err", 0, 1), 0)</f>
        <v>30</v>
      </c>
      <c r="B651" s="168">
        <f>_xlfn.LET(_xlpm.loc, ITEquipmentTable[Storage Location],
COUNTIFS(ITSecondTable[Tag], ITSecondTable[[#This Row],[Tag]], _xlpm.loc, "&lt;&gt;In Use", _xlpm.loc, "&lt;&gt;",  _xlpm.loc, "&lt;&gt;E-Waste", _xlpm.loc, "&lt;&gt;Virtual",  _xlpm.loc, "&lt;&gt;Assigned to Employee", _xlpm.loc, "&lt;&gt;Decommisioned", _xlpm.loc, "&lt;&gt;Missing")
)</f>
        <v>21</v>
      </c>
      <c r="C651" s="168">
        <f>_xlfn.LET(_xlpm.loc, ITEquipmentTable[Storage Location],
COUNTIFS(ITSecondTable[Tag], ITSecondTable[[#This Row],[Tag]], _xlpm.loc, "&lt;&gt;E-Waste", _xlpm.loc, "&lt;&gt;Virtual", _xlpm.loc, "&lt;&gt;Decommisioned")
)</f>
        <v>33</v>
      </c>
      <c r="D651" s="168">
        <f>_xlfn.LET(_xlpm.loc, ITEquipmentTable[Storage Location],
COUNTIFS(ITSecondTable[Tag], ITSecondTable[[#This Row],[Tag]], _xlpm.loc, "Missing")
)</f>
        <v>0</v>
      </c>
      <c r="E651" s="168">
        <f>_xlfn.LET(_xlpm.loc, ITEquipmentTable[Storage Location],
COUNTIFS(ITSecondTable[Tag], ITSecondTable[[#This Row],[Tag]], _xlpm.loc, "In Use") + COUNTIFS(ITSecondTable[Tag], ITSecondTable[[#This Row],[Tag]], _xlpm.loc, "Assigned to Employee")
)</f>
        <v>12</v>
      </c>
      <c r="F651" s="168">
        <f>_xlfn.LET(_xlpm.loc, ITEquipmentTable[Storage Location],
COUNTIFS(ITSecondTable[Tag], ITSecondTable[[#This Row],[Tag]], _xlpm.loc, "")
)</f>
        <v>0</v>
      </c>
      <c r="G651" s="168">
        <f>MAX(ITSecondTable[[#This Row],[SQty]] - ITSecondTable[[#This Row],[IQty]], 0)</f>
        <v>0</v>
      </c>
      <c r="H651" s="168">
        <f>MAX(ITSecondTable[[#This Row],[IQty]]-ITSecondTable[[#This Row],[SQty]], 0)</f>
        <v>9</v>
      </c>
      <c r="I651" s="151" t="str">
        <f>IFERROR(_xlfn.TEXTJOIN("~", TRUE, ITEquipmentTable[[#This Row],[Type]],ITEquipmentTable[[#This Row],[Brand]],ITEquipmentTable[[#This Row],[Model]]), "")</f>
        <v>Scanner Base~Honeywell~CCB02-100BT-07N</v>
      </c>
      <c r="J651" s="151" t="b">
        <f xml:space="preserve"> _xlfn.IFNA(MATCH( ITSecondTable[[#This Row],[Tag]], StorageTable[Tag], 0)  &gt; -1, FALSE)</f>
        <v>0</v>
      </c>
      <c r="K651" s="168" t="b">
        <f>COUNTIFS(ITEquipmentTable[Serial], ITEquipmentTable[[#This Row],[Serial]], ITEquipmentTable[Serial], "&lt;&gt;N/A") &gt; 1</f>
        <v>0</v>
      </c>
      <c r="L651" s="168" t="b">
        <f>COUNTIFS(ITEquipmentTable[Name], ITEquipmentTable[[#This Row],[Name]], ITEquipmentTable[Name], "&lt;&gt;&lt;Unassigned&gt;",  ITEquipmentTable[Name], "&lt;&gt;N/A") &gt; 1</f>
        <v>0</v>
      </c>
      <c r="M651" s="168" t="b">
        <f>AND(COUNTIFS(ITEquipmentTable[IPv4 Address], ITEquipmentTable[[#This Row],[IPv4 Address]]) &gt; 1, ITEquipmentTable[[#This Row],[IPv4 Address]] &lt;&gt; "DHCP",  ITEquipmentTable[[#This Row],[IPv4 Address]] &lt;&gt; "N/A")</f>
        <v>0</v>
      </c>
    </row>
    <row r="652" spans="1:13" x14ac:dyDescent="0.2">
      <c r="A652" s="168">
        <f>IF(LEN(ITSecondTable[[#This Row],[Tag]]) &gt; 0, _xlfn.XLOOKUP(ITSecondTable[[#This Row],[Tag]],StorageTable[Tag], StorageTable[In Storage - Count Total], "Err", 0, 1), 0)</f>
        <v>18</v>
      </c>
      <c r="B652" s="168">
        <f>_xlfn.LET(_xlpm.loc, ITEquipmentTable[Storage Location],
COUNTIFS(ITSecondTable[Tag], ITSecondTable[[#This Row],[Tag]], _xlpm.loc, "&lt;&gt;In Use", _xlpm.loc, "&lt;&gt;",  _xlpm.loc, "&lt;&gt;E-Waste", _xlpm.loc, "&lt;&gt;Virtual",  _xlpm.loc, "&lt;&gt;Assigned to Employee", _xlpm.loc, "&lt;&gt;Decommisioned", _xlpm.loc, "&lt;&gt;Missing")
)</f>
        <v>11</v>
      </c>
      <c r="C652" s="168">
        <f>_xlfn.LET(_xlpm.loc, ITEquipmentTable[Storage Location],
COUNTIFS(ITSecondTable[Tag], ITSecondTable[[#This Row],[Tag]], _xlpm.loc, "&lt;&gt;E-Waste", _xlpm.loc, "&lt;&gt;Virtual", _xlpm.loc, "&lt;&gt;Decommisioned")
)</f>
        <v>38</v>
      </c>
      <c r="D652" s="168">
        <f>_xlfn.LET(_xlpm.loc, ITEquipmentTable[Storage Location],
COUNTIFS(ITSecondTable[Tag], ITSecondTable[[#This Row],[Tag]], _xlpm.loc, "Missing")
)</f>
        <v>0</v>
      </c>
      <c r="E652" s="168">
        <f>_xlfn.LET(_xlpm.loc, ITEquipmentTable[Storage Location],
COUNTIFS(ITSecondTable[Tag], ITSecondTable[[#This Row],[Tag]], _xlpm.loc, "In Use") + COUNTIFS(ITSecondTable[Tag], ITSecondTable[[#This Row],[Tag]], _xlpm.loc, "Assigned to Employee")
)</f>
        <v>13</v>
      </c>
      <c r="F652" s="168">
        <f>_xlfn.LET(_xlpm.loc, ITEquipmentTable[Storage Location],
COUNTIFS(ITSecondTable[Tag], ITSecondTable[[#This Row],[Tag]], _xlpm.loc, "")
)</f>
        <v>14</v>
      </c>
      <c r="G652" s="168">
        <f>MAX(ITSecondTable[[#This Row],[SQty]] - ITSecondTable[[#This Row],[IQty]], 0)</f>
        <v>0</v>
      </c>
      <c r="H652" s="168">
        <f>MAX(ITSecondTable[[#This Row],[IQty]]-ITSecondTable[[#This Row],[SQty]], 0)</f>
        <v>7</v>
      </c>
      <c r="I652" s="151" t="str">
        <f>IFERROR(_xlfn.TEXTJOIN("~", TRUE, ITEquipmentTable[[#This Row],[Type]],ITEquipmentTable[[#This Row],[Brand]],ITEquipmentTable[[#This Row],[Model]]), "")</f>
        <v>Scanner~Honeywell~1911i</v>
      </c>
      <c r="J652" s="151" t="b">
        <f xml:space="preserve"> _xlfn.IFNA(MATCH( ITSecondTable[[#This Row],[Tag]], StorageTable[Tag], 0)  &gt; -1, FALSE)</f>
        <v>0</v>
      </c>
      <c r="K652" s="168" t="b">
        <f>COUNTIFS(ITEquipmentTable[Serial], ITEquipmentTable[[#This Row],[Serial]], ITEquipmentTable[Serial], "&lt;&gt;N/A") &gt; 1</f>
        <v>0</v>
      </c>
      <c r="L652" s="168" t="b">
        <f>COUNTIFS(ITEquipmentTable[Name], ITEquipmentTable[[#This Row],[Name]], ITEquipmentTable[Name], "&lt;&gt;&lt;Unassigned&gt;",  ITEquipmentTable[Name], "&lt;&gt;N/A") &gt; 1</f>
        <v>0</v>
      </c>
      <c r="M652" s="168" t="b">
        <f>AND(COUNTIFS(ITEquipmentTable[IPv4 Address], ITEquipmentTable[[#This Row],[IPv4 Address]]) &gt; 1, ITEquipmentTable[[#This Row],[IPv4 Address]] &lt;&gt; "DHCP",  ITEquipmentTable[[#This Row],[IPv4 Address]] &lt;&gt; "N/A")</f>
        <v>0</v>
      </c>
    </row>
    <row r="653" spans="1:13" x14ac:dyDescent="0.2">
      <c r="A653" s="168">
        <f>IF(LEN(ITSecondTable[[#This Row],[Tag]]) &gt; 0, _xlfn.XLOOKUP(ITSecondTable[[#This Row],[Tag]],StorageTable[Tag], StorageTable[In Storage - Count Total], "Err", 0, 1), 0)</f>
        <v>30</v>
      </c>
      <c r="B653" s="168">
        <f>_xlfn.LET(_xlpm.loc, ITEquipmentTable[Storage Location],
COUNTIFS(ITSecondTable[Tag], ITSecondTable[[#This Row],[Tag]], _xlpm.loc, "&lt;&gt;In Use", _xlpm.loc, "&lt;&gt;",  _xlpm.loc, "&lt;&gt;E-Waste", _xlpm.loc, "&lt;&gt;Virtual",  _xlpm.loc, "&lt;&gt;Assigned to Employee", _xlpm.loc, "&lt;&gt;Decommisioned", _xlpm.loc, "&lt;&gt;Missing")
)</f>
        <v>21</v>
      </c>
      <c r="C653" s="168">
        <f>_xlfn.LET(_xlpm.loc, ITEquipmentTable[Storage Location],
COUNTIFS(ITSecondTable[Tag], ITSecondTable[[#This Row],[Tag]], _xlpm.loc, "&lt;&gt;E-Waste", _xlpm.loc, "&lt;&gt;Virtual", _xlpm.loc, "&lt;&gt;Decommisioned")
)</f>
        <v>33</v>
      </c>
      <c r="D653" s="168">
        <f>_xlfn.LET(_xlpm.loc, ITEquipmentTable[Storage Location],
COUNTIFS(ITSecondTable[Tag], ITSecondTable[[#This Row],[Tag]], _xlpm.loc, "Missing")
)</f>
        <v>0</v>
      </c>
      <c r="E653" s="168">
        <f>_xlfn.LET(_xlpm.loc, ITEquipmentTable[Storage Location],
COUNTIFS(ITSecondTable[Tag], ITSecondTable[[#This Row],[Tag]], _xlpm.loc, "In Use") + COUNTIFS(ITSecondTable[Tag], ITSecondTable[[#This Row],[Tag]], _xlpm.loc, "Assigned to Employee")
)</f>
        <v>12</v>
      </c>
      <c r="F653" s="168">
        <f>_xlfn.LET(_xlpm.loc, ITEquipmentTable[Storage Location],
COUNTIFS(ITSecondTable[Tag], ITSecondTable[[#This Row],[Tag]], _xlpm.loc, "")
)</f>
        <v>0</v>
      </c>
      <c r="G653" s="168">
        <f>MAX(ITSecondTable[[#This Row],[SQty]] - ITSecondTable[[#This Row],[IQty]], 0)</f>
        <v>0</v>
      </c>
      <c r="H653" s="168">
        <f>MAX(ITSecondTable[[#This Row],[IQty]]-ITSecondTable[[#This Row],[SQty]], 0)</f>
        <v>9</v>
      </c>
      <c r="I653" s="151" t="str">
        <f>IFERROR(_xlfn.TEXTJOIN("~", TRUE, ITEquipmentTable[[#This Row],[Type]],ITEquipmentTable[[#This Row],[Brand]],ITEquipmentTable[[#This Row],[Model]]), "")</f>
        <v>Scanner Base~Honeywell~CCB02-100BT-07N</v>
      </c>
      <c r="J653" s="151" t="b">
        <f xml:space="preserve"> _xlfn.IFNA(MATCH( ITSecondTable[[#This Row],[Tag]], StorageTable[Tag], 0)  &gt; -1, FALSE)</f>
        <v>0</v>
      </c>
      <c r="K653" s="168" t="b">
        <f>COUNTIFS(ITEquipmentTable[Serial], ITEquipmentTable[[#This Row],[Serial]], ITEquipmentTable[Serial], "&lt;&gt;N/A") &gt; 1</f>
        <v>0</v>
      </c>
      <c r="L653" s="168" t="b">
        <f>COUNTIFS(ITEquipmentTable[Name], ITEquipmentTable[[#This Row],[Name]], ITEquipmentTable[Name], "&lt;&gt;&lt;Unassigned&gt;",  ITEquipmentTable[Name], "&lt;&gt;N/A") &gt; 1</f>
        <v>0</v>
      </c>
      <c r="M653" s="168" t="b">
        <f>AND(COUNTIFS(ITEquipmentTable[IPv4 Address], ITEquipmentTable[[#This Row],[IPv4 Address]]) &gt; 1, ITEquipmentTable[[#This Row],[IPv4 Address]] &lt;&gt; "DHCP",  ITEquipmentTable[[#This Row],[IPv4 Address]] &lt;&gt; "N/A")</f>
        <v>0</v>
      </c>
    </row>
    <row r="654" spans="1:13" x14ac:dyDescent="0.2">
      <c r="A654" s="168">
        <f>IF(LEN(ITSecondTable[[#This Row],[Tag]]) &gt; 0, _xlfn.XLOOKUP(ITSecondTable[[#This Row],[Tag]],StorageTable[Tag], StorageTable[In Storage - Count Total], "Err", 0, 1), 0)</f>
        <v>1</v>
      </c>
      <c r="B654" s="168">
        <f>_xlfn.LET(_xlpm.loc, ITEquipmentTable[Storage Location],
COUNTIFS(ITSecondTable[Tag], ITSecondTable[[#This Row],[Tag]], _xlpm.loc, "&lt;&gt;In Use", _xlpm.loc, "&lt;&gt;",  _xlpm.loc, "&lt;&gt;E-Waste", _xlpm.loc, "&lt;&gt;Virtual",  _xlpm.loc, "&lt;&gt;Assigned to Employee", _xlpm.loc, "&lt;&gt;Decommisioned", _xlpm.loc, "&lt;&gt;Missing")
)</f>
        <v>2</v>
      </c>
      <c r="C654" s="168">
        <f>_xlfn.LET(_xlpm.loc, ITEquipmentTable[Storage Location],
COUNTIFS(ITSecondTable[Tag], ITSecondTable[[#This Row],[Tag]], _xlpm.loc, "&lt;&gt;E-Waste", _xlpm.loc, "&lt;&gt;Virtual", _xlpm.loc, "&lt;&gt;Decommisioned")
)</f>
        <v>2</v>
      </c>
      <c r="D654" s="168">
        <f>_xlfn.LET(_xlpm.loc, ITEquipmentTable[Storage Location],
COUNTIFS(ITSecondTable[Tag], ITSecondTable[[#This Row],[Tag]], _xlpm.loc, "Missing")
)</f>
        <v>0</v>
      </c>
      <c r="E654" s="168">
        <f>_xlfn.LET(_xlpm.loc, ITEquipmentTable[Storage Location],
COUNTIFS(ITSecondTable[Tag], ITSecondTable[[#This Row],[Tag]], _xlpm.loc, "In Use") + COUNTIFS(ITSecondTable[Tag], ITSecondTable[[#This Row],[Tag]], _xlpm.loc, "Assigned to Employee")
)</f>
        <v>0</v>
      </c>
      <c r="F654" s="168">
        <f>_xlfn.LET(_xlpm.loc, ITEquipmentTable[Storage Location],
COUNTIFS(ITSecondTable[Tag], ITSecondTable[[#This Row],[Tag]], _xlpm.loc, "")
)</f>
        <v>0</v>
      </c>
      <c r="G654" s="168">
        <f>MAX(ITSecondTable[[#This Row],[SQty]] - ITSecondTable[[#This Row],[IQty]], 0)</f>
        <v>1</v>
      </c>
      <c r="H654" s="168">
        <f>MAX(ITSecondTable[[#This Row],[IQty]]-ITSecondTable[[#This Row],[SQty]], 0)</f>
        <v>0</v>
      </c>
      <c r="I654" s="151" t="str">
        <f>IFERROR(_xlfn.TEXTJOIN("~", TRUE, ITEquipmentTable[[#This Row],[Type]],ITEquipmentTable[[#This Row],[Brand]],ITEquipmentTable[[#This Row],[Model]]), "")</f>
        <v>Dock~HP~HP 2013 UltraSlim Docking Station</v>
      </c>
      <c r="J654" s="151" t="b">
        <f xml:space="preserve"> _xlfn.IFNA(MATCH( ITSecondTable[[#This Row],[Tag]], StorageTable[Tag], 0)  &gt; -1, FALSE)</f>
        <v>0</v>
      </c>
      <c r="K654" s="168" t="b">
        <f>COUNTIFS(ITEquipmentTable[Serial], ITEquipmentTable[[#This Row],[Serial]], ITEquipmentTable[Serial], "&lt;&gt;N/A") &gt; 1</f>
        <v>0</v>
      </c>
      <c r="L654" s="168" t="b">
        <f>COUNTIFS(ITEquipmentTable[Name], ITEquipmentTable[[#This Row],[Name]], ITEquipmentTable[Name], "&lt;&gt;&lt;Unassigned&gt;",  ITEquipmentTable[Name], "&lt;&gt;N/A") &gt; 1</f>
        <v>0</v>
      </c>
      <c r="M654" s="168" t="b">
        <f>AND(COUNTIFS(ITEquipmentTable[IPv4 Address], ITEquipmentTable[[#This Row],[IPv4 Address]]) &gt; 1, ITEquipmentTable[[#This Row],[IPv4 Address]] &lt;&gt; "DHCP",  ITEquipmentTable[[#This Row],[IPv4 Address]] &lt;&gt; "N/A")</f>
        <v>0</v>
      </c>
    </row>
    <row r="655" spans="1:13" x14ac:dyDescent="0.2">
      <c r="A655" s="168">
        <f>IF(LEN(ITSecondTable[[#This Row],[Tag]]) &gt; 0, _xlfn.XLOOKUP(ITSecondTable[[#This Row],[Tag]],StorageTable[Tag], StorageTable[In Storage - Count Total], "Err", 0, 1), 0)</f>
        <v>1</v>
      </c>
      <c r="B655" s="168">
        <f>_xlfn.LET(_xlpm.loc, ITEquipmentTable[Storage Location],
COUNTIFS(ITSecondTable[Tag], ITSecondTable[[#This Row],[Tag]], _xlpm.loc, "&lt;&gt;In Use", _xlpm.loc, "&lt;&gt;",  _xlpm.loc, "&lt;&gt;E-Waste", _xlpm.loc, "&lt;&gt;Virtual",  _xlpm.loc, "&lt;&gt;Assigned to Employee", _xlpm.loc, "&lt;&gt;Decommisioned", _xlpm.loc, "&lt;&gt;Missing")
)</f>
        <v>2</v>
      </c>
      <c r="C655" s="168">
        <f>_xlfn.LET(_xlpm.loc, ITEquipmentTable[Storage Location],
COUNTIFS(ITSecondTable[Tag], ITSecondTable[[#This Row],[Tag]], _xlpm.loc, "&lt;&gt;E-Waste", _xlpm.loc, "&lt;&gt;Virtual", _xlpm.loc, "&lt;&gt;Decommisioned")
)</f>
        <v>2</v>
      </c>
      <c r="D655" s="168">
        <f>_xlfn.LET(_xlpm.loc, ITEquipmentTable[Storage Location],
COUNTIFS(ITSecondTable[Tag], ITSecondTable[[#This Row],[Tag]], _xlpm.loc, "Missing")
)</f>
        <v>0</v>
      </c>
      <c r="E655" s="168">
        <f>_xlfn.LET(_xlpm.loc, ITEquipmentTable[Storage Location],
COUNTIFS(ITSecondTable[Tag], ITSecondTable[[#This Row],[Tag]], _xlpm.loc, "In Use") + COUNTIFS(ITSecondTable[Tag], ITSecondTable[[#This Row],[Tag]], _xlpm.loc, "Assigned to Employee")
)</f>
        <v>0</v>
      </c>
      <c r="F655" s="168">
        <f>_xlfn.LET(_xlpm.loc, ITEquipmentTable[Storage Location],
COUNTIFS(ITSecondTable[Tag], ITSecondTable[[#This Row],[Tag]], _xlpm.loc, "")
)</f>
        <v>0</v>
      </c>
      <c r="G655" s="168">
        <f>MAX(ITSecondTable[[#This Row],[SQty]] - ITSecondTable[[#This Row],[IQty]], 0)</f>
        <v>1</v>
      </c>
      <c r="H655" s="168">
        <f>MAX(ITSecondTable[[#This Row],[IQty]]-ITSecondTable[[#This Row],[SQty]], 0)</f>
        <v>0</v>
      </c>
      <c r="I655" s="151" t="str">
        <f>IFERROR(_xlfn.TEXTJOIN("~", TRUE, ITEquipmentTable[[#This Row],[Type]],ITEquipmentTable[[#This Row],[Brand]],ITEquipmentTable[[#This Row],[Model]]), "")</f>
        <v>Dock~HP~HP 2013 UltraSlim Docking Station</v>
      </c>
      <c r="J655" s="151" t="b">
        <f xml:space="preserve"> _xlfn.IFNA(MATCH( ITSecondTable[[#This Row],[Tag]], StorageTable[Tag], 0)  &gt; -1, FALSE)</f>
        <v>0</v>
      </c>
      <c r="K655" s="168" t="b">
        <f>COUNTIFS(ITEquipmentTable[Serial], ITEquipmentTable[[#This Row],[Serial]], ITEquipmentTable[Serial], "&lt;&gt;N/A") &gt; 1</f>
        <v>0</v>
      </c>
      <c r="L655" s="168" t="b">
        <f>COUNTIFS(ITEquipmentTable[Name], ITEquipmentTable[[#This Row],[Name]], ITEquipmentTable[Name], "&lt;&gt;&lt;Unassigned&gt;",  ITEquipmentTable[Name], "&lt;&gt;N/A") &gt; 1</f>
        <v>0</v>
      </c>
      <c r="M655" s="168" t="b">
        <f>AND(COUNTIFS(ITEquipmentTable[IPv4 Address], ITEquipmentTable[[#This Row],[IPv4 Address]]) &gt; 1, ITEquipmentTable[[#This Row],[IPv4 Address]] &lt;&gt; "DHCP",  ITEquipmentTable[[#This Row],[IPv4 Address]] &lt;&gt; "N/A")</f>
        <v>0</v>
      </c>
    </row>
    <row r="656" spans="1:13" x14ac:dyDescent="0.2">
      <c r="A656" s="168">
        <f>IF(LEN(ITSecondTable[[#This Row],[Tag]]) &gt; 0, _xlfn.XLOOKUP(ITSecondTable[[#This Row],[Tag]],StorageTable[Tag], StorageTable[In Storage - Count Total], "Err", 0, 1), 0)</f>
        <v>0</v>
      </c>
      <c r="B656" s="168">
        <f>_xlfn.LET(_xlpm.loc, ITEquipmentTable[Storage Location],
COUNTIFS(ITSecondTable[Tag], ITSecondTable[[#This Row],[Tag]], _xlpm.loc, "&lt;&gt;In Use", _xlpm.loc, "&lt;&gt;",  _xlpm.loc, "&lt;&gt;E-Waste", _xlpm.loc, "&lt;&gt;Virtual",  _xlpm.loc, "&lt;&gt;Assigned to Employee", _xlpm.loc, "&lt;&gt;Decommisioned", _xlpm.loc, "&lt;&gt;Missing")
)</f>
        <v>0</v>
      </c>
      <c r="C656" s="168">
        <f>_xlfn.LET(_xlpm.loc, ITEquipmentTable[Storage Location],
COUNTIFS(ITSecondTable[Tag], ITSecondTable[[#This Row],[Tag]], _xlpm.loc, "&lt;&gt;E-Waste", _xlpm.loc, "&lt;&gt;Virtual", _xlpm.loc, "&lt;&gt;Decommisioned")
)</f>
        <v>1</v>
      </c>
      <c r="D656" s="168">
        <f>_xlfn.LET(_xlpm.loc, ITEquipmentTable[Storage Location],
COUNTIFS(ITSecondTable[Tag], ITSecondTable[[#This Row],[Tag]], _xlpm.loc, "Missing")
)</f>
        <v>0</v>
      </c>
      <c r="E656" s="168">
        <f>_xlfn.LET(_xlpm.loc, ITEquipmentTable[Storage Location],
COUNTIFS(ITSecondTable[Tag], ITSecondTable[[#This Row],[Tag]], _xlpm.loc, "In Use") + COUNTIFS(ITSecondTable[Tag], ITSecondTable[[#This Row],[Tag]], _xlpm.loc, "Assigned to Employee")
)</f>
        <v>0</v>
      </c>
      <c r="F656" s="168">
        <f>_xlfn.LET(_xlpm.loc, ITEquipmentTable[Storage Location],
COUNTIFS(ITSecondTable[Tag], ITSecondTable[[#This Row],[Tag]], _xlpm.loc, "")
)</f>
        <v>1</v>
      </c>
      <c r="G656" s="168">
        <f>MAX(ITSecondTable[[#This Row],[SQty]] - ITSecondTable[[#This Row],[IQty]], 0)</f>
        <v>0</v>
      </c>
      <c r="H656" s="168">
        <f>MAX(ITSecondTable[[#This Row],[IQty]]-ITSecondTable[[#This Row],[SQty]], 0)</f>
        <v>0</v>
      </c>
      <c r="I656" s="151" t="str">
        <f>IFERROR(_xlfn.TEXTJOIN("~", TRUE, ITEquipmentTable[[#This Row],[Type]],ITEquipmentTable[[#This Row],[Brand]],ITEquipmentTable[[#This Row],[Model]]), "")</f>
        <v>Scanner~Honeywell~1910i</v>
      </c>
      <c r="J656" s="151" t="b">
        <f xml:space="preserve"> _xlfn.IFNA(MATCH( ITSecondTable[[#This Row],[Tag]], StorageTable[Tag], 0)  &gt; -1, FALSE)</f>
        <v>0</v>
      </c>
      <c r="K656" s="168" t="b">
        <f>COUNTIFS(ITEquipmentTable[Serial], ITEquipmentTable[[#This Row],[Serial]], ITEquipmentTable[Serial], "&lt;&gt;N/A") &gt; 1</f>
        <v>0</v>
      </c>
      <c r="L656" s="168" t="b">
        <f>COUNTIFS(ITEquipmentTable[Name], ITEquipmentTable[[#This Row],[Name]], ITEquipmentTable[Name], "&lt;&gt;&lt;Unassigned&gt;",  ITEquipmentTable[Name], "&lt;&gt;N/A") &gt; 1</f>
        <v>0</v>
      </c>
      <c r="M656" s="168" t="b">
        <f>AND(COUNTIFS(ITEquipmentTable[IPv4 Address], ITEquipmentTable[[#This Row],[IPv4 Address]]) &gt; 1, ITEquipmentTable[[#This Row],[IPv4 Address]] &lt;&gt; "DHCP",  ITEquipmentTable[[#This Row],[IPv4 Address]] &lt;&gt; "N/A")</f>
        <v>0</v>
      </c>
    </row>
    <row r="657" spans="1:13" x14ac:dyDescent="0.2">
      <c r="A657" s="168">
        <f>IF(LEN(ITSecondTable[[#This Row],[Tag]]) &gt; 0, _xlfn.XLOOKUP(ITSecondTable[[#This Row],[Tag]],StorageTable[Tag], StorageTable[In Storage - Count Total], "Err", 0, 1), 0)</f>
        <v>25</v>
      </c>
      <c r="B657" s="168">
        <f>_xlfn.LET(_xlpm.loc, ITEquipmentTable[Storage Location],
COUNTIFS(ITSecondTable[Tag], ITSecondTable[[#This Row],[Tag]], _xlpm.loc, "&lt;&gt;In Use", _xlpm.loc, "&lt;&gt;",  _xlpm.loc, "&lt;&gt;E-Waste", _xlpm.loc, "&lt;&gt;Virtual",  _xlpm.loc, "&lt;&gt;Assigned to Employee", _xlpm.loc, "&lt;&gt;Decommisioned", _xlpm.loc, "&lt;&gt;Missing")
)</f>
        <v>36</v>
      </c>
      <c r="C657" s="168">
        <f>_xlfn.LET(_xlpm.loc, ITEquipmentTable[Storage Location],
COUNTIFS(ITSecondTable[Tag], ITSecondTable[[#This Row],[Tag]], _xlpm.loc, "&lt;&gt;E-Waste", _xlpm.loc, "&lt;&gt;Virtual", _xlpm.loc, "&lt;&gt;Decommisioned")
)</f>
        <v>41</v>
      </c>
      <c r="D657" s="168">
        <f>_xlfn.LET(_xlpm.loc, ITEquipmentTable[Storage Location],
COUNTIFS(ITSecondTable[Tag], ITSecondTable[[#This Row],[Tag]], _xlpm.loc, "Missing")
)</f>
        <v>0</v>
      </c>
      <c r="E657" s="168">
        <f>_xlfn.LET(_xlpm.loc, ITEquipmentTable[Storage Location],
COUNTIFS(ITSecondTable[Tag], ITSecondTable[[#This Row],[Tag]], _xlpm.loc, "In Use") + COUNTIFS(ITSecondTable[Tag], ITSecondTable[[#This Row],[Tag]], _xlpm.loc, "Assigned to Employee")
)</f>
        <v>5</v>
      </c>
      <c r="F657" s="168">
        <f>_xlfn.LET(_xlpm.loc, ITEquipmentTable[Storage Location],
COUNTIFS(ITSecondTable[Tag], ITSecondTable[[#This Row],[Tag]], _xlpm.loc, "")
)</f>
        <v>0</v>
      </c>
      <c r="G657" s="168">
        <f>MAX(ITSecondTable[[#This Row],[SQty]] - ITSecondTable[[#This Row],[IQty]], 0)</f>
        <v>11</v>
      </c>
      <c r="H657" s="168">
        <f>MAX(ITSecondTable[[#This Row],[IQty]]-ITSecondTable[[#This Row],[SQty]], 0)</f>
        <v>0</v>
      </c>
      <c r="I657" s="151" t="str">
        <f>IFERROR(_xlfn.TEXTJOIN("~", TRUE, ITEquipmentTable[[#This Row],[Type]],ITEquipmentTable[[#This Row],[Brand]],ITEquipmentTable[[#This Row],[Model]]), "")</f>
        <v>Monitor~Acer~V206HQL</v>
      </c>
      <c r="J657" s="151" t="b">
        <f xml:space="preserve"> _xlfn.IFNA(MATCH( ITSecondTable[[#This Row],[Tag]], StorageTable[Tag], 0)  &gt; -1, FALSE)</f>
        <v>0</v>
      </c>
      <c r="K657" s="168" t="b">
        <f>COUNTIFS(ITEquipmentTable[Serial], ITEquipmentTable[[#This Row],[Serial]], ITEquipmentTable[Serial], "&lt;&gt;N/A") &gt; 1</f>
        <v>0</v>
      </c>
      <c r="L657" s="168" t="b">
        <f>COUNTIFS(ITEquipmentTable[Name], ITEquipmentTable[[#This Row],[Name]], ITEquipmentTable[Name], "&lt;&gt;&lt;Unassigned&gt;",  ITEquipmentTable[Name], "&lt;&gt;N/A") &gt; 1</f>
        <v>0</v>
      </c>
      <c r="M657" s="168" t="b">
        <f>AND(COUNTIFS(ITEquipmentTable[IPv4 Address], ITEquipmentTable[[#This Row],[IPv4 Address]]) &gt; 1, ITEquipmentTable[[#This Row],[IPv4 Address]] &lt;&gt; "DHCP",  ITEquipmentTable[[#This Row],[IPv4 Address]] &lt;&gt; "N/A")</f>
        <v>0</v>
      </c>
    </row>
    <row r="658" spans="1:13" x14ac:dyDescent="0.2">
      <c r="A658" s="168">
        <f>IF(LEN(ITSecondTable[[#This Row],[Tag]]) &gt; 0, _xlfn.XLOOKUP(ITSecondTable[[#This Row],[Tag]],StorageTable[Tag], StorageTable[In Storage - Count Total], "Err", 0, 1), 0)</f>
        <v>25</v>
      </c>
      <c r="B658" s="168">
        <f>_xlfn.LET(_xlpm.loc, ITEquipmentTable[Storage Location],
COUNTIFS(ITSecondTable[Tag], ITSecondTable[[#This Row],[Tag]], _xlpm.loc, "&lt;&gt;In Use", _xlpm.loc, "&lt;&gt;",  _xlpm.loc, "&lt;&gt;E-Waste", _xlpm.loc, "&lt;&gt;Virtual",  _xlpm.loc, "&lt;&gt;Assigned to Employee", _xlpm.loc, "&lt;&gt;Decommisioned", _xlpm.loc, "&lt;&gt;Missing")
)</f>
        <v>36</v>
      </c>
      <c r="C658" s="168">
        <f>_xlfn.LET(_xlpm.loc, ITEquipmentTable[Storage Location],
COUNTIFS(ITSecondTable[Tag], ITSecondTable[[#This Row],[Tag]], _xlpm.loc, "&lt;&gt;E-Waste", _xlpm.loc, "&lt;&gt;Virtual", _xlpm.loc, "&lt;&gt;Decommisioned")
)</f>
        <v>41</v>
      </c>
      <c r="D658" s="168">
        <f>_xlfn.LET(_xlpm.loc, ITEquipmentTable[Storage Location],
COUNTIFS(ITSecondTable[Tag], ITSecondTable[[#This Row],[Tag]], _xlpm.loc, "Missing")
)</f>
        <v>0</v>
      </c>
      <c r="E658" s="168">
        <f>_xlfn.LET(_xlpm.loc, ITEquipmentTable[Storage Location],
COUNTIFS(ITSecondTable[Tag], ITSecondTable[[#This Row],[Tag]], _xlpm.loc, "In Use") + COUNTIFS(ITSecondTable[Tag], ITSecondTable[[#This Row],[Tag]], _xlpm.loc, "Assigned to Employee")
)</f>
        <v>5</v>
      </c>
      <c r="F658" s="168">
        <f>_xlfn.LET(_xlpm.loc, ITEquipmentTable[Storage Location],
COUNTIFS(ITSecondTable[Tag], ITSecondTable[[#This Row],[Tag]], _xlpm.loc, "")
)</f>
        <v>0</v>
      </c>
      <c r="G658" s="168">
        <f>MAX(ITSecondTable[[#This Row],[SQty]] - ITSecondTable[[#This Row],[IQty]], 0)</f>
        <v>11</v>
      </c>
      <c r="H658" s="168">
        <f>MAX(ITSecondTable[[#This Row],[IQty]]-ITSecondTable[[#This Row],[SQty]], 0)</f>
        <v>0</v>
      </c>
      <c r="I658" s="151" t="str">
        <f>IFERROR(_xlfn.TEXTJOIN("~", TRUE, ITEquipmentTable[[#This Row],[Type]],ITEquipmentTable[[#This Row],[Brand]],ITEquipmentTable[[#This Row],[Model]]), "")</f>
        <v>Monitor~Acer~V206HQL</v>
      </c>
      <c r="J658" s="151" t="b">
        <f xml:space="preserve"> _xlfn.IFNA(MATCH( ITSecondTable[[#This Row],[Tag]], StorageTable[Tag], 0)  &gt; -1, FALSE)</f>
        <v>0</v>
      </c>
      <c r="K658" s="168" t="b">
        <f>COUNTIFS(ITEquipmentTable[Serial], ITEquipmentTable[[#This Row],[Serial]], ITEquipmentTable[Serial], "&lt;&gt;N/A") &gt; 1</f>
        <v>0</v>
      </c>
      <c r="L658" s="168" t="b">
        <f>COUNTIFS(ITEquipmentTable[Name], ITEquipmentTable[[#This Row],[Name]], ITEquipmentTable[Name], "&lt;&gt;&lt;Unassigned&gt;",  ITEquipmentTable[Name], "&lt;&gt;N/A") &gt; 1</f>
        <v>0</v>
      </c>
      <c r="M658" s="168" t="b">
        <f>AND(COUNTIFS(ITEquipmentTable[IPv4 Address], ITEquipmentTable[[#This Row],[IPv4 Address]]) &gt; 1, ITEquipmentTable[[#This Row],[IPv4 Address]] &lt;&gt; "DHCP",  ITEquipmentTable[[#This Row],[IPv4 Address]] &lt;&gt; "N/A")</f>
        <v>0</v>
      </c>
    </row>
    <row r="659" spans="1:13" x14ac:dyDescent="0.2">
      <c r="A659" s="168">
        <f>IF(LEN(ITSecondTable[[#This Row],[Tag]]) &gt; 0, _xlfn.XLOOKUP(ITSecondTable[[#This Row],[Tag]],StorageTable[Tag], StorageTable[In Storage - Count Total], "Err", 0, 1), 0)</f>
        <v>25</v>
      </c>
      <c r="B659" s="168">
        <f>_xlfn.LET(_xlpm.loc, ITEquipmentTable[Storage Location],
COUNTIFS(ITSecondTable[Tag], ITSecondTable[[#This Row],[Tag]], _xlpm.loc, "&lt;&gt;In Use", _xlpm.loc, "&lt;&gt;",  _xlpm.loc, "&lt;&gt;E-Waste", _xlpm.loc, "&lt;&gt;Virtual",  _xlpm.loc, "&lt;&gt;Assigned to Employee", _xlpm.loc, "&lt;&gt;Decommisioned", _xlpm.loc, "&lt;&gt;Missing")
)</f>
        <v>36</v>
      </c>
      <c r="C659" s="168">
        <f>_xlfn.LET(_xlpm.loc, ITEquipmentTable[Storage Location],
COUNTIFS(ITSecondTable[Tag], ITSecondTable[[#This Row],[Tag]], _xlpm.loc, "&lt;&gt;E-Waste", _xlpm.loc, "&lt;&gt;Virtual", _xlpm.loc, "&lt;&gt;Decommisioned")
)</f>
        <v>41</v>
      </c>
      <c r="D659" s="168">
        <f>_xlfn.LET(_xlpm.loc, ITEquipmentTable[Storage Location],
COUNTIFS(ITSecondTable[Tag], ITSecondTable[[#This Row],[Tag]], _xlpm.loc, "Missing")
)</f>
        <v>0</v>
      </c>
      <c r="E659" s="168">
        <f>_xlfn.LET(_xlpm.loc, ITEquipmentTable[Storage Location],
COUNTIFS(ITSecondTable[Tag], ITSecondTable[[#This Row],[Tag]], _xlpm.loc, "In Use") + COUNTIFS(ITSecondTable[Tag], ITSecondTable[[#This Row],[Tag]], _xlpm.loc, "Assigned to Employee")
)</f>
        <v>5</v>
      </c>
      <c r="F659" s="168">
        <f>_xlfn.LET(_xlpm.loc, ITEquipmentTable[Storage Location],
COUNTIFS(ITSecondTable[Tag], ITSecondTable[[#This Row],[Tag]], _xlpm.loc, "")
)</f>
        <v>0</v>
      </c>
      <c r="G659" s="168">
        <f>MAX(ITSecondTable[[#This Row],[SQty]] - ITSecondTable[[#This Row],[IQty]], 0)</f>
        <v>11</v>
      </c>
      <c r="H659" s="168">
        <f>MAX(ITSecondTable[[#This Row],[IQty]]-ITSecondTable[[#This Row],[SQty]], 0)</f>
        <v>0</v>
      </c>
      <c r="I659" s="151" t="str">
        <f>IFERROR(_xlfn.TEXTJOIN("~", TRUE, ITEquipmentTable[[#This Row],[Type]],ITEquipmentTable[[#This Row],[Brand]],ITEquipmentTable[[#This Row],[Model]]), "")</f>
        <v>Monitor~Acer~V206HQL</v>
      </c>
      <c r="J659" s="151" t="b">
        <f xml:space="preserve"> _xlfn.IFNA(MATCH( ITSecondTable[[#This Row],[Tag]], StorageTable[Tag], 0)  &gt; -1, FALSE)</f>
        <v>0</v>
      </c>
      <c r="K659" s="168" t="b">
        <f>COUNTIFS(ITEquipmentTable[Serial], ITEquipmentTable[[#This Row],[Serial]], ITEquipmentTable[Serial], "&lt;&gt;N/A") &gt; 1</f>
        <v>0</v>
      </c>
      <c r="L659" s="168" t="b">
        <f>COUNTIFS(ITEquipmentTable[Name], ITEquipmentTable[[#This Row],[Name]], ITEquipmentTable[Name], "&lt;&gt;&lt;Unassigned&gt;",  ITEquipmentTable[Name], "&lt;&gt;N/A") &gt; 1</f>
        <v>0</v>
      </c>
      <c r="M659" s="168" t="b">
        <f>AND(COUNTIFS(ITEquipmentTable[IPv4 Address], ITEquipmentTable[[#This Row],[IPv4 Address]]) &gt; 1, ITEquipmentTable[[#This Row],[IPv4 Address]] &lt;&gt; "DHCP",  ITEquipmentTable[[#This Row],[IPv4 Address]] &lt;&gt; "N/A")</f>
        <v>0</v>
      </c>
    </row>
    <row r="660" spans="1:13" x14ac:dyDescent="0.2">
      <c r="A660" s="168">
        <f>IF(LEN(ITSecondTable[[#This Row],[Tag]]) &gt; 0, _xlfn.XLOOKUP(ITSecondTable[[#This Row],[Tag]],StorageTable[Tag], StorageTable[In Storage - Count Total], "Err", 0, 1), 0)</f>
        <v>25</v>
      </c>
      <c r="B660" s="168">
        <f>_xlfn.LET(_xlpm.loc, ITEquipmentTable[Storage Location],
COUNTIFS(ITSecondTable[Tag], ITSecondTable[[#This Row],[Tag]], _xlpm.loc, "&lt;&gt;In Use", _xlpm.loc, "&lt;&gt;",  _xlpm.loc, "&lt;&gt;E-Waste", _xlpm.loc, "&lt;&gt;Virtual",  _xlpm.loc, "&lt;&gt;Assigned to Employee", _xlpm.loc, "&lt;&gt;Decommisioned", _xlpm.loc, "&lt;&gt;Missing")
)</f>
        <v>36</v>
      </c>
      <c r="C660" s="168">
        <f>_xlfn.LET(_xlpm.loc, ITEquipmentTable[Storage Location],
COUNTIFS(ITSecondTable[Tag], ITSecondTable[[#This Row],[Tag]], _xlpm.loc, "&lt;&gt;E-Waste", _xlpm.loc, "&lt;&gt;Virtual", _xlpm.loc, "&lt;&gt;Decommisioned")
)</f>
        <v>41</v>
      </c>
      <c r="D660" s="168">
        <f>_xlfn.LET(_xlpm.loc, ITEquipmentTable[Storage Location],
COUNTIFS(ITSecondTable[Tag], ITSecondTable[[#This Row],[Tag]], _xlpm.loc, "Missing")
)</f>
        <v>0</v>
      </c>
      <c r="E660" s="168">
        <f>_xlfn.LET(_xlpm.loc, ITEquipmentTable[Storage Location],
COUNTIFS(ITSecondTable[Tag], ITSecondTable[[#This Row],[Tag]], _xlpm.loc, "In Use") + COUNTIFS(ITSecondTable[Tag], ITSecondTable[[#This Row],[Tag]], _xlpm.loc, "Assigned to Employee")
)</f>
        <v>5</v>
      </c>
      <c r="F660" s="168">
        <f>_xlfn.LET(_xlpm.loc, ITEquipmentTable[Storage Location],
COUNTIFS(ITSecondTable[Tag], ITSecondTable[[#This Row],[Tag]], _xlpm.loc, "")
)</f>
        <v>0</v>
      </c>
      <c r="G660" s="168">
        <f>MAX(ITSecondTable[[#This Row],[SQty]] - ITSecondTable[[#This Row],[IQty]], 0)</f>
        <v>11</v>
      </c>
      <c r="H660" s="168">
        <f>MAX(ITSecondTable[[#This Row],[IQty]]-ITSecondTable[[#This Row],[SQty]], 0)</f>
        <v>0</v>
      </c>
      <c r="I660" s="151" t="str">
        <f>IFERROR(_xlfn.TEXTJOIN("~", TRUE, ITEquipmentTable[[#This Row],[Type]],ITEquipmentTable[[#This Row],[Brand]],ITEquipmentTable[[#This Row],[Model]]), "")</f>
        <v>Monitor~Acer~V206HQL</v>
      </c>
      <c r="J660" s="151" t="b">
        <f xml:space="preserve"> _xlfn.IFNA(MATCH( ITSecondTable[[#This Row],[Tag]], StorageTable[Tag], 0)  &gt; -1, FALSE)</f>
        <v>0</v>
      </c>
      <c r="K660" s="168" t="b">
        <f>COUNTIFS(ITEquipmentTable[Serial], ITEquipmentTable[[#This Row],[Serial]], ITEquipmentTable[Serial], "&lt;&gt;N/A") &gt; 1</f>
        <v>0</v>
      </c>
      <c r="L660" s="168" t="b">
        <f>COUNTIFS(ITEquipmentTable[Name], ITEquipmentTable[[#This Row],[Name]], ITEquipmentTable[Name], "&lt;&gt;&lt;Unassigned&gt;",  ITEquipmentTable[Name], "&lt;&gt;N/A") &gt; 1</f>
        <v>0</v>
      </c>
      <c r="M660" s="168" t="b">
        <f>AND(COUNTIFS(ITEquipmentTable[IPv4 Address], ITEquipmentTable[[#This Row],[IPv4 Address]]) &gt; 1, ITEquipmentTable[[#This Row],[IPv4 Address]] &lt;&gt; "DHCP",  ITEquipmentTable[[#This Row],[IPv4 Address]] &lt;&gt; "N/A")</f>
        <v>0</v>
      </c>
    </row>
    <row r="661" spans="1:13" x14ac:dyDescent="0.2">
      <c r="A661" s="168">
        <f>IF(LEN(ITSecondTable[[#This Row],[Tag]]) &gt; 0, _xlfn.XLOOKUP(ITSecondTable[[#This Row],[Tag]],StorageTable[Tag], StorageTable[In Storage - Count Total], "Err", 0, 1), 0)</f>
        <v>1</v>
      </c>
      <c r="B661" s="168">
        <f>_xlfn.LET(_xlpm.loc, ITEquipmentTable[Storage Location],
COUNTIFS(ITSecondTable[Tag], ITSecondTable[[#This Row],[Tag]], _xlpm.loc, "&lt;&gt;In Use", _xlpm.loc, "&lt;&gt;",  _xlpm.loc, "&lt;&gt;E-Waste", _xlpm.loc, "&lt;&gt;Virtual",  _xlpm.loc, "&lt;&gt;Assigned to Employee", _xlpm.loc, "&lt;&gt;Decommisioned", _xlpm.loc, "&lt;&gt;Missing")
)</f>
        <v>2</v>
      </c>
      <c r="C661" s="168">
        <f>_xlfn.LET(_xlpm.loc, ITEquipmentTable[Storage Location],
COUNTIFS(ITSecondTable[Tag], ITSecondTable[[#This Row],[Tag]], _xlpm.loc, "&lt;&gt;E-Waste", _xlpm.loc, "&lt;&gt;Virtual", _xlpm.loc, "&lt;&gt;Decommisioned")
)</f>
        <v>2</v>
      </c>
      <c r="D661" s="168">
        <f>_xlfn.LET(_xlpm.loc, ITEquipmentTable[Storage Location],
COUNTIFS(ITSecondTable[Tag], ITSecondTable[[#This Row],[Tag]], _xlpm.loc, "Missing")
)</f>
        <v>0</v>
      </c>
      <c r="E661" s="168">
        <f>_xlfn.LET(_xlpm.loc, ITEquipmentTable[Storage Location],
COUNTIFS(ITSecondTable[Tag], ITSecondTable[[#This Row],[Tag]], _xlpm.loc, "In Use") + COUNTIFS(ITSecondTable[Tag], ITSecondTable[[#This Row],[Tag]], _xlpm.loc, "Assigned to Employee")
)</f>
        <v>0</v>
      </c>
      <c r="F661" s="168">
        <f>_xlfn.LET(_xlpm.loc, ITEquipmentTable[Storage Location],
COUNTIFS(ITSecondTable[Tag], ITSecondTable[[#This Row],[Tag]], _xlpm.loc, "")
)</f>
        <v>0</v>
      </c>
      <c r="G661" s="168">
        <f>MAX(ITSecondTable[[#This Row],[SQty]] - ITSecondTable[[#This Row],[IQty]], 0)</f>
        <v>1</v>
      </c>
      <c r="H661" s="168">
        <f>MAX(ITSecondTable[[#This Row],[IQty]]-ITSecondTable[[#This Row],[SQty]], 0)</f>
        <v>0</v>
      </c>
      <c r="I661" s="151" t="str">
        <f>IFERROR(_xlfn.TEXTJOIN("~", TRUE, ITEquipmentTable[[#This Row],[Type]],ITEquipmentTable[[#This Row],[Brand]],ITEquipmentTable[[#This Row],[Model]]), "")</f>
        <v>Monitor~Acer~V226HQL</v>
      </c>
      <c r="J661" s="151" t="b">
        <f xml:space="preserve"> _xlfn.IFNA(MATCH( ITSecondTable[[#This Row],[Tag]], StorageTable[Tag], 0)  &gt; -1, FALSE)</f>
        <v>0</v>
      </c>
      <c r="K661" s="168" t="b">
        <f>COUNTIFS(ITEquipmentTable[Serial], ITEquipmentTable[[#This Row],[Serial]], ITEquipmentTable[Serial], "&lt;&gt;N/A") &gt; 1</f>
        <v>0</v>
      </c>
      <c r="L661" s="168" t="b">
        <f>COUNTIFS(ITEquipmentTable[Name], ITEquipmentTable[[#This Row],[Name]], ITEquipmentTable[Name], "&lt;&gt;&lt;Unassigned&gt;",  ITEquipmentTable[Name], "&lt;&gt;N/A") &gt; 1</f>
        <v>0</v>
      </c>
      <c r="M661" s="168" t="b">
        <f>AND(COUNTIFS(ITEquipmentTable[IPv4 Address], ITEquipmentTable[[#This Row],[IPv4 Address]]) &gt; 1, ITEquipmentTable[[#This Row],[IPv4 Address]] &lt;&gt; "DHCP",  ITEquipmentTable[[#This Row],[IPv4 Address]] &lt;&gt; "N/A")</f>
        <v>0</v>
      </c>
    </row>
    <row r="662" spans="1:13" x14ac:dyDescent="0.2">
      <c r="A662" s="168">
        <f>IF(LEN(ITSecondTable[[#This Row],[Tag]]) &gt; 0, _xlfn.XLOOKUP(ITSecondTable[[#This Row],[Tag]],StorageTable[Tag], StorageTable[In Storage - Count Total], "Err", 0, 1), 0)</f>
        <v>25</v>
      </c>
      <c r="B662" s="168">
        <f>_xlfn.LET(_xlpm.loc, ITEquipmentTable[Storage Location],
COUNTIFS(ITSecondTable[Tag], ITSecondTable[[#This Row],[Tag]], _xlpm.loc, "&lt;&gt;In Use", _xlpm.loc, "&lt;&gt;",  _xlpm.loc, "&lt;&gt;E-Waste", _xlpm.loc, "&lt;&gt;Virtual",  _xlpm.loc, "&lt;&gt;Assigned to Employee", _xlpm.loc, "&lt;&gt;Decommisioned", _xlpm.loc, "&lt;&gt;Missing")
)</f>
        <v>36</v>
      </c>
      <c r="C662" s="168">
        <f>_xlfn.LET(_xlpm.loc, ITEquipmentTable[Storage Location],
COUNTIFS(ITSecondTable[Tag], ITSecondTable[[#This Row],[Tag]], _xlpm.loc, "&lt;&gt;E-Waste", _xlpm.loc, "&lt;&gt;Virtual", _xlpm.loc, "&lt;&gt;Decommisioned")
)</f>
        <v>41</v>
      </c>
      <c r="D662" s="168">
        <f>_xlfn.LET(_xlpm.loc, ITEquipmentTable[Storage Location],
COUNTIFS(ITSecondTable[Tag], ITSecondTable[[#This Row],[Tag]], _xlpm.loc, "Missing")
)</f>
        <v>0</v>
      </c>
      <c r="E662" s="168">
        <f>_xlfn.LET(_xlpm.loc, ITEquipmentTable[Storage Location],
COUNTIFS(ITSecondTable[Tag], ITSecondTable[[#This Row],[Tag]], _xlpm.loc, "In Use") + COUNTIFS(ITSecondTable[Tag], ITSecondTable[[#This Row],[Tag]], _xlpm.loc, "Assigned to Employee")
)</f>
        <v>5</v>
      </c>
      <c r="F662" s="168">
        <f>_xlfn.LET(_xlpm.loc, ITEquipmentTable[Storage Location],
COUNTIFS(ITSecondTable[Tag], ITSecondTable[[#This Row],[Tag]], _xlpm.loc, "")
)</f>
        <v>0</v>
      </c>
      <c r="G662" s="168">
        <f>MAX(ITSecondTable[[#This Row],[SQty]] - ITSecondTable[[#This Row],[IQty]], 0)</f>
        <v>11</v>
      </c>
      <c r="H662" s="168">
        <f>MAX(ITSecondTable[[#This Row],[IQty]]-ITSecondTable[[#This Row],[SQty]], 0)</f>
        <v>0</v>
      </c>
      <c r="I662" s="151" t="str">
        <f>IFERROR(_xlfn.TEXTJOIN("~", TRUE, ITEquipmentTable[[#This Row],[Type]],ITEquipmentTable[[#This Row],[Brand]],ITEquipmentTable[[#This Row],[Model]]), "")</f>
        <v>Monitor~Acer~V206HQL</v>
      </c>
      <c r="J662" s="151" t="b">
        <f xml:space="preserve"> _xlfn.IFNA(MATCH( ITSecondTable[[#This Row],[Tag]], StorageTable[Tag], 0)  &gt; -1, FALSE)</f>
        <v>0</v>
      </c>
      <c r="K662" s="168" t="b">
        <f>COUNTIFS(ITEquipmentTable[Serial], ITEquipmentTable[[#This Row],[Serial]], ITEquipmentTable[Serial], "&lt;&gt;N/A") &gt; 1</f>
        <v>0</v>
      </c>
      <c r="L662" s="168" t="b">
        <f>COUNTIFS(ITEquipmentTable[Name], ITEquipmentTable[[#This Row],[Name]], ITEquipmentTable[Name], "&lt;&gt;&lt;Unassigned&gt;",  ITEquipmentTable[Name], "&lt;&gt;N/A") &gt; 1</f>
        <v>0</v>
      </c>
      <c r="M662" s="168" t="b">
        <f>AND(COUNTIFS(ITEquipmentTable[IPv4 Address], ITEquipmentTable[[#This Row],[IPv4 Address]]) &gt; 1, ITEquipmentTable[[#This Row],[IPv4 Address]] &lt;&gt; "DHCP",  ITEquipmentTable[[#This Row],[IPv4 Address]] &lt;&gt; "N/A")</f>
        <v>0</v>
      </c>
    </row>
    <row r="663" spans="1:13" x14ac:dyDescent="0.2">
      <c r="A663" s="168">
        <f>IF(LEN(ITSecondTable[[#This Row],[Tag]]) &gt; 0, _xlfn.XLOOKUP(ITSecondTable[[#This Row],[Tag]],StorageTable[Tag], StorageTable[In Storage - Count Total], "Err", 0, 1), 0)</f>
        <v>1</v>
      </c>
      <c r="B663" s="168">
        <f>_xlfn.LET(_xlpm.loc, ITEquipmentTable[Storage Location],
COUNTIFS(ITSecondTable[Tag], ITSecondTable[[#This Row],[Tag]], _xlpm.loc, "&lt;&gt;In Use", _xlpm.loc, "&lt;&gt;",  _xlpm.loc, "&lt;&gt;E-Waste", _xlpm.loc, "&lt;&gt;Virtual",  _xlpm.loc, "&lt;&gt;Assigned to Employee", _xlpm.loc, "&lt;&gt;Decommisioned", _xlpm.loc, "&lt;&gt;Missing")
)</f>
        <v>2</v>
      </c>
      <c r="C663" s="168">
        <f>_xlfn.LET(_xlpm.loc, ITEquipmentTable[Storage Location],
COUNTIFS(ITSecondTable[Tag], ITSecondTable[[#This Row],[Tag]], _xlpm.loc, "&lt;&gt;E-Waste", _xlpm.loc, "&lt;&gt;Virtual", _xlpm.loc, "&lt;&gt;Decommisioned")
)</f>
        <v>2</v>
      </c>
      <c r="D663" s="168">
        <f>_xlfn.LET(_xlpm.loc, ITEquipmentTable[Storage Location],
COUNTIFS(ITSecondTable[Tag], ITSecondTable[[#This Row],[Tag]], _xlpm.loc, "Missing")
)</f>
        <v>0</v>
      </c>
      <c r="E663" s="168">
        <f>_xlfn.LET(_xlpm.loc, ITEquipmentTable[Storage Location],
COUNTIFS(ITSecondTable[Tag], ITSecondTable[[#This Row],[Tag]], _xlpm.loc, "In Use") + COUNTIFS(ITSecondTable[Tag], ITSecondTable[[#This Row],[Tag]], _xlpm.loc, "Assigned to Employee")
)</f>
        <v>0</v>
      </c>
      <c r="F663" s="168">
        <f>_xlfn.LET(_xlpm.loc, ITEquipmentTable[Storage Location],
COUNTIFS(ITSecondTable[Tag], ITSecondTable[[#This Row],[Tag]], _xlpm.loc, "")
)</f>
        <v>0</v>
      </c>
      <c r="G663" s="168">
        <f>MAX(ITSecondTable[[#This Row],[SQty]] - ITSecondTable[[#This Row],[IQty]], 0)</f>
        <v>1</v>
      </c>
      <c r="H663" s="168">
        <f>MAX(ITSecondTable[[#This Row],[IQty]]-ITSecondTable[[#This Row],[SQty]], 0)</f>
        <v>0</v>
      </c>
      <c r="I663" s="151" t="str">
        <f>IFERROR(_xlfn.TEXTJOIN("~", TRUE, ITEquipmentTable[[#This Row],[Type]],ITEquipmentTable[[#This Row],[Brand]],ITEquipmentTable[[#This Row],[Model]]), "")</f>
        <v>Monitor~Acer~V226HQL</v>
      </c>
      <c r="J663" s="151" t="b">
        <f xml:space="preserve"> _xlfn.IFNA(MATCH( ITSecondTable[[#This Row],[Tag]], StorageTable[Tag], 0)  &gt; -1, FALSE)</f>
        <v>0</v>
      </c>
      <c r="K663" s="168" t="b">
        <f>COUNTIFS(ITEquipmentTable[Serial], ITEquipmentTable[[#This Row],[Serial]], ITEquipmentTable[Serial], "&lt;&gt;N/A") &gt; 1</f>
        <v>0</v>
      </c>
      <c r="L663" s="168" t="b">
        <f>COUNTIFS(ITEquipmentTable[Name], ITEquipmentTable[[#This Row],[Name]], ITEquipmentTable[Name], "&lt;&gt;&lt;Unassigned&gt;",  ITEquipmentTable[Name], "&lt;&gt;N/A") &gt; 1</f>
        <v>0</v>
      </c>
      <c r="M663" s="168" t="b">
        <f>AND(COUNTIFS(ITEquipmentTable[IPv4 Address], ITEquipmentTable[[#This Row],[IPv4 Address]]) &gt; 1, ITEquipmentTable[[#This Row],[IPv4 Address]] &lt;&gt; "DHCP",  ITEquipmentTable[[#This Row],[IPv4 Address]] &lt;&gt; "N/A")</f>
        <v>0</v>
      </c>
    </row>
    <row r="664" spans="1:13" x14ac:dyDescent="0.2">
      <c r="A664" s="168">
        <f>IF(LEN(ITSecondTable[[#This Row],[Tag]]) &gt; 0, _xlfn.XLOOKUP(ITSecondTable[[#This Row],[Tag]],StorageTable[Tag], StorageTable[In Storage - Count Total], "Err", 0, 1), 0)</f>
        <v>0</v>
      </c>
      <c r="B664" s="168">
        <f>_xlfn.LET(_xlpm.loc, ITEquipmentTable[Storage Location],
COUNTIFS(ITSecondTable[Tag], ITSecondTable[[#This Row],[Tag]], _xlpm.loc, "&lt;&gt;In Use", _xlpm.loc, "&lt;&gt;",  _xlpm.loc, "&lt;&gt;E-Waste", _xlpm.loc, "&lt;&gt;Virtual",  _xlpm.loc, "&lt;&gt;Assigned to Employee", _xlpm.loc, "&lt;&gt;Decommisioned", _xlpm.loc, "&lt;&gt;Missing")
)</f>
        <v>3</v>
      </c>
      <c r="C664" s="168">
        <f>_xlfn.LET(_xlpm.loc, ITEquipmentTable[Storage Location],
COUNTIFS(ITSecondTable[Tag], ITSecondTable[[#This Row],[Tag]], _xlpm.loc, "&lt;&gt;E-Waste", _xlpm.loc, "&lt;&gt;Virtual", _xlpm.loc, "&lt;&gt;Decommisioned")
)</f>
        <v>4</v>
      </c>
      <c r="D664" s="168">
        <f>_xlfn.LET(_xlpm.loc, ITEquipmentTable[Storage Location],
COUNTIFS(ITSecondTable[Tag], ITSecondTable[[#This Row],[Tag]], _xlpm.loc, "Missing")
)</f>
        <v>0</v>
      </c>
      <c r="E664" s="168">
        <f>_xlfn.LET(_xlpm.loc, ITEquipmentTable[Storage Location],
COUNTIFS(ITSecondTable[Tag], ITSecondTable[[#This Row],[Tag]], _xlpm.loc, "In Use") + COUNTIFS(ITSecondTable[Tag], ITSecondTable[[#This Row],[Tag]], _xlpm.loc, "Assigned to Employee")
)</f>
        <v>0</v>
      </c>
      <c r="F664" s="168">
        <f>_xlfn.LET(_xlpm.loc, ITEquipmentTable[Storage Location],
COUNTIFS(ITSecondTable[Tag], ITSecondTable[[#This Row],[Tag]], _xlpm.loc, "")
)</f>
        <v>1</v>
      </c>
      <c r="G664" s="168">
        <f>MAX(ITSecondTable[[#This Row],[SQty]] - ITSecondTable[[#This Row],[IQty]], 0)</f>
        <v>3</v>
      </c>
      <c r="H664" s="168">
        <f>MAX(ITSecondTable[[#This Row],[IQty]]-ITSecondTable[[#This Row],[SQty]], 0)</f>
        <v>0</v>
      </c>
      <c r="I664" s="151" t="str">
        <f>IFERROR(_xlfn.TEXTJOIN("~", TRUE, ITEquipmentTable[[#This Row],[Type]],ITEquipmentTable[[#This Row],[Brand]],ITEquipmentTable[[#This Row],[Model]]), "")</f>
        <v>APC~APC~BE750G</v>
      </c>
      <c r="J664" s="151" t="b">
        <f xml:space="preserve"> _xlfn.IFNA(MATCH( ITSecondTable[[#This Row],[Tag]], StorageTable[Tag], 0)  &gt; -1, FALSE)</f>
        <v>0</v>
      </c>
      <c r="K664" s="168" t="b">
        <f>COUNTIFS(ITEquipmentTable[Serial], ITEquipmentTable[[#This Row],[Serial]], ITEquipmentTable[Serial], "&lt;&gt;N/A") &gt; 1</f>
        <v>0</v>
      </c>
      <c r="L664" s="168" t="b">
        <f>COUNTIFS(ITEquipmentTable[Name], ITEquipmentTable[[#This Row],[Name]], ITEquipmentTable[Name], "&lt;&gt;&lt;Unassigned&gt;",  ITEquipmentTable[Name], "&lt;&gt;N/A") &gt; 1</f>
        <v>0</v>
      </c>
      <c r="M664" s="168" t="b">
        <f>AND(COUNTIFS(ITEquipmentTable[IPv4 Address], ITEquipmentTable[[#This Row],[IPv4 Address]]) &gt; 1, ITEquipmentTable[[#This Row],[IPv4 Address]] &lt;&gt; "DHCP",  ITEquipmentTable[[#This Row],[IPv4 Address]] &lt;&gt; "N/A")</f>
        <v>0</v>
      </c>
    </row>
    <row r="665" spans="1:13" x14ac:dyDescent="0.2">
      <c r="A665" s="168">
        <f>IF(LEN(ITSecondTable[[#This Row],[Tag]]) &gt; 0, _xlfn.XLOOKUP(ITSecondTable[[#This Row],[Tag]],StorageTable[Tag], StorageTable[In Storage - Count Total], "Err", 0, 1), 0)</f>
        <v>25</v>
      </c>
      <c r="B665" s="168">
        <f>_xlfn.LET(_xlpm.loc, ITEquipmentTable[Storage Location],
COUNTIFS(ITSecondTable[Tag], ITSecondTable[[#This Row],[Tag]], _xlpm.loc, "&lt;&gt;In Use", _xlpm.loc, "&lt;&gt;",  _xlpm.loc, "&lt;&gt;E-Waste", _xlpm.loc, "&lt;&gt;Virtual",  _xlpm.loc, "&lt;&gt;Assigned to Employee", _xlpm.loc, "&lt;&gt;Decommisioned", _xlpm.loc, "&lt;&gt;Missing")
)</f>
        <v>36</v>
      </c>
      <c r="C665" s="168">
        <f>_xlfn.LET(_xlpm.loc, ITEquipmentTable[Storage Location],
COUNTIFS(ITSecondTable[Tag], ITSecondTable[[#This Row],[Tag]], _xlpm.loc, "&lt;&gt;E-Waste", _xlpm.loc, "&lt;&gt;Virtual", _xlpm.loc, "&lt;&gt;Decommisioned")
)</f>
        <v>41</v>
      </c>
      <c r="D665" s="168">
        <f>_xlfn.LET(_xlpm.loc, ITEquipmentTable[Storage Location],
COUNTIFS(ITSecondTable[Tag], ITSecondTable[[#This Row],[Tag]], _xlpm.loc, "Missing")
)</f>
        <v>0</v>
      </c>
      <c r="E665" s="168">
        <f>_xlfn.LET(_xlpm.loc, ITEquipmentTable[Storage Location],
COUNTIFS(ITSecondTable[Tag], ITSecondTable[[#This Row],[Tag]], _xlpm.loc, "In Use") + COUNTIFS(ITSecondTable[Tag], ITSecondTable[[#This Row],[Tag]], _xlpm.loc, "Assigned to Employee")
)</f>
        <v>5</v>
      </c>
      <c r="F665" s="168">
        <f>_xlfn.LET(_xlpm.loc, ITEquipmentTable[Storage Location],
COUNTIFS(ITSecondTable[Tag], ITSecondTable[[#This Row],[Tag]], _xlpm.loc, "")
)</f>
        <v>0</v>
      </c>
      <c r="G665" s="168">
        <f>MAX(ITSecondTable[[#This Row],[SQty]] - ITSecondTable[[#This Row],[IQty]], 0)</f>
        <v>11</v>
      </c>
      <c r="H665" s="168">
        <f>MAX(ITSecondTable[[#This Row],[IQty]]-ITSecondTable[[#This Row],[SQty]], 0)</f>
        <v>0</v>
      </c>
      <c r="I665" s="151" t="str">
        <f>IFERROR(_xlfn.TEXTJOIN("~", TRUE, ITEquipmentTable[[#This Row],[Type]],ITEquipmentTable[[#This Row],[Brand]],ITEquipmentTable[[#This Row],[Model]]), "")</f>
        <v>Monitor~Acer~V206HQL</v>
      </c>
      <c r="J665" s="151" t="b">
        <f xml:space="preserve"> _xlfn.IFNA(MATCH( ITSecondTable[[#This Row],[Tag]], StorageTable[Tag], 0)  &gt; -1, FALSE)</f>
        <v>0</v>
      </c>
      <c r="K665" s="168" t="b">
        <f>COUNTIFS(ITEquipmentTable[Serial], ITEquipmentTable[[#This Row],[Serial]], ITEquipmentTable[Serial], "&lt;&gt;N/A") &gt; 1</f>
        <v>0</v>
      </c>
      <c r="L665" s="168" t="b">
        <f>COUNTIFS(ITEquipmentTable[Name], ITEquipmentTable[[#This Row],[Name]], ITEquipmentTable[Name], "&lt;&gt;&lt;Unassigned&gt;",  ITEquipmentTable[Name], "&lt;&gt;N/A") &gt; 1</f>
        <v>0</v>
      </c>
      <c r="M665" s="168" t="b">
        <f>AND(COUNTIFS(ITEquipmentTable[IPv4 Address], ITEquipmentTable[[#This Row],[IPv4 Address]]) &gt; 1, ITEquipmentTable[[#This Row],[IPv4 Address]] &lt;&gt; "DHCP",  ITEquipmentTable[[#This Row],[IPv4 Address]] &lt;&gt; "N/A")</f>
        <v>0</v>
      </c>
    </row>
    <row r="666" spans="1:13" x14ac:dyDescent="0.2">
      <c r="A666" s="168">
        <f>IF(LEN(ITSecondTable[[#This Row],[Tag]]) &gt; 0, _xlfn.XLOOKUP(ITSecondTable[[#This Row],[Tag]],StorageTable[Tag], StorageTable[In Storage - Count Total], "Err", 0, 1), 0)</f>
        <v>25</v>
      </c>
      <c r="B666" s="168">
        <f>_xlfn.LET(_xlpm.loc, ITEquipmentTable[Storage Location],
COUNTIFS(ITSecondTable[Tag], ITSecondTable[[#This Row],[Tag]], _xlpm.loc, "&lt;&gt;In Use", _xlpm.loc, "&lt;&gt;",  _xlpm.loc, "&lt;&gt;E-Waste", _xlpm.loc, "&lt;&gt;Virtual",  _xlpm.loc, "&lt;&gt;Assigned to Employee", _xlpm.loc, "&lt;&gt;Decommisioned", _xlpm.loc, "&lt;&gt;Missing")
)</f>
        <v>36</v>
      </c>
      <c r="C666" s="168">
        <f>_xlfn.LET(_xlpm.loc, ITEquipmentTable[Storage Location],
COUNTIFS(ITSecondTable[Tag], ITSecondTable[[#This Row],[Tag]], _xlpm.loc, "&lt;&gt;E-Waste", _xlpm.loc, "&lt;&gt;Virtual", _xlpm.loc, "&lt;&gt;Decommisioned")
)</f>
        <v>41</v>
      </c>
      <c r="D666" s="168">
        <f>_xlfn.LET(_xlpm.loc, ITEquipmentTable[Storage Location],
COUNTIFS(ITSecondTable[Tag], ITSecondTable[[#This Row],[Tag]], _xlpm.loc, "Missing")
)</f>
        <v>0</v>
      </c>
      <c r="E666" s="168">
        <f>_xlfn.LET(_xlpm.loc, ITEquipmentTable[Storage Location],
COUNTIFS(ITSecondTable[Tag], ITSecondTable[[#This Row],[Tag]], _xlpm.loc, "In Use") + COUNTIFS(ITSecondTable[Tag], ITSecondTable[[#This Row],[Tag]], _xlpm.loc, "Assigned to Employee")
)</f>
        <v>5</v>
      </c>
      <c r="F666" s="168">
        <f>_xlfn.LET(_xlpm.loc, ITEquipmentTable[Storage Location],
COUNTIFS(ITSecondTable[Tag], ITSecondTable[[#This Row],[Tag]], _xlpm.loc, "")
)</f>
        <v>0</v>
      </c>
      <c r="G666" s="168">
        <f>MAX(ITSecondTable[[#This Row],[SQty]] - ITSecondTable[[#This Row],[IQty]], 0)</f>
        <v>11</v>
      </c>
      <c r="H666" s="168">
        <f>MAX(ITSecondTable[[#This Row],[IQty]]-ITSecondTable[[#This Row],[SQty]], 0)</f>
        <v>0</v>
      </c>
      <c r="I666" s="151" t="str">
        <f>IFERROR(_xlfn.TEXTJOIN("~", TRUE, ITEquipmentTable[[#This Row],[Type]],ITEquipmentTable[[#This Row],[Brand]],ITEquipmentTable[[#This Row],[Model]]), "")</f>
        <v>Monitor~Acer~V206HQL</v>
      </c>
      <c r="J666" s="151" t="b">
        <f xml:space="preserve"> _xlfn.IFNA(MATCH( ITSecondTable[[#This Row],[Tag]], StorageTable[Tag], 0)  &gt; -1, FALSE)</f>
        <v>0</v>
      </c>
      <c r="K666" s="168" t="b">
        <f>COUNTIFS(ITEquipmentTable[Serial], ITEquipmentTable[[#This Row],[Serial]], ITEquipmentTable[Serial], "&lt;&gt;N/A") &gt; 1</f>
        <v>0</v>
      </c>
      <c r="L666" s="168" t="b">
        <f>COUNTIFS(ITEquipmentTable[Name], ITEquipmentTable[[#This Row],[Name]], ITEquipmentTable[Name], "&lt;&gt;&lt;Unassigned&gt;",  ITEquipmentTable[Name], "&lt;&gt;N/A") &gt; 1</f>
        <v>0</v>
      </c>
      <c r="M666" s="168" t="b">
        <f>AND(COUNTIFS(ITEquipmentTable[IPv4 Address], ITEquipmentTable[[#This Row],[IPv4 Address]]) &gt; 1, ITEquipmentTable[[#This Row],[IPv4 Address]] &lt;&gt; "DHCP",  ITEquipmentTable[[#This Row],[IPv4 Address]] &lt;&gt; "N/A")</f>
        <v>0</v>
      </c>
    </row>
    <row r="667" spans="1:13" x14ac:dyDescent="0.2">
      <c r="A667" s="168">
        <f>IF(LEN(ITSecondTable[[#This Row],[Tag]]) &gt; 0, _xlfn.XLOOKUP(ITSecondTable[[#This Row],[Tag]],StorageTable[Tag], StorageTable[In Storage - Count Total], "Err", 0, 1), 0)</f>
        <v>25</v>
      </c>
      <c r="B667" s="168">
        <f>_xlfn.LET(_xlpm.loc, ITEquipmentTable[Storage Location],
COUNTIFS(ITSecondTable[Tag], ITSecondTable[[#This Row],[Tag]], _xlpm.loc, "&lt;&gt;In Use", _xlpm.loc, "&lt;&gt;",  _xlpm.loc, "&lt;&gt;E-Waste", _xlpm.loc, "&lt;&gt;Virtual",  _xlpm.loc, "&lt;&gt;Assigned to Employee", _xlpm.loc, "&lt;&gt;Decommisioned", _xlpm.loc, "&lt;&gt;Missing")
)</f>
        <v>36</v>
      </c>
      <c r="C667" s="168">
        <f>_xlfn.LET(_xlpm.loc, ITEquipmentTable[Storage Location],
COUNTIFS(ITSecondTable[Tag], ITSecondTable[[#This Row],[Tag]], _xlpm.loc, "&lt;&gt;E-Waste", _xlpm.loc, "&lt;&gt;Virtual", _xlpm.loc, "&lt;&gt;Decommisioned")
)</f>
        <v>41</v>
      </c>
      <c r="D667" s="168">
        <f>_xlfn.LET(_xlpm.loc, ITEquipmentTable[Storage Location],
COUNTIFS(ITSecondTable[Tag], ITSecondTable[[#This Row],[Tag]], _xlpm.loc, "Missing")
)</f>
        <v>0</v>
      </c>
      <c r="E667" s="168">
        <f>_xlfn.LET(_xlpm.loc, ITEquipmentTable[Storage Location],
COUNTIFS(ITSecondTable[Tag], ITSecondTable[[#This Row],[Tag]], _xlpm.loc, "In Use") + COUNTIFS(ITSecondTable[Tag], ITSecondTable[[#This Row],[Tag]], _xlpm.loc, "Assigned to Employee")
)</f>
        <v>5</v>
      </c>
      <c r="F667" s="168">
        <f>_xlfn.LET(_xlpm.loc, ITEquipmentTable[Storage Location],
COUNTIFS(ITSecondTable[Tag], ITSecondTable[[#This Row],[Tag]], _xlpm.loc, "")
)</f>
        <v>0</v>
      </c>
      <c r="G667" s="168">
        <f>MAX(ITSecondTable[[#This Row],[SQty]] - ITSecondTable[[#This Row],[IQty]], 0)</f>
        <v>11</v>
      </c>
      <c r="H667" s="168">
        <f>MAX(ITSecondTable[[#This Row],[IQty]]-ITSecondTable[[#This Row],[SQty]], 0)</f>
        <v>0</v>
      </c>
      <c r="I667" s="151" t="str">
        <f>IFERROR(_xlfn.TEXTJOIN("~", TRUE, ITEquipmentTable[[#This Row],[Type]],ITEquipmentTable[[#This Row],[Brand]],ITEquipmentTable[[#This Row],[Model]]), "")</f>
        <v>Monitor~Acer~V206HQL</v>
      </c>
      <c r="J667" s="151" t="b">
        <f xml:space="preserve"> _xlfn.IFNA(MATCH( ITSecondTable[[#This Row],[Tag]], StorageTable[Tag], 0)  &gt; -1, FALSE)</f>
        <v>0</v>
      </c>
      <c r="K667" s="168" t="b">
        <f>COUNTIFS(ITEquipmentTable[Serial], ITEquipmentTable[[#This Row],[Serial]], ITEquipmentTable[Serial], "&lt;&gt;N/A") &gt; 1</f>
        <v>0</v>
      </c>
      <c r="L667" s="168" t="b">
        <f>COUNTIFS(ITEquipmentTable[Name], ITEquipmentTable[[#This Row],[Name]], ITEquipmentTable[Name], "&lt;&gt;&lt;Unassigned&gt;",  ITEquipmentTable[Name], "&lt;&gt;N/A") &gt; 1</f>
        <v>0</v>
      </c>
      <c r="M667" s="168" t="b">
        <f>AND(COUNTIFS(ITEquipmentTable[IPv4 Address], ITEquipmentTable[[#This Row],[IPv4 Address]]) &gt; 1, ITEquipmentTable[[#This Row],[IPv4 Address]] &lt;&gt; "DHCP",  ITEquipmentTable[[#This Row],[IPv4 Address]] &lt;&gt; "N/A")</f>
        <v>0</v>
      </c>
    </row>
    <row r="668" spans="1:13" x14ac:dyDescent="0.2">
      <c r="A668" s="168">
        <f>IF(LEN(ITSecondTable[[#This Row],[Tag]]) &gt; 0, _xlfn.XLOOKUP(ITSecondTable[[#This Row],[Tag]],StorageTable[Tag], StorageTable[In Storage - Count Total], "Err", 0, 1), 0)</f>
        <v>25</v>
      </c>
      <c r="B668" s="168">
        <f>_xlfn.LET(_xlpm.loc, ITEquipmentTable[Storage Location],
COUNTIFS(ITSecondTable[Tag], ITSecondTable[[#This Row],[Tag]], _xlpm.loc, "&lt;&gt;In Use", _xlpm.loc, "&lt;&gt;",  _xlpm.loc, "&lt;&gt;E-Waste", _xlpm.loc, "&lt;&gt;Virtual",  _xlpm.loc, "&lt;&gt;Assigned to Employee", _xlpm.loc, "&lt;&gt;Decommisioned", _xlpm.loc, "&lt;&gt;Missing")
)</f>
        <v>36</v>
      </c>
      <c r="C668" s="168">
        <f>_xlfn.LET(_xlpm.loc, ITEquipmentTable[Storage Location],
COUNTIFS(ITSecondTable[Tag], ITSecondTable[[#This Row],[Tag]], _xlpm.loc, "&lt;&gt;E-Waste", _xlpm.loc, "&lt;&gt;Virtual", _xlpm.loc, "&lt;&gt;Decommisioned")
)</f>
        <v>41</v>
      </c>
      <c r="D668" s="168">
        <f>_xlfn.LET(_xlpm.loc, ITEquipmentTable[Storage Location],
COUNTIFS(ITSecondTable[Tag], ITSecondTable[[#This Row],[Tag]], _xlpm.loc, "Missing")
)</f>
        <v>0</v>
      </c>
      <c r="E668" s="168">
        <f>_xlfn.LET(_xlpm.loc, ITEquipmentTable[Storage Location],
COUNTIFS(ITSecondTable[Tag], ITSecondTable[[#This Row],[Tag]], _xlpm.loc, "In Use") + COUNTIFS(ITSecondTable[Tag], ITSecondTable[[#This Row],[Tag]], _xlpm.loc, "Assigned to Employee")
)</f>
        <v>5</v>
      </c>
      <c r="F668" s="168">
        <f>_xlfn.LET(_xlpm.loc, ITEquipmentTable[Storage Location],
COUNTIFS(ITSecondTable[Tag], ITSecondTable[[#This Row],[Tag]], _xlpm.loc, "")
)</f>
        <v>0</v>
      </c>
      <c r="G668" s="168">
        <f>MAX(ITSecondTable[[#This Row],[SQty]] - ITSecondTable[[#This Row],[IQty]], 0)</f>
        <v>11</v>
      </c>
      <c r="H668" s="168">
        <f>MAX(ITSecondTable[[#This Row],[IQty]]-ITSecondTable[[#This Row],[SQty]], 0)</f>
        <v>0</v>
      </c>
      <c r="I668" s="151" t="str">
        <f>IFERROR(_xlfn.TEXTJOIN("~", TRUE, ITEquipmentTable[[#This Row],[Type]],ITEquipmentTable[[#This Row],[Brand]],ITEquipmentTable[[#This Row],[Model]]), "")</f>
        <v>Monitor~Acer~V206HQL</v>
      </c>
      <c r="J668" s="151" t="b">
        <f xml:space="preserve"> _xlfn.IFNA(MATCH( ITSecondTable[[#This Row],[Tag]], StorageTable[Tag], 0)  &gt; -1, FALSE)</f>
        <v>0</v>
      </c>
      <c r="K668" s="168" t="b">
        <f>COUNTIFS(ITEquipmentTable[Serial], ITEquipmentTable[[#This Row],[Serial]], ITEquipmentTable[Serial], "&lt;&gt;N/A") &gt; 1</f>
        <v>0</v>
      </c>
      <c r="L668" s="168" t="b">
        <f>COUNTIFS(ITEquipmentTable[Name], ITEquipmentTable[[#This Row],[Name]], ITEquipmentTable[Name], "&lt;&gt;&lt;Unassigned&gt;",  ITEquipmentTable[Name], "&lt;&gt;N/A") &gt; 1</f>
        <v>0</v>
      </c>
      <c r="M668" s="168" t="b">
        <f>AND(COUNTIFS(ITEquipmentTable[IPv4 Address], ITEquipmentTable[[#This Row],[IPv4 Address]]) &gt; 1, ITEquipmentTable[[#This Row],[IPv4 Address]] &lt;&gt; "DHCP",  ITEquipmentTable[[#This Row],[IPv4 Address]] &lt;&gt; "N/A")</f>
        <v>0</v>
      </c>
    </row>
    <row r="669" spans="1:13" x14ac:dyDescent="0.2">
      <c r="A669" s="168">
        <f>IF(LEN(ITSecondTable[[#This Row],[Tag]]) &gt; 0, _xlfn.XLOOKUP(ITSecondTable[[#This Row],[Tag]],StorageTable[Tag], StorageTable[In Storage - Count Total], "Err", 0, 1), 0)</f>
        <v>25</v>
      </c>
      <c r="B669" s="168">
        <f>_xlfn.LET(_xlpm.loc, ITEquipmentTable[Storage Location],
COUNTIFS(ITSecondTable[Tag], ITSecondTable[[#This Row],[Tag]], _xlpm.loc, "&lt;&gt;In Use", _xlpm.loc, "&lt;&gt;",  _xlpm.loc, "&lt;&gt;E-Waste", _xlpm.loc, "&lt;&gt;Virtual",  _xlpm.loc, "&lt;&gt;Assigned to Employee", _xlpm.loc, "&lt;&gt;Decommisioned", _xlpm.loc, "&lt;&gt;Missing")
)</f>
        <v>36</v>
      </c>
      <c r="C669" s="168">
        <f>_xlfn.LET(_xlpm.loc, ITEquipmentTable[Storage Location],
COUNTIFS(ITSecondTable[Tag], ITSecondTable[[#This Row],[Tag]], _xlpm.loc, "&lt;&gt;E-Waste", _xlpm.loc, "&lt;&gt;Virtual", _xlpm.loc, "&lt;&gt;Decommisioned")
)</f>
        <v>41</v>
      </c>
      <c r="D669" s="168">
        <f>_xlfn.LET(_xlpm.loc, ITEquipmentTable[Storage Location],
COUNTIFS(ITSecondTable[Tag], ITSecondTable[[#This Row],[Tag]], _xlpm.loc, "Missing")
)</f>
        <v>0</v>
      </c>
      <c r="E669" s="168">
        <f>_xlfn.LET(_xlpm.loc, ITEquipmentTable[Storage Location],
COUNTIFS(ITSecondTable[Tag], ITSecondTable[[#This Row],[Tag]], _xlpm.loc, "In Use") + COUNTIFS(ITSecondTable[Tag], ITSecondTable[[#This Row],[Tag]], _xlpm.loc, "Assigned to Employee")
)</f>
        <v>5</v>
      </c>
      <c r="F669" s="168">
        <f>_xlfn.LET(_xlpm.loc, ITEquipmentTable[Storage Location],
COUNTIFS(ITSecondTable[Tag], ITSecondTable[[#This Row],[Tag]], _xlpm.loc, "")
)</f>
        <v>0</v>
      </c>
      <c r="G669" s="168">
        <f>MAX(ITSecondTable[[#This Row],[SQty]] - ITSecondTable[[#This Row],[IQty]], 0)</f>
        <v>11</v>
      </c>
      <c r="H669" s="168">
        <f>MAX(ITSecondTable[[#This Row],[IQty]]-ITSecondTable[[#This Row],[SQty]], 0)</f>
        <v>0</v>
      </c>
      <c r="I669" s="151" t="str">
        <f>IFERROR(_xlfn.TEXTJOIN("~", TRUE, ITEquipmentTable[[#This Row],[Type]],ITEquipmentTable[[#This Row],[Brand]],ITEquipmentTable[[#This Row],[Model]]), "")</f>
        <v>Monitor~Acer~V206HQL</v>
      </c>
      <c r="J669" s="151" t="b">
        <f xml:space="preserve"> _xlfn.IFNA(MATCH( ITSecondTable[[#This Row],[Tag]], StorageTable[Tag], 0)  &gt; -1, FALSE)</f>
        <v>0</v>
      </c>
      <c r="K669" s="168" t="b">
        <f>COUNTIFS(ITEquipmentTable[Serial], ITEquipmentTable[[#This Row],[Serial]], ITEquipmentTable[Serial], "&lt;&gt;N/A") &gt; 1</f>
        <v>0</v>
      </c>
      <c r="L669" s="168" t="b">
        <f>COUNTIFS(ITEquipmentTable[Name], ITEquipmentTable[[#This Row],[Name]], ITEquipmentTable[Name], "&lt;&gt;&lt;Unassigned&gt;",  ITEquipmentTable[Name], "&lt;&gt;N/A") &gt; 1</f>
        <v>0</v>
      </c>
      <c r="M669" s="168" t="b">
        <f>AND(COUNTIFS(ITEquipmentTable[IPv4 Address], ITEquipmentTable[[#This Row],[IPv4 Address]]) &gt; 1, ITEquipmentTable[[#This Row],[IPv4 Address]] &lt;&gt; "DHCP",  ITEquipmentTable[[#This Row],[IPv4 Address]] &lt;&gt; "N/A")</f>
        <v>0</v>
      </c>
    </row>
    <row r="670" spans="1:13" x14ac:dyDescent="0.2">
      <c r="A670" s="168">
        <f>IF(LEN(ITSecondTable[[#This Row],[Tag]]) &gt; 0, _xlfn.XLOOKUP(ITSecondTable[[#This Row],[Tag]],StorageTable[Tag], StorageTable[In Storage - Count Total], "Err", 0, 1), 0)</f>
        <v>9</v>
      </c>
      <c r="B670" s="168">
        <f>_xlfn.LET(_xlpm.loc, ITEquipmentTable[Storage Location],
COUNTIFS(ITSecondTable[Tag], ITSecondTable[[#This Row],[Tag]], _xlpm.loc, "&lt;&gt;In Use", _xlpm.loc, "&lt;&gt;",  _xlpm.loc, "&lt;&gt;E-Waste", _xlpm.loc, "&lt;&gt;Virtual",  _xlpm.loc, "&lt;&gt;Assigned to Employee", _xlpm.loc, "&lt;&gt;Decommisioned", _xlpm.loc, "&lt;&gt;Missing")
)</f>
        <v>11</v>
      </c>
      <c r="C670" s="168">
        <f>_xlfn.LET(_xlpm.loc, ITEquipmentTable[Storage Location],
COUNTIFS(ITSecondTable[Tag], ITSecondTable[[#This Row],[Tag]], _xlpm.loc, "&lt;&gt;E-Waste", _xlpm.loc, "&lt;&gt;Virtual", _xlpm.loc, "&lt;&gt;Decommisioned")
)</f>
        <v>24</v>
      </c>
      <c r="D670" s="168">
        <f>_xlfn.LET(_xlpm.loc, ITEquipmentTable[Storage Location],
COUNTIFS(ITSecondTable[Tag], ITSecondTable[[#This Row],[Tag]], _xlpm.loc, "Missing")
)</f>
        <v>0</v>
      </c>
      <c r="E670" s="168">
        <f>_xlfn.LET(_xlpm.loc, ITEquipmentTable[Storage Location],
COUNTIFS(ITSecondTable[Tag], ITSecondTable[[#This Row],[Tag]], _xlpm.loc, "In Use") + COUNTIFS(ITSecondTable[Tag], ITSecondTable[[#This Row],[Tag]], _xlpm.loc, "Assigned to Employee")
)</f>
        <v>13</v>
      </c>
      <c r="F670" s="168">
        <f>_xlfn.LET(_xlpm.loc, ITEquipmentTable[Storage Location],
COUNTIFS(ITSecondTable[Tag], ITSecondTable[[#This Row],[Tag]], _xlpm.loc, "")
)</f>
        <v>0</v>
      </c>
      <c r="G670" s="168">
        <f>MAX(ITSecondTable[[#This Row],[SQty]] - ITSecondTable[[#This Row],[IQty]], 0)</f>
        <v>2</v>
      </c>
      <c r="H670" s="168">
        <f>MAX(ITSecondTable[[#This Row],[IQty]]-ITSecondTable[[#This Row],[SQty]], 0)</f>
        <v>0</v>
      </c>
      <c r="I670" s="151" t="str">
        <f>IFERROR(_xlfn.TEXTJOIN("~", TRUE, ITEquipmentTable[[#This Row],[Type]],ITEquipmentTable[[#This Row],[Brand]],ITEquipmentTable[[#This Row],[Model]]), "")</f>
        <v>Monitor~HP~HP P224 Monitor</v>
      </c>
      <c r="J670" s="151" t="b">
        <f xml:space="preserve"> _xlfn.IFNA(MATCH( ITSecondTable[[#This Row],[Tag]], StorageTable[Tag], 0)  &gt; -1, FALSE)</f>
        <v>0</v>
      </c>
      <c r="K670" s="168" t="b">
        <f>COUNTIFS(ITEquipmentTable[Serial], ITEquipmentTable[[#This Row],[Serial]], ITEquipmentTable[Serial], "&lt;&gt;N/A") &gt; 1</f>
        <v>0</v>
      </c>
      <c r="L670" s="168" t="b">
        <f>COUNTIFS(ITEquipmentTable[Name], ITEquipmentTable[[#This Row],[Name]], ITEquipmentTable[Name], "&lt;&gt;&lt;Unassigned&gt;",  ITEquipmentTable[Name], "&lt;&gt;N/A") &gt; 1</f>
        <v>0</v>
      </c>
      <c r="M670" s="168" t="b">
        <f>AND(COUNTIFS(ITEquipmentTable[IPv4 Address], ITEquipmentTable[[#This Row],[IPv4 Address]]) &gt; 1, ITEquipmentTable[[#This Row],[IPv4 Address]] &lt;&gt; "DHCP",  ITEquipmentTable[[#This Row],[IPv4 Address]] &lt;&gt; "N/A")</f>
        <v>0</v>
      </c>
    </row>
    <row r="671" spans="1:13" x14ac:dyDescent="0.2">
      <c r="A671" s="168">
        <f>IF(LEN(ITSecondTable[[#This Row],[Tag]]) &gt; 0, _xlfn.XLOOKUP(ITSecondTable[[#This Row],[Tag]],StorageTable[Tag], StorageTable[In Storage - Count Total], "Err", 0, 1), 0)</f>
        <v>9</v>
      </c>
      <c r="B671" s="168">
        <f>_xlfn.LET(_xlpm.loc, ITEquipmentTable[Storage Location],
COUNTIFS(ITSecondTable[Tag], ITSecondTable[[#This Row],[Tag]], _xlpm.loc, "&lt;&gt;In Use", _xlpm.loc, "&lt;&gt;",  _xlpm.loc, "&lt;&gt;E-Waste", _xlpm.loc, "&lt;&gt;Virtual",  _xlpm.loc, "&lt;&gt;Assigned to Employee", _xlpm.loc, "&lt;&gt;Decommisioned", _xlpm.loc, "&lt;&gt;Missing")
)</f>
        <v>11</v>
      </c>
      <c r="C671" s="168">
        <f>_xlfn.LET(_xlpm.loc, ITEquipmentTable[Storage Location],
COUNTIFS(ITSecondTable[Tag], ITSecondTable[[#This Row],[Tag]], _xlpm.loc, "&lt;&gt;E-Waste", _xlpm.loc, "&lt;&gt;Virtual", _xlpm.loc, "&lt;&gt;Decommisioned")
)</f>
        <v>24</v>
      </c>
      <c r="D671" s="168">
        <f>_xlfn.LET(_xlpm.loc, ITEquipmentTable[Storage Location],
COUNTIFS(ITSecondTable[Tag], ITSecondTable[[#This Row],[Tag]], _xlpm.loc, "Missing")
)</f>
        <v>0</v>
      </c>
      <c r="E671" s="168">
        <f>_xlfn.LET(_xlpm.loc, ITEquipmentTable[Storage Location],
COUNTIFS(ITSecondTable[Tag], ITSecondTable[[#This Row],[Tag]], _xlpm.loc, "In Use") + COUNTIFS(ITSecondTable[Tag], ITSecondTable[[#This Row],[Tag]], _xlpm.loc, "Assigned to Employee")
)</f>
        <v>13</v>
      </c>
      <c r="F671" s="168">
        <f>_xlfn.LET(_xlpm.loc, ITEquipmentTable[Storage Location],
COUNTIFS(ITSecondTable[Tag], ITSecondTable[[#This Row],[Tag]], _xlpm.loc, "")
)</f>
        <v>0</v>
      </c>
      <c r="G671" s="168">
        <f>MAX(ITSecondTable[[#This Row],[SQty]] - ITSecondTable[[#This Row],[IQty]], 0)</f>
        <v>2</v>
      </c>
      <c r="H671" s="168">
        <f>MAX(ITSecondTable[[#This Row],[IQty]]-ITSecondTable[[#This Row],[SQty]], 0)</f>
        <v>0</v>
      </c>
      <c r="I671" s="151" t="str">
        <f>IFERROR(_xlfn.TEXTJOIN("~", TRUE, ITEquipmentTable[[#This Row],[Type]],ITEquipmentTable[[#This Row],[Brand]],ITEquipmentTable[[#This Row],[Model]]), "")</f>
        <v>Monitor~HP~HP P224 Monitor</v>
      </c>
      <c r="J671" s="151" t="b">
        <f xml:space="preserve"> _xlfn.IFNA(MATCH( ITSecondTable[[#This Row],[Tag]], StorageTable[Tag], 0)  &gt; -1, FALSE)</f>
        <v>0</v>
      </c>
      <c r="K671" s="168" t="b">
        <f>COUNTIFS(ITEquipmentTable[Serial], ITEquipmentTable[[#This Row],[Serial]], ITEquipmentTable[Serial], "&lt;&gt;N/A") &gt; 1</f>
        <v>0</v>
      </c>
      <c r="L671" s="168" t="b">
        <f>COUNTIFS(ITEquipmentTable[Name], ITEquipmentTable[[#This Row],[Name]], ITEquipmentTable[Name], "&lt;&gt;&lt;Unassigned&gt;",  ITEquipmentTable[Name], "&lt;&gt;N/A") &gt; 1</f>
        <v>0</v>
      </c>
      <c r="M671" s="168" t="b">
        <f>AND(COUNTIFS(ITEquipmentTable[IPv4 Address], ITEquipmentTable[[#This Row],[IPv4 Address]]) &gt; 1, ITEquipmentTable[[#This Row],[IPv4 Address]] &lt;&gt; "DHCP",  ITEquipmentTable[[#This Row],[IPv4 Address]] &lt;&gt; "N/A")</f>
        <v>0</v>
      </c>
    </row>
    <row r="672" spans="1:13" x14ac:dyDescent="0.2">
      <c r="A672" s="168">
        <f>IF(LEN(ITSecondTable[[#This Row],[Tag]]) &gt; 0, _xlfn.XLOOKUP(ITSecondTable[[#This Row],[Tag]],StorageTable[Tag], StorageTable[In Storage - Count Total], "Err", 0, 1), 0)</f>
        <v>9</v>
      </c>
      <c r="B672" s="168">
        <f>_xlfn.LET(_xlpm.loc, ITEquipmentTable[Storage Location],
COUNTIFS(ITSecondTable[Tag], ITSecondTable[[#This Row],[Tag]], _xlpm.loc, "&lt;&gt;In Use", _xlpm.loc, "&lt;&gt;",  _xlpm.loc, "&lt;&gt;E-Waste", _xlpm.loc, "&lt;&gt;Virtual",  _xlpm.loc, "&lt;&gt;Assigned to Employee", _xlpm.loc, "&lt;&gt;Decommisioned", _xlpm.loc, "&lt;&gt;Missing")
)</f>
        <v>11</v>
      </c>
      <c r="C672" s="168">
        <f>_xlfn.LET(_xlpm.loc, ITEquipmentTable[Storage Location],
COUNTIFS(ITSecondTable[Tag], ITSecondTable[[#This Row],[Tag]], _xlpm.loc, "&lt;&gt;E-Waste", _xlpm.loc, "&lt;&gt;Virtual", _xlpm.loc, "&lt;&gt;Decommisioned")
)</f>
        <v>24</v>
      </c>
      <c r="D672" s="168">
        <f>_xlfn.LET(_xlpm.loc, ITEquipmentTable[Storage Location],
COUNTIFS(ITSecondTable[Tag], ITSecondTable[[#This Row],[Tag]], _xlpm.loc, "Missing")
)</f>
        <v>0</v>
      </c>
      <c r="E672" s="168">
        <f>_xlfn.LET(_xlpm.loc, ITEquipmentTable[Storage Location],
COUNTIFS(ITSecondTable[Tag], ITSecondTable[[#This Row],[Tag]], _xlpm.loc, "In Use") + COUNTIFS(ITSecondTable[Tag], ITSecondTable[[#This Row],[Tag]], _xlpm.loc, "Assigned to Employee")
)</f>
        <v>13</v>
      </c>
      <c r="F672" s="168">
        <f>_xlfn.LET(_xlpm.loc, ITEquipmentTable[Storage Location],
COUNTIFS(ITSecondTable[Tag], ITSecondTable[[#This Row],[Tag]], _xlpm.loc, "")
)</f>
        <v>0</v>
      </c>
      <c r="G672" s="168">
        <f>MAX(ITSecondTable[[#This Row],[SQty]] - ITSecondTable[[#This Row],[IQty]], 0)</f>
        <v>2</v>
      </c>
      <c r="H672" s="168">
        <f>MAX(ITSecondTable[[#This Row],[IQty]]-ITSecondTable[[#This Row],[SQty]], 0)</f>
        <v>0</v>
      </c>
      <c r="I672" s="151" t="str">
        <f>IFERROR(_xlfn.TEXTJOIN("~", TRUE, ITEquipmentTable[[#This Row],[Type]],ITEquipmentTable[[#This Row],[Brand]],ITEquipmentTable[[#This Row],[Model]]), "")</f>
        <v>Monitor~HP~HP P224 Monitor</v>
      </c>
      <c r="J672" s="151" t="b">
        <f xml:space="preserve"> _xlfn.IFNA(MATCH( ITSecondTable[[#This Row],[Tag]], StorageTable[Tag], 0)  &gt; -1, FALSE)</f>
        <v>0</v>
      </c>
      <c r="K672" s="168" t="b">
        <f>COUNTIFS(ITEquipmentTable[Serial], ITEquipmentTable[[#This Row],[Serial]], ITEquipmentTable[Serial], "&lt;&gt;N/A") &gt; 1</f>
        <v>0</v>
      </c>
      <c r="L672" s="168" t="b">
        <f>COUNTIFS(ITEquipmentTable[Name], ITEquipmentTable[[#This Row],[Name]], ITEquipmentTable[Name], "&lt;&gt;&lt;Unassigned&gt;",  ITEquipmentTable[Name], "&lt;&gt;N/A") &gt; 1</f>
        <v>0</v>
      </c>
      <c r="M672" s="168" t="b">
        <f>AND(COUNTIFS(ITEquipmentTable[IPv4 Address], ITEquipmentTable[[#This Row],[IPv4 Address]]) &gt; 1, ITEquipmentTable[[#This Row],[IPv4 Address]] &lt;&gt; "DHCP",  ITEquipmentTable[[#This Row],[IPv4 Address]] &lt;&gt; "N/A")</f>
        <v>0</v>
      </c>
    </row>
    <row r="673" spans="1:13" x14ac:dyDescent="0.2">
      <c r="A673" s="168">
        <f>IF(LEN(ITSecondTable[[#This Row],[Tag]]) &gt; 0, _xlfn.XLOOKUP(ITSecondTable[[#This Row],[Tag]],StorageTable[Tag], StorageTable[In Storage - Count Total], "Err", 0, 1), 0)</f>
        <v>9</v>
      </c>
      <c r="B673" s="168">
        <f>_xlfn.LET(_xlpm.loc, ITEquipmentTable[Storage Location],
COUNTIFS(ITSecondTable[Tag], ITSecondTable[[#This Row],[Tag]], _xlpm.loc, "&lt;&gt;In Use", _xlpm.loc, "&lt;&gt;",  _xlpm.loc, "&lt;&gt;E-Waste", _xlpm.loc, "&lt;&gt;Virtual",  _xlpm.loc, "&lt;&gt;Assigned to Employee", _xlpm.loc, "&lt;&gt;Decommisioned", _xlpm.loc, "&lt;&gt;Missing")
)</f>
        <v>11</v>
      </c>
      <c r="C673" s="168">
        <f>_xlfn.LET(_xlpm.loc, ITEquipmentTable[Storage Location],
COUNTIFS(ITSecondTable[Tag], ITSecondTable[[#This Row],[Tag]], _xlpm.loc, "&lt;&gt;E-Waste", _xlpm.loc, "&lt;&gt;Virtual", _xlpm.loc, "&lt;&gt;Decommisioned")
)</f>
        <v>24</v>
      </c>
      <c r="D673" s="168">
        <f>_xlfn.LET(_xlpm.loc, ITEquipmentTable[Storage Location],
COUNTIFS(ITSecondTable[Tag], ITSecondTable[[#This Row],[Tag]], _xlpm.loc, "Missing")
)</f>
        <v>0</v>
      </c>
      <c r="E673" s="168">
        <f>_xlfn.LET(_xlpm.loc, ITEquipmentTable[Storage Location],
COUNTIFS(ITSecondTable[Tag], ITSecondTable[[#This Row],[Tag]], _xlpm.loc, "In Use") + COUNTIFS(ITSecondTable[Tag], ITSecondTable[[#This Row],[Tag]], _xlpm.loc, "Assigned to Employee")
)</f>
        <v>13</v>
      </c>
      <c r="F673" s="168">
        <f>_xlfn.LET(_xlpm.loc, ITEquipmentTable[Storage Location],
COUNTIFS(ITSecondTable[Tag], ITSecondTable[[#This Row],[Tag]], _xlpm.loc, "")
)</f>
        <v>0</v>
      </c>
      <c r="G673" s="168">
        <f>MAX(ITSecondTable[[#This Row],[SQty]] - ITSecondTable[[#This Row],[IQty]], 0)</f>
        <v>2</v>
      </c>
      <c r="H673" s="168">
        <f>MAX(ITSecondTable[[#This Row],[IQty]]-ITSecondTable[[#This Row],[SQty]], 0)</f>
        <v>0</v>
      </c>
      <c r="I673" s="151" t="str">
        <f>IFERROR(_xlfn.TEXTJOIN("~", TRUE, ITEquipmentTable[[#This Row],[Type]],ITEquipmentTable[[#This Row],[Brand]],ITEquipmentTable[[#This Row],[Model]]), "")</f>
        <v>Monitor~HP~HP P224 Monitor</v>
      </c>
      <c r="J673" s="151" t="b">
        <f xml:space="preserve"> _xlfn.IFNA(MATCH( ITSecondTable[[#This Row],[Tag]], StorageTable[Tag], 0)  &gt; -1, FALSE)</f>
        <v>0</v>
      </c>
      <c r="K673" s="168" t="b">
        <f>COUNTIFS(ITEquipmentTable[Serial], ITEquipmentTable[[#This Row],[Serial]], ITEquipmentTable[Serial], "&lt;&gt;N/A") &gt; 1</f>
        <v>0</v>
      </c>
      <c r="L673" s="168" t="b">
        <f>COUNTIFS(ITEquipmentTable[Name], ITEquipmentTable[[#This Row],[Name]], ITEquipmentTable[Name], "&lt;&gt;&lt;Unassigned&gt;",  ITEquipmentTable[Name], "&lt;&gt;N/A") &gt; 1</f>
        <v>0</v>
      </c>
      <c r="M673" s="168" t="b">
        <f>AND(COUNTIFS(ITEquipmentTable[IPv4 Address], ITEquipmentTable[[#This Row],[IPv4 Address]]) &gt; 1, ITEquipmentTable[[#This Row],[IPv4 Address]] &lt;&gt; "DHCP",  ITEquipmentTable[[#This Row],[IPv4 Address]] &lt;&gt; "N/A")</f>
        <v>0</v>
      </c>
    </row>
    <row r="674" spans="1:13" x14ac:dyDescent="0.2">
      <c r="A674" s="168">
        <f>IF(LEN(ITSecondTable[[#This Row],[Tag]]) &gt; 0, _xlfn.XLOOKUP(ITSecondTable[[#This Row],[Tag]],StorageTable[Tag], StorageTable[In Storage - Count Total], "Err", 0, 1), 0)</f>
        <v>9</v>
      </c>
      <c r="B674" s="168">
        <f>_xlfn.LET(_xlpm.loc, ITEquipmentTable[Storage Location],
COUNTIFS(ITSecondTable[Tag], ITSecondTable[[#This Row],[Tag]], _xlpm.loc, "&lt;&gt;In Use", _xlpm.loc, "&lt;&gt;",  _xlpm.loc, "&lt;&gt;E-Waste", _xlpm.loc, "&lt;&gt;Virtual",  _xlpm.loc, "&lt;&gt;Assigned to Employee", _xlpm.loc, "&lt;&gt;Decommisioned", _xlpm.loc, "&lt;&gt;Missing")
)</f>
        <v>11</v>
      </c>
      <c r="C674" s="168">
        <f>_xlfn.LET(_xlpm.loc, ITEquipmentTable[Storage Location],
COUNTIFS(ITSecondTable[Tag], ITSecondTable[[#This Row],[Tag]], _xlpm.loc, "&lt;&gt;E-Waste", _xlpm.loc, "&lt;&gt;Virtual", _xlpm.loc, "&lt;&gt;Decommisioned")
)</f>
        <v>24</v>
      </c>
      <c r="D674" s="168">
        <f>_xlfn.LET(_xlpm.loc, ITEquipmentTable[Storage Location],
COUNTIFS(ITSecondTable[Tag], ITSecondTable[[#This Row],[Tag]], _xlpm.loc, "Missing")
)</f>
        <v>0</v>
      </c>
      <c r="E674" s="168">
        <f>_xlfn.LET(_xlpm.loc, ITEquipmentTable[Storage Location],
COUNTIFS(ITSecondTable[Tag], ITSecondTable[[#This Row],[Tag]], _xlpm.loc, "In Use") + COUNTIFS(ITSecondTable[Tag], ITSecondTable[[#This Row],[Tag]], _xlpm.loc, "Assigned to Employee")
)</f>
        <v>13</v>
      </c>
      <c r="F674" s="168">
        <f>_xlfn.LET(_xlpm.loc, ITEquipmentTable[Storage Location],
COUNTIFS(ITSecondTable[Tag], ITSecondTable[[#This Row],[Tag]], _xlpm.loc, "")
)</f>
        <v>0</v>
      </c>
      <c r="G674" s="168">
        <f>MAX(ITSecondTable[[#This Row],[SQty]] - ITSecondTable[[#This Row],[IQty]], 0)</f>
        <v>2</v>
      </c>
      <c r="H674" s="168">
        <f>MAX(ITSecondTable[[#This Row],[IQty]]-ITSecondTable[[#This Row],[SQty]], 0)</f>
        <v>0</v>
      </c>
      <c r="I674" s="151" t="str">
        <f>IFERROR(_xlfn.TEXTJOIN("~", TRUE, ITEquipmentTable[[#This Row],[Type]],ITEquipmentTable[[#This Row],[Brand]],ITEquipmentTable[[#This Row],[Model]]), "")</f>
        <v>Monitor~HP~HP P224 Monitor</v>
      </c>
      <c r="J674" s="151" t="b">
        <f xml:space="preserve"> _xlfn.IFNA(MATCH( ITSecondTable[[#This Row],[Tag]], StorageTable[Tag], 0)  &gt; -1, FALSE)</f>
        <v>0</v>
      </c>
      <c r="K674" s="168" t="b">
        <f>COUNTIFS(ITEquipmentTable[Serial], ITEquipmentTable[[#This Row],[Serial]], ITEquipmentTable[Serial], "&lt;&gt;N/A") &gt; 1</f>
        <v>0</v>
      </c>
      <c r="L674" s="168" t="b">
        <f>COUNTIFS(ITEquipmentTable[Name], ITEquipmentTable[[#This Row],[Name]], ITEquipmentTable[Name], "&lt;&gt;&lt;Unassigned&gt;",  ITEquipmentTable[Name], "&lt;&gt;N/A") &gt; 1</f>
        <v>0</v>
      </c>
      <c r="M674" s="168" t="b">
        <f>AND(COUNTIFS(ITEquipmentTable[IPv4 Address], ITEquipmentTable[[#This Row],[IPv4 Address]]) &gt; 1, ITEquipmentTable[[#This Row],[IPv4 Address]] &lt;&gt; "DHCP",  ITEquipmentTable[[#This Row],[IPv4 Address]] &lt;&gt; "N/A")</f>
        <v>0</v>
      </c>
    </row>
    <row r="675" spans="1:13" x14ac:dyDescent="0.2">
      <c r="A675" s="168">
        <f>IF(LEN(ITSecondTable[[#This Row],[Tag]]) &gt; 0, _xlfn.XLOOKUP(ITSecondTable[[#This Row],[Tag]],StorageTable[Tag], StorageTable[In Storage - Count Total], "Err", 0, 1), 0)</f>
        <v>9</v>
      </c>
      <c r="B675" s="168">
        <f>_xlfn.LET(_xlpm.loc, ITEquipmentTable[Storage Location],
COUNTIFS(ITSecondTable[Tag], ITSecondTable[[#This Row],[Tag]], _xlpm.loc, "&lt;&gt;In Use", _xlpm.loc, "&lt;&gt;",  _xlpm.loc, "&lt;&gt;E-Waste", _xlpm.loc, "&lt;&gt;Virtual",  _xlpm.loc, "&lt;&gt;Assigned to Employee", _xlpm.loc, "&lt;&gt;Decommisioned", _xlpm.loc, "&lt;&gt;Missing")
)</f>
        <v>11</v>
      </c>
      <c r="C675" s="168">
        <f>_xlfn.LET(_xlpm.loc, ITEquipmentTable[Storage Location],
COUNTIFS(ITSecondTable[Tag], ITSecondTable[[#This Row],[Tag]], _xlpm.loc, "&lt;&gt;E-Waste", _xlpm.loc, "&lt;&gt;Virtual", _xlpm.loc, "&lt;&gt;Decommisioned")
)</f>
        <v>24</v>
      </c>
      <c r="D675" s="168">
        <f>_xlfn.LET(_xlpm.loc, ITEquipmentTable[Storage Location],
COUNTIFS(ITSecondTable[Tag], ITSecondTable[[#This Row],[Tag]], _xlpm.loc, "Missing")
)</f>
        <v>0</v>
      </c>
      <c r="E675" s="168">
        <f>_xlfn.LET(_xlpm.loc, ITEquipmentTable[Storage Location],
COUNTIFS(ITSecondTable[Tag], ITSecondTable[[#This Row],[Tag]], _xlpm.loc, "In Use") + COUNTIFS(ITSecondTable[Tag], ITSecondTable[[#This Row],[Tag]], _xlpm.loc, "Assigned to Employee")
)</f>
        <v>13</v>
      </c>
      <c r="F675" s="168">
        <f>_xlfn.LET(_xlpm.loc, ITEquipmentTable[Storage Location],
COUNTIFS(ITSecondTable[Tag], ITSecondTable[[#This Row],[Tag]], _xlpm.loc, "")
)</f>
        <v>0</v>
      </c>
      <c r="G675" s="168">
        <f>MAX(ITSecondTable[[#This Row],[SQty]] - ITSecondTable[[#This Row],[IQty]], 0)</f>
        <v>2</v>
      </c>
      <c r="H675" s="168">
        <f>MAX(ITSecondTable[[#This Row],[IQty]]-ITSecondTable[[#This Row],[SQty]], 0)</f>
        <v>0</v>
      </c>
      <c r="I675" s="151" t="str">
        <f>IFERROR(_xlfn.TEXTJOIN("~", TRUE, ITEquipmentTable[[#This Row],[Type]],ITEquipmentTable[[#This Row],[Brand]],ITEquipmentTable[[#This Row],[Model]]), "")</f>
        <v>Monitor~HP~HP P224 Monitor</v>
      </c>
      <c r="J675" s="151" t="b">
        <f xml:space="preserve"> _xlfn.IFNA(MATCH( ITSecondTable[[#This Row],[Tag]], StorageTable[Tag], 0)  &gt; -1, FALSE)</f>
        <v>0</v>
      </c>
      <c r="K675" s="168" t="b">
        <f>COUNTIFS(ITEquipmentTable[Serial], ITEquipmentTable[[#This Row],[Serial]], ITEquipmentTable[Serial], "&lt;&gt;N/A") &gt; 1</f>
        <v>0</v>
      </c>
      <c r="L675" s="168" t="b">
        <f>COUNTIFS(ITEquipmentTable[Name], ITEquipmentTable[[#This Row],[Name]], ITEquipmentTable[Name], "&lt;&gt;&lt;Unassigned&gt;",  ITEquipmentTable[Name], "&lt;&gt;N/A") &gt; 1</f>
        <v>0</v>
      </c>
      <c r="M675" s="168" t="b">
        <f>AND(COUNTIFS(ITEquipmentTable[IPv4 Address], ITEquipmentTable[[#This Row],[IPv4 Address]]) &gt; 1, ITEquipmentTable[[#This Row],[IPv4 Address]] &lt;&gt; "DHCP",  ITEquipmentTable[[#This Row],[IPv4 Address]] &lt;&gt; "N/A")</f>
        <v>0</v>
      </c>
    </row>
    <row r="676" spans="1:13" x14ac:dyDescent="0.2">
      <c r="A676" s="168">
        <f>IF(LEN(ITSecondTable[[#This Row],[Tag]]) &gt; 0, _xlfn.XLOOKUP(ITSecondTable[[#This Row],[Tag]],StorageTable[Tag], StorageTable[In Storage - Count Total], "Err", 0, 1), 0)</f>
        <v>9</v>
      </c>
      <c r="B676" s="168">
        <f>_xlfn.LET(_xlpm.loc, ITEquipmentTable[Storage Location],
COUNTIFS(ITSecondTable[Tag], ITSecondTable[[#This Row],[Tag]], _xlpm.loc, "&lt;&gt;In Use", _xlpm.loc, "&lt;&gt;",  _xlpm.loc, "&lt;&gt;E-Waste", _xlpm.loc, "&lt;&gt;Virtual",  _xlpm.loc, "&lt;&gt;Assigned to Employee", _xlpm.loc, "&lt;&gt;Decommisioned", _xlpm.loc, "&lt;&gt;Missing")
)</f>
        <v>11</v>
      </c>
      <c r="C676" s="168">
        <f>_xlfn.LET(_xlpm.loc, ITEquipmentTable[Storage Location],
COUNTIFS(ITSecondTable[Tag], ITSecondTable[[#This Row],[Tag]], _xlpm.loc, "&lt;&gt;E-Waste", _xlpm.loc, "&lt;&gt;Virtual", _xlpm.loc, "&lt;&gt;Decommisioned")
)</f>
        <v>24</v>
      </c>
      <c r="D676" s="168">
        <f>_xlfn.LET(_xlpm.loc, ITEquipmentTable[Storage Location],
COUNTIFS(ITSecondTable[Tag], ITSecondTable[[#This Row],[Tag]], _xlpm.loc, "Missing")
)</f>
        <v>0</v>
      </c>
      <c r="E676" s="168">
        <f>_xlfn.LET(_xlpm.loc, ITEquipmentTable[Storage Location],
COUNTIFS(ITSecondTable[Tag], ITSecondTable[[#This Row],[Tag]], _xlpm.loc, "In Use") + COUNTIFS(ITSecondTable[Tag], ITSecondTable[[#This Row],[Tag]], _xlpm.loc, "Assigned to Employee")
)</f>
        <v>13</v>
      </c>
      <c r="F676" s="168">
        <f>_xlfn.LET(_xlpm.loc, ITEquipmentTable[Storage Location],
COUNTIFS(ITSecondTable[Tag], ITSecondTable[[#This Row],[Tag]], _xlpm.loc, "")
)</f>
        <v>0</v>
      </c>
      <c r="G676" s="168">
        <f>MAX(ITSecondTable[[#This Row],[SQty]] - ITSecondTable[[#This Row],[IQty]], 0)</f>
        <v>2</v>
      </c>
      <c r="H676" s="168">
        <f>MAX(ITSecondTable[[#This Row],[IQty]]-ITSecondTable[[#This Row],[SQty]], 0)</f>
        <v>0</v>
      </c>
      <c r="I676" s="151" t="str">
        <f>IFERROR(_xlfn.TEXTJOIN("~", TRUE, ITEquipmentTable[[#This Row],[Type]],ITEquipmentTable[[#This Row],[Brand]],ITEquipmentTable[[#This Row],[Model]]), "")</f>
        <v>Monitor~HP~HP P224 Monitor</v>
      </c>
      <c r="J676" s="151" t="b">
        <f xml:space="preserve"> _xlfn.IFNA(MATCH( ITSecondTable[[#This Row],[Tag]], StorageTable[Tag], 0)  &gt; -1, FALSE)</f>
        <v>0</v>
      </c>
      <c r="K676" s="168" t="b">
        <f>COUNTIFS(ITEquipmentTable[Serial], ITEquipmentTable[[#This Row],[Serial]], ITEquipmentTable[Serial], "&lt;&gt;N/A") &gt; 1</f>
        <v>0</v>
      </c>
      <c r="L676" s="168" t="b">
        <f>COUNTIFS(ITEquipmentTable[Name], ITEquipmentTable[[#This Row],[Name]], ITEquipmentTable[Name], "&lt;&gt;&lt;Unassigned&gt;",  ITEquipmentTable[Name], "&lt;&gt;N/A") &gt; 1</f>
        <v>0</v>
      </c>
      <c r="M676" s="168" t="b">
        <f>AND(COUNTIFS(ITEquipmentTable[IPv4 Address], ITEquipmentTable[[#This Row],[IPv4 Address]]) &gt; 1, ITEquipmentTable[[#This Row],[IPv4 Address]] &lt;&gt; "DHCP",  ITEquipmentTable[[#This Row],[IPv4 Address]] &lt;&gt; "N/A")</f>
        <v>0</v>
      </c>
    </row>
    <row r="677" spans="1:13" x14ac:dyDescent="0.2">
      <c r="A677" s="168">
        <f>IF(LEN(ITSecondTable[[#This Row],[Tag]]) &gt; 0, _xlfn.XLOOKUP(ITSecondTable[[#This Row],[Tag]],StorageTable[Tag], StorageTable[In Storage - Count Total], "Err", 0, 1), 0)</f>
        <v>9</v>
      </c>
      <c r="B677" s="168">
        <f>_xlfn.LET(_xlpm.loc, ITEquipmentTable[Storage Location],
COUNTIFS(ITSecondTable[Tag], ITSecondTable[[#This Row],[Tag]], _xlpm.loc, "&lt;&gt;In Use", _xlpm.loc, "&lt;&gt;",  _xlpm.loc, "&lt;&gt;E-Waste", _xlpm.loc, "&lt;&gt;Virtual",  _xlpm.loc, "&lt;&gt;Assigned to Employee", _xlpm.loc, "&lt;&gt;Decommisioned", _xlpm.loc, "&lt;&gt;Missing")
)</f>
        <v>11</v>
      </c>
      <c r="C677" s="168">
        <f>_xlfn.LET(_xlpm.loc, ITEquipmentTable[Storage Location],
COUNTIFS(ITSecondTable[Tag], ITSecondTable[[#This Row],[Tag]], _xlpm.loc, "&lt;&gt;E-Waste", _xlpm.loc, "&lt;&gt;Virtual", _xlpm.loc, "&lt;&gt;Decommisioned")
)</f>
        <v>24</v>
      </c>
      <c r="D677" s="168">
        <f>_xlfn.LET(_xlpm.loc, ITEquipmentTable[Storage Location],
COUNTIFS(ITSecondTable[Tag], ITSecondTable[[#This Row],[Tag]], _xlpm.loc, "Missing")
)</f>
        <v>0</v>
      </c>
      <c r="E677" s="168">
        <f>_xlfn.LET(_xlpm.loc, ITEquipmentTable[Storage Location],
COUNTIFS(ITSecondTable[Tag], ITSecondTable[[#This Row],[Tag]], _xlpm.loc, "In Use") + COUNTIFS(ITSecondTable[Tag], ITSecondTable[[#This Row],[Tag]], _xlpm.loc, "Assigned to Employee")
)</f>
        <v>13</v>
      </c>
      <c r="F677" s="168">
        <f>_xlfn.LET(_xlpm.loc, ITEquipmentTable[Storage Location],
COUNTIFS(ITSecondTable[Tag], ITSecondTable[[#This Row],[Tag]], _xlpm.loc, "")
)</f>
        <v>0</v>
      </c>
      <c r="G677" s="168">
        <f>MAX(ITSecondTable[[#This Row],[SQty]] - ITSecondTable[[#This Row],[IQty]], 0)</f>
        <v>2</v>
      </c>
      <c r="H677" s="168">
        <f>MAX(ITSecondTable[[#This Row],[IQty]]-ITSecondTable[[#This Row],[SQty]], 0)</f>
        <v>0</v>
      </c>
      <c r="I677" s="151" t="str">
        <f>IFERROR(_xlfn.TEXTJOIN("~", TRUE, ITEquipmentTable[[#This Row],[Type]],ITEquipmentTable[[#This Row],[Brand]],ITEquipmentTable[[#This Row],[Model]]), "")</f>
        <v>Monitor~HP~HP P224 Monitor</v>
      </c>
      <c r="J677" s="151" t="b">
        <f xml:space="preserve"> _xlfn.IFNA(MATCH( ITSecondTable[[#This Row],[Tag]], StorageTable[Tag], 0)  &gt; -1, FALSE)</f>
        <v>0</v>
      </c>
      <c r="K677" s="168" t="b">
        <f>COUNTIFS(ITEquipmentTable[Serial], ITEquipmentTable[[#This Row],[Serial]], ITEquipmentTable[Serial], "&lt;&gt;N/A") &gt; 1</f>
        <v>0</v>
      </c>
      <c r="L677" s="168" t="b">
        <f>COUNTIFS(ITEquipmentTable[Name], ITEquipmentTable[[#This Row],[Name]], ITEquipmentTable[Name], "&lt;&gt;&lt;Unassigned&gt;",  ITEquipmentTable[Name], "&lt;&gt;N/A") &gt; 1</f>
        <v>0</v>
      </c>
      <c r="M677" s="168" t="b">
        <f>AND(COUNTIFS(ITEquipmentTable[IPv4 Address], ITEquipmentTable[[#This Row],[IPv4 Address]]) &gt; 1, ITEquipmentTable[[#This Row],[IPv4 Address]] &lt;&gt; "DHCP",  ITEquipmentTable[[#This Row],[IPv4 Address]] &lt;&gt; "N/A")</f>
        <v>0</v>
      </c>
    </row>
    <row r="678" spans="1:13" x14ac:dyDescent="0.2">
      <c r="A678" s="168">
        <f>IF(LEN(ITSecondTable[[#This Row],[Tag]]) &gt; 0, _xlfn.XLOOKUP(ITSecondTable[[#This Row],[Tag]],StorageTable[Tag], StorageTable[In Storage - Count Total], "Err", 0, 1), 0)</f>
        <v>0</v>
      </c>
      <c r="B678" s="168">
        <f>_xlfn.LET(_xlpm.loc, ITEquipmentTable[Storage Location],
COUNTIFS(ITSecondTable[Tag], ITSecondTable[[#This Row],[Tag]], _xlpm.loc, "&lt;&gt;In Use", _xlpm.loc, "&lt;&gt;",  _xlpm.loc, "&lt;&gt;E-Waste", _xlpm.loc, "&lt;&gt;Virtual",  _xlpm.loc, "&lt;&gt;Assigned to Employee", _xlpm.loc, "&lt;&gt;Decommisioned", _xlpm.loc, "&lt;&gt;Missing")
)</f>
        <v>1</v>
      </c>
      <c r="C678" s="168">
        <f>_xlfn.LET(_xlpm.loc, ITEquipmentTable[Storage Location],
COUNTIFS(ITSecondTable[Tag], ITSecondTable[[#This Row],[Tag]], _xlpm.loc, "&lt;&gt;E-Waste", _xlpm.loc, "&lt;&gt;Virtual", _xlpm.loc, "&lt;&gt;Decommisioned")
)</f>
        <v>1</v>
      </c>
      <c r="D678" s="168">
        <f>_xlfn.LET(_xlpm.loc, ITEquipmentTable[Storage Location],
COUNTIFS(ITSecondTable[Tag], ITSecondTable[[#This Row],[Tag]], _xlpm.loc, "Missing")
)</f>
        <v>0</v>
      </c>
      <c r="E678" s="168">
        <f>_xlfn.LET(_xlpm.loc, ITEquipmentTable[Storage Location],
COUNTIFS(ITSecondTable[Tag], ITSecondTable[[#This Row],[Tag]], _xlpm.loc, "In Use") + COUNTIFS(ITSecondTable[Tag], ITSecondTable[[#This Row],[Tag]], _xlpm.loc, "Assigned to Employee")
)</f>
        <v>0</v>
      </c>
      <c r="F678" s="168">
        <f>_xlfn.LET(_xlpm.loc, ITEquipmentTable[Storage Location],
COUNTIFS(ITSecondTable[Tag], ITSecondTable[[#This Row],[Tag]], _xlpm.loc, "")
)</f>
        <v>0</v>
      </c>
      <c r="G678" s="168">
        <f>MAX(ITSecondTable[[#This Row],[SQty]] - ITSecondTable[[#This Row],[IQty]], 0)</f>
        <v>1</v>
      </c>
      <c r="H678" s="168">
        <f>MAX(ITSecondTable[[#This Row],[IQty]]-ITSecondTable[[#This Row],[SQty]], 0)</f>
        <v>0</v>
      </c>
      <c r="I678" s="151" t="str">
        <f>IFERROR(_xlfn.TEXTJOIN("~", TRUE, ITEquipmentTable[[#This Row],[Type]],ITEquipmentTable[[#This Row],[Brand]],ITEquipmentTable[[#This Row],[Model]]), "")</f>
        <v>Monitor~HP~HP VH22 Monitor</v>
      </c>
      <c r="J678" s="151" t="b">
        <f xml:space="preserve"> _xlfn.IFNA(MATCH( ITSecondTable[[#This Row],[Tag]], StorageTable[Tag], 0)  &gt; -1, FALSE)</f>
        <v>0</v>
      </c>
      <c r="K678" s="168" t="b">
        <f>COUNTIFS(ITEquipmentTable[Serial], ITEquipmentTable[[#This Row],[Serial]], ITEquipmentTable[Serial], "&lt;&gt;N/A") &gt; 1</f>
        <v>0</v>
      </c>
      <c r="L678" s="168" t="b">
        <f>COUNTIFS(ITEquipmentTable[Name], ITEquipmentTable[[#This Row],[Name]], ITEquipmentTable[Name], "&lt;&gt;&lt;Unassigned&gt;",  ITEquipmentTable[Name], "&lt;&gt;N/A") &gt; 1</f>
        <v>0</v>
      </c>
      <c r="M678" s="168" t="b">
        <f>AND(COUNTIFS(ITEquipmentTable[IPv4 Address], ITEquipmentTable[[#This Row],[IPv4 Address]]) &gt; 1, ITEquipmentTable[[#This Row],[IPv4 Address]] &lt;&gt; "DHCP",  ITEquipmentTable[[#This Row],[IPv4 Address]] &lt;&gt; "N/A")</f>
        <v>0</v>
      </c>
    </row>
    <row r="679" spans="1:13" x14ac:dyDescent="0.2">
      <c r="A679" s="168">
        <f>IF(LEN(ITSecondTable[[#This Row],[Tag]]) &gt; 0, _xlfn.XLOOKUP(ITSecondTable[[#This Row],[Tag]],StorageTable[Tag], StorageTable[In Storage - Count Total], "Err", 0, 1), 0)</f>
        <v>0</v>
      </c>
      <c r="B679" s="168">
        <f>_xlfn.LET(_xlpm.loc, ITEquipmentTable[Storage Location],
COUNTIFS(ITSecondTable[Tag], ITSecondTable[[#This Row],[Tag]], _xlpm.loc, "&lt;&gt;In Use", _xlpm.loc, "&lt;&gt;",  _xlpm.loc, "&lt;&gt;E-Waste", _xlpm.loc, "&lt;&gt;Virtual",  _xlpm.loc, "&lt;&gt;Assigned to Employee", _xlpm.loc, "&lt;&gt;Decommisioned", _xlpm.loc, "&lt;&gt;Missing")
)</f>
        <v>1</v>
      </c>
      <c r="C679" s="168">
        <f>_xlfn.LET(_xlpm.loc, ITEquipmentTable[Storage Location],
COUNTIFS(ITSecondTable[Tag], ITSecondTable[[#This Row],[Tag]], _xlpm.loc, "&lt;&gt;E-Waste", _xlpm.loc, "&lt;&gt;Virtual", _xlpm.loc, "&lt;&gt;Decommisioned")
)</f>
        <v>1</v>
      </c>
      <c r="D679" s="168">
        <f>_xlfn.LET(_xlpm.loc, ITEquipmentTable[Storage Location],
COUNTIFS(ITSecondTable[Tag], ITSecondTable[[#This Row],[Tag]], _xlpm.loc, "Missing")
)</f>
        <v>0</v>
      </c>
      <c r="E679" s="168">
        <f>_xlfn.LET(_xlpm.loc, ITEquipmentTable[Storage Location],
COUNTIFS(ITSecondTable[Tag], ITSecondTable[[#This Row],[Tag]], _xlpm.loc, "In Use") + COUNTIFS(ITSecondTable[Tag], ITSecondTable[[#This Row],[Tag]], _xlpm.loc, "Assigned to Employee")
)</f>
        <v>0</v>
      </c>
      <c r="F679" s="168">
        <f>_xlfn.LET(_xlpm.loc, ITEquipmentTable[Storage Location],
COUNTIFS(ITSecondTable[Tag], ITSecondTable[[#This Row],[Tag]], _xlpm.loc, "")
)</f>
        <v>0</v>
      </c>
      <c r="G679" s="168">
        <f>MAX(ITSecondTable[[#This Row],[SQty]] - ITSecondTable[[#This Row],[IQty]], 0)</f>
        <v>1</v>
      </c>
      <c r="H679" s="168">
        <f>MAX(ITSecondTable[[#This Row],[IQty]]-ITSecondTable[[#This Row],[SQty]], 0)</f>
        <v>0</v>
      </c>
      <c r="I679" s="151" t="str">
        <f>IFERROR(_xlfn.TEXTJOIN("~", TRUE, ITEquipmentTable[[#This Row],[Type]],ITEquipmentTable[[#This Row],[Brand]],ITEquipmentTable[[#This Row],[Model]]), "")</f>
        <v>Laptop~HP~HP ProBook 4440s</v>
      </c>
      <c r="J679" s="151" t="b">
        <f xml:space="preserve"> _xlfn.IFNA(MATCH( ITSecondTable[[#This Row],[Tag]], StorageTable[Tag], 0)  &gt; -1, FALSE)</f>
        <v>0</v>
      </c>
      <c r="K679" s="168" t="b">
        <f>COUNTIFS(ITEquipmentTable[Serial], ITEquipmentTable[[#This Row],[Serial]], ITEquipmentTable[Serial], "&lt;&gt;N/A") &gt; 1</f>
        <v>0</v>
      </c>
      <c r="L679" s="168" t="b">
        <f>COUNTIFS(ITEquipmentTable[Name], ITEquipmentTable[[#This Row],[Name]], ITEquipmentTable[Name], "&lt;&gt;&lt;Unassigned&gt;",  ITEquipmentTable[Name], "&lt;&gt;N/A") &gt; 1</f>
        <v>0</v>
      </c>
      <c r="M679" s="168" t="b">
        <f>AND(COUNTIFS(ITEquipmentTable[IPv4 Address], ITEquipmentTable[[#This Row],[IPv4 Address]]) &gt; 1, ITEquipmentTable[[#This Row],[IPv4 Address]] &lt;&gt; "DHCP",  ITEquipmentTable[[#This Row],[IPv4 Address]] &lt;&gt; "N/A")</f>
        <v>0</v>
      </c>
    </row>
    <row r="680" spans="1:13" x14ac:dyDescent="0.2">
      <c r="A680" s="168">
        <f>IF(LEN(ITSecondTable[[#This Row],[Tag]]) &gt; 0, _xlfn.XLOOKUP(ITSecondTable[[#This Row],[Tag]],StorageTable[Tag], StorageTable[In Storage - Count Total], "Err", 0, 1), 0)</f>
        <v>2</v>
      </c>
      <c r="B680" s="168">
        <f>_xlfn.LET(_xlpm.loc, ITEquipmentTable[Storage Location],
COUNTIFS(ITSecondTable[Tag], ITSecondTable[[#This Row],[Tag]], _xlpm.loc, "&lt;&gt;In Use", _xlpm.loc, "&lt;&gt;",  _xlpm.loc, "&lt;&gt;E-Waste", _xlpm.loc, "&lt;&gt;Virtual",  _xlpm.loc, "&lt;&gt;Assigned to Employee", _xlpm.loc, "&lt;&gt;Decommisioned", _xlpm.loc, "&lt;&gt;Missing")
)</f>
        <v>2</v>
      </c>
      <c r="C680" s="168">
        <f>_xlfn.LET(_xlpm.loc, ITEquipmentTable[Storage Location],
COUNTIFS(ITSecondTable[Tag], ITSecondTable[[#This Row],[Tag]], _xlpm.loc, "&lt;&gt;E-Waste", _xlpm.loc, "&lt;&gt;Virtual", _xlpm.loc, "&lt;&gt;Decommisioned")
)</f>
        <v>12</v>
      </c>
      <c r="D680" s="168">
        <f>_xlfn.LET(_xlpm.loc, ITEquipmentTable[Storage Location],
COUNTIFS(ITSecondTable[Tag], ITSecondTable[[#This Row],[Tag]], _xlpm.loc, "Missing")
)</f>
        <v>0</v>
      </c>
      <c r="E680" s="168">
        <f>_xlfn.LET(_xlpm.loc, ITEquipmentTable[Storage Location],
COUNTIFS(ITSecondTable[Tag], ITSecondTable[[#This Row],[Tag]], _xlpm.loc, "In Use") + COUNTIFS(ITSecondTable[Tag], ITSecondTable[[#This Row],[Tag]], _xlpm.loc, "Assigned to Employee")
)</f>
        <v>3</v>
      </c>
      <c r="F680" s="168">
        <f>_xlfn.LET(_xlpm.loc, ITEquipmentTable[Storage Location],
COUNTIFS(ITSecondTable[Tag], ITSecondTable[[#This Row],[Tag]], _xlpm.loc, "")
)</f>
        <v>7</v>
      </c>
      <c r="G680" s="168">
        <f>MAX(ITSecondTable[[#This Row],[SQty]] - ITSecondTable[[#This Row],[IQty]], 0)</f>
        <v>0</v>
      </c>
      <c r="H680" s="168">
        <f>MAX(ITSecondTable[[#This Row],[IQty]]-ITSecondTable[[#This Row],[SQty]], 0)</f>
        <v>0</v>
      </c>
      <c r="I680" s="151" t="str">
        <f>IFERROR(_xlfn.TEXTJOIN("~", TRUE, ITEquipmentTable[[#This Row],[Type]],ITEquipmentTable[[#This Row],[Brand]],ITEquipmentTable[[#This Row],[Model]]), "")</f>
        <v>Radio~Motorola~SL300</v>
      </c>
      <c r="J680" s="151" t="b">
        <f xml:space="preserve"> _xlfn.IFNA(MATCH( ITSecondTable[[#This Row],[Tag]], StorageTable[Tag], 0)  &gt; -1, FALSE)</f>
        <v>0</v>
      </c>
      <c r="K680" s="168" t="b">
        <f>COUNTIFS(ITEquipmentTable[Serial], ITEquipmentTable[[#This Row],[Serial]], ITEquipmentTable[Serial], "&lt;&gt;N/A") &gt; 1</f>
        <v>0</v>
      </c>
      <c r="L680" s="168" t="b">
        <f>COUNTIFS(ITEquipmentTable[Name], ITEquipmentTable[[#This Row],[Name]], ITEquipmentTable[Name], "&lt;&gt;&lt;Unassigned&gt;",  ITEquipmentTable[Name], "&lt;&gt;N/A") &gt; 1</f>
        <v>0</v>
      </c>
      <c r="M680" s="168" t="b">
        <f>AND(COUNTIFS(ITEquipmentTable[IPv4 Address], ITEquipmentTable[[#This Row],[IPv4 Address]]) &gt; 1, ITEquipmentTable[[#This Row],[IPv4 Address]] &lt;&gt; "DHCP",  ITEquipmentTable[[#This Row],[IPv4 Address]] &lt;&gt; "N/A")</f>
        <v>0</v>
      </c>
    </row>
    <row r="681" spans="1:13" x14ac:dyDescent="0.2">
      <c r="A681" s="168">
        <f>IF(LEN(ITSecondTable[[#This Row],[Tag]]) &gt; 0, _xlfn.XLOOKUP(ITSecondTable[[#This Row],[Tag]],StorageTable[Tag], StorageTable[In Storage - Count Total], "Err", 0, 1), 0)</f>
        <v>2</v>
      </c>
      <c r="B681" s="168">
        <f>_xlfn.LET(_xlpm.loc, ITEquipmentTable[Storage Location],
COUNTIFS(ITSecondTable[Tag], ITSecondTable[[#This Row],[Tag]], _xlpm.loc, "&lt;&gt;In Use", _xlpm.loc, "&lt;&gt;",  _xlpm.loc, "&lt;&gt;E-Waste", _xlpm.loc, "&lt;&gt;Virtual",  _xlpm.loc, "&lt;&gt;Assigned to Employee", _xlpm.loc, "&lt;&gt;Decommisioned", _xlpm.loc, "&lt;&gt;Missing")
)</f>
        <v>0</v>
      </c>
      <c r="C681" s="168">
        <f>_xlfn.LET(_xlpm.loc, ITEquipmentTable[Storage Location],
COUNTIFS(ITSecondTable[Tag], ITSecondTable[[#This Row],[Tag]], _xlpm.loc, "&lt;&gt;E-Waste", _xlpm.loc, "&lt;&gt;Virtual", _xlpm.loc, "&lt;&gt;Decommisioned")
)</f>
        <v>2</v>
      </c>
      <c r="D681" s="168">
        <f>_xlfn.LET(_xlpm.loc, ITEquipmentTable[Storage Location],
COUNTIFS(ITSecondTable[Tag], ITSecondTable[[#This Row],[Tag]], _xlpm.loc, "Missing")
)</f>
        <v>0</v>
      </c>
      <c r="E681" s="168">
        <f>_xlfn.LET(_xlpm.loc, ITEquipmentTable[Storage Location],
COUNTIFS(ITSecondTable[Tag], ITSecondTable[[#This Row],[Tag]], _xlpm.loc, "In Use") + COUNTIFS(ITSecondTable[Tag], ITSecondTable[[#This Row],[Tag]], _xlpm.loc, "Assigned to Employee")
)</f>
        <v>2</v>
      </c>
      <c r="F681" s="168">
        <f>_xlfn.LET(_xlpm.loc, ITEquipmentTable[Storage Location],
COUNTIFS(ITSecondTable[Tag], ITSecondTable[[#This Row],[Tag]], _xlpm.loc, "")
)</f>
        <v>0</v>
      </c>
      <c r="G681" s="168">
        <f>MAX(ITSecondTable[[#This Row],[SQty]] - ITSecondTable[[#This Row],[IQty]], 0)</f>
        <v>0</v>
      </c>
      <c r="H681" s="168">
        <f>MAX(ITSecondTable[[#This Row],[IQty]]-ITSecondTable[[#This Row],[SQty]], 0)</f>
        <v>2</v>
      </c>
      <c r="I681" s="151" t="str">
        <f>IFERROR(_xlfn.TEXTJOIN("~", TRUE, ITEquipmentTable[[#This Row],[Type]],ITEquipmentTable[[#This Row],[Brand]],ITEquipmentTable[[#This Row],[Model]]), "")</f>
        <v>Scanner~Zebra~DS3878</v>
      </c>
      <c r="J681" s="151" t="b">
        <f xml:space="preserve"> _xlfn.IFNA(MATCH( ITSecondTable[[#This Row],[Tag]], StorageTable[Tag], 0)  &gt; -1, FALSE)</f>
        <v>0</v>
      </c>
      <c r="K681" s="168" t="b">
        <f>COUNTIFS(ITEquipmentTable[Serial], ITEquipmentTable[[#This Row],[Serial]], ITEquipmentTable[Serial], "&lt;&gt;N/A") &gt; 1</f>
        <v>0</v>
      </c>
      <c r="L681" s="168" t="b">
        <f>COUNTIFS(ITEquipmentTable[Name], ITEquipmentTable[[#This Row],[Name]], ITEquipmentTable[Name], "&lt;&gt;&lt;Unassigned&gt;",  ITEquipmentTable[Name], "&lt;&gt;N/A") &gt; 1</f>
        <v>0</v>
      </c>
      <c r="M681" s="168" t="b">
        <f>AND(COUNTIFS(ITEquipmentTable[IPv4 Address], ITEquipmentTable[[#This Row],[IPv4 Address]]) &gt; 1, ITEquipmentTable[[#This Row],[IPv4 Address]] &lt;&gt; "DHCP",  ITEquipmentTable[[#This Row],[IPv4 Address]] &lt;&gt; "N/A")</f>
        <v>0</v>
      </c>
    </row>
    <row r="682" spans="1:13" x14ac:dyDescent="0.2">
      <c r="A682" s="168">
        <f>IF(LEN(ITSecondTable[[#This Row],[Tag]]) &gt; 0, _xlfn.XLOOKUP(ITSecondTable[[#This Row],[Tag]],StorageTable[Tag], StorageTable[In Storage - Count Total], "Err", 0, 1), 0)</f>
        <v>30</v>
      </c>
      <c r="B682" s="168">
        <f>_xlfn.LET(_xlpm.loc, ITEquipmentTable[Storage Location],
COUNTIFS(ITSecondTable[Tag], ITSecondTable[[#This Row],[Tag]], _xlpm.loc, "&lt;&gt;In Use", _xlpm.loc, "&lt;&gt;",  _xlpm.loc, "&lt;&gt;E-Waste", _xlpm.loc, "&lt;&gt;Virtual",  _xlpm.loc, "&lt;&gt;Assigned to Employee", _xlpm.loc, "&lt;&gt;Decommisioned", _xlpm.loc, "&lt;&gt;Missing")
)</f>
        <v>21</v>
      </c>
      <c r="C682" s="168">
        <f>_xlfn.LET(_xlpm.loc, ITEquipmentTable[Storage Location],
COUNTIFS(ITSecondTable[Tag], ITSecondTable[[#This Row],[Tag]], _xlpm.loc, "&lt;&gt;E-Waste", _xlpm.loc, "&lt;&gt;Virtual", _xlpm.loc, "&lt;&gt;Decommisioned")
)</f>
        <v>33</v>
      </c>
      <c r="D682" s="168">
        <f>_xlfn.LET(_xlpm.loc, ITEquipmentTable[Storage Location],
COUNTIFS(ITSecondTable[Tag], ITSecondTable[[#This Row],[Tag]], _xlpm.loc, "Missing")
)</f>
        <v>0</v>
      </c>
      <c r="E682" s="168">
        <f>_xlfn.LET(_xlpm.loc, ITEquipmentTable[Storage Location],
COUNTIFS(ITSecondTable[Tag], ITSecondTable[[#This Row],[Tag]], _xlpm.loc, "In Use") + COUNTIFS(ITSecondTable[Tag], ITSecondTable[[#This Row],[Tag]], _xlpm.loc, "Assigned to Employee")
)</f>
        <v>12</v>
      </c>
      <c r="F682" s="168">
        <f>_xlfn.LET(_xlpm.loc, ITEquipmentTable[Storage Location],
COUNTIFS(ITSecondTable[Tag], ITSecondTable[[#This Row],[Tag]], _xlpm.loc, "")
)</f>
        <v>0</v>
      </c>
      <c r="G682" s="168">
        <f>MAX(ITSecondTable[[#This Row],[SQty]] - ITSecondTable[[#This Row],[IQty]], 0)</f>
        <v>0</v>
      </c>
      <c r="H682" s="168">
        <f>MAX(ITSecondTable[[#This Row],[IQty]]-ITSecondTable[[#This Row],[SQty]], 0)</f>
        <v>9</v>
      </c>
      <c r="I682" s="151" t="str">
        <f>IFERROR(_xlfn.TEXTJOIN("~", TRUE, ITEquipmentTable[[#This Row],[Type]],ITEquipmentTable[[#This Row],[Brand]],ITEquipmentTable[[#This Row],[Model]]), "")</f>
        <v>Scanner Base~Honeywell~CCB02-100BT-07N</v>
      </c>
      <c r="J682" s="151" t="b">
        <f xml:space="preserve"> _xlfn.IFNA(MATCH( ITSecondTable[[#This Row],[Tag]], StorageTable[Tag], 0)  &gt; -1, FALSE)</f>
        <v>0</v>
      </c>
      <c r="K682" s="168" t="b">
        <f>COUNTIFS(ITEquipmentTable[Serial], ITEquipmentTable[[#This Row],[Serial]], ITEquipmentTable[Serial], "&lt;&gt;N/A") &gt; 1</f>
        <v>0</v>
      </c>
      <c r="L682" s="168" t="b">
        <f>COUNTIFS(ITEquipmentTable[Name], ITEquipmentTable[[#This Row],[Name]], ITEquipmentTable[Name], "&lt;&gt;&lt;Unassigned&gt;",  ITEquipmentTable[Name], "&lt;&gt;N/A") &gt; 1</f>
        <v>0</v>
      </c>
      <c r="M682" s="168" t="b">
        <f>AND(COUNTIFS(ITEquipmentTable[IPv4 Address], ITEquipmentTable[[#This Row],[IPv4 Address]]) &gt; 1, ITEquipmentTable[[#This Row],[IPv4 Address]] &lt;&gt; "DHCP",  ITEquipmentTable[[#This Row],[IPv4 Address]] &lt;&gt; "N/A")</f>
        <v>0</v>
      </c>
    </row>
    <row r="683" spans="1:13" x14ac:dyDescent="0.2">
      <c r="A683" s="168">
        <f>IF(LEN(ITSecondTable[[#This Row],[Tag]]) &gt; 0, _xlfn.XLOOKUP(ITSecondTable[[#This Row],[Tag]],StorageTable[Tag], StorageTable[In Storage - Count Total], "Err", 0, 1), 0)</f>
        <v>9</v>
      </c>
      <c r="B683" s="168">
        <f>_xlfn.LET(_xlpm.loc, ITEquipmentTable[Storage Location],
COUNTIFS(ITSecondTable[Tag], ITSecondTable[[#This Row],[Tag]], _xlpm.loc, "&lt;&gt;In Use", _xlpm.loc, "&lt;&gt;",  _xlpm.loc, "&lt;&gt;E-Waste", _xlpm.loc, "&lt;&gt;Virtual",  _xlpm.loc, "&lt;&gt;Assigned to Employee", _xlpm.loc, "&lt;&gt;Decommisioned", _xlpm.loc, "&lt;&gt;Missing")
)</f>
        <v>11</v>
      </c>
      <c r="C683" s="168">
        <f>_xlfn.LET(_xlpm.loc, ITEquipmentTable[Storage Location],
COUNTIFS(ITSecondTable[Tag], ITSecondTable[[#This Row],[Tag]], _xlpm.loc, "&lt;&gt;E-Waste", _xlpm.loc, "&lt;&gt;Virtual", _xlpm.loc, "&lt;&gt;Decommisioned")
)</f>
        <v>24</v>
      </c>
      <c r="D683" s="168">
        <f>_xlfn.LET(_xlpm.loc, ITEquipmentTable[Storage Location],
COUNTIFS(ITSecondTable[Tag], ITSecondTable[[#This Row],[Tag]], _xlpm.loc, "Missing")
)</f>
        <v>0</v>
      </c>
      <c r="E683" s="168">
        <f>_xlfn.LET(_xlpm.loc, ITEquipmentTable[Storage Location],
COUNTIFS(ITSecondTable[Tag], ITSecondTable[[#This Row],[Tag]], _xlpm.loc, "In Use") + COUNTIFS(ITSecondTable[Tag], ITSecondTable[[#This Row],[Tag]], _xlpm.loc, "Assigned to Employee")
)</f>
        <v>13</v>
      </c>
      <c r="F683" s="168">
        <f>_xlfn.LET(_xlpm.loc, ITEquipmentTable[Storage Location],
COUNTIFS(ITSecondTable[Tag], ITSecondTable[[#This Row],[Tag]], _xlpm.loc, "")
)</f>
        <v>0</v>
      </c>
      <c r="G683" s="168">
        <f>MAX(ITSecondTable[[#This Row],[SQty]] - ITSecondTable[[#This Row],[IQty]], 0)</f>
        <v>2</v>
      </c>
      <c r="H683" s="168">
        <f>MAX(ITSecondTable[[#This Row],[IQty]]-ITSecondTable[[#This Row],[SQty]], 0)</f>
        <v>0</v>
      </c>
      <c r="I683" s="151" t="str">
        <f>IFERROR(_xlfn.TEXTJOIN("~", TRUE, ITEquipmentTable[[#This Row],[Type]],ITEquipmentTable[[#This Row],[Brand]],ITEquipmentTable[[#This Row],[Model]]), "")</f>
        <v>Monitor~HP~HP P224 Monitor</v>
      </c>
      <c r="J683" s="151" t="b">
        <f xml:space="preserve"> _xlfn.IFNA(MATCH( ITSecondTable[[#This Row],[Tag]], StorageTable[Tag], 0)  &gt; -1, FALSE)</f>
        <v>0</v>
      </c>
      <c r="K683" s="168" t="b">
        <f>COUNTIFS(ITEquipmentTable[Serial], ITEquipmentTable[[#This Row],[Serial]], ITEquipmentTable[Serial], "&lt;&gt;N/A") &gt; 1</f>
        <v>0</v>
      </c>
      <c r="L683" s="168" t="b">
        <f>COUNTIFS(ITEquipmentTable[Name], ITEquipmentTable[[#This Row],[Name]], ITEquipmentTable[Name], "&lt;&gt;&lt;Unassigned&gt;",  ITEquipmentTable[Name], "&lt;&gt;N/A") &gt; 1</f>
        <v>0</v>
      </c>
      <c r="M683" s="168" t="b">
        <f>AND(COUNTIFS(ITEquipmentTable[IPv4 Address], ITEquipmentTable[[#This Row],[IPv4 Address]]) &gt; 1, ITEquipmentTable[[#This Row],[IPv4 Address]] &lt;&gt; "DHCP",  ITEquipmentTable[[#This Row],[IPv4 Address]] &lt;&gt; "N/A")</f>
        <v>0</v>
      </c>
    </row>
    <row r="684" spans="1:13" x14ac:dyDescent="0.2">
      <c r="A684" s="168">
        <f>IF(LEN(ITSecondTable[[#This Row],[Tag]]) &gt; 0, _xlfn.XLOOKUP(ITSecondTable[[#This Row],[Tag]],StorageTable[Tag], StorageTable[In Storage - Count Total], "Err", 0, 1), 0)</f>
        <v>9</v>
      </c>
      <c r="B684" s="168">
        <f>_xlfn.LET(_xlpm.loc, ITEquipmentTable[Storage Location],
COUNTIFS(ITSecondTable[Tag], ITSecondTable[[#This Row],[Tag]], _xlpm.loc, "&lt;&gt;In Use", _xlpm.loc, "&lt;&gt;",  _xlpm.loc, "&lt;&gt;E-Waste", _xlpm.loc, "&lt;&gt;Virtual",  _xlpm.loc, "&lt;&gt;Assigned to Employee", _xlpm.loc, "&lt;&gt;Decommisioned", _xlpm.loc, "&lt;&gt;Missing")
)</f>
        <v>11</v>
      </c>
      <c r="C684" s="168">
        <f>_xlfn.LET(_xlpm.loc, ITEquipmentTable[Storage Location],
COUNTIFS(ITSecondTable[Tag], ITSecondTable[[#This Row],[Tag]], _xlpm.loc, "&lt;&gt;E-Waste", _xlpm.loc, "&lt;&gt;Virtual", _xlpm.loc, "&lt;&gt;Decommisioned")
)</f>
        <v>24</v>
      </c>
      <c r="D684" s="168">
        <f>_xlfn.LET(_xlpm.loc, ITEquipmentTable[Storage Location],
COUNTIFS(ITSecondTable[Tag], ITSecondTable[[#This Row],[Tag]], _xlpm.loc, "Missing")
)</f>
        <v>0</v>
      </c>
      <c r="E684" s="168">
        <f>_xlfn.LET(_xlpm.loc, ITEquipmentTable[Storage Location],
COUNTIFS(ITSecondTable[Tag], ITSecondTable[[#This Row],[Tag]], _xlpm.loc, "In Use") + COUNTIFS(ITSecondTable[Tag], ITSecondTable[[#This Row],[Tag]], _xlpm.loc, "Assigned to Employee")
)</f>
        <v>13</v>
      </c>
      <c r="F684" s="168">
        <f>_xlfn.LET(_xlpm.loc, ITEquipmentTable[Storage Location],
COUNTIFS(ITSecondTable[Tag], ITSecondTable[[#This Row],[Tag]], _xlpm.loc, "")
)</f>
        <v>0</v>
      </c>
      <c r="G684" s="168">
        <f>MAX(ITSecondTable[[#This Row],[SQty]] - ITSecondTable[[#This Row],[IQty]], 0)</f>
        <v>2</v>
      </c>
      <c r="H684" s="168">
        <f>MAX(ITSecondTable[[#This Row],[IQty]]-ITSecondTable[[#This Row],[SQty]], 0)</f>
        <v>0</v>
      </c>
      <c r="I684" s="151" t="str">
        <f>IFERROR(_xlfn.TEXTJOIN("~", TRUE, ITEquipmentTable[[#This Row],[Type]],ITEquipmentTable[[#This Row],[Brand]],ITEquipmentTable[[#This Row],[Model]]), "")</f>
        <v>Monitor~HP~HP P224 Monitor</v>
      </c>
      <c r="J684" s="151" t="b">
        <f xml:space="preserve"> _xlfn.IFNA(MATCH( ITSecondTable[[#This Row],[Tag]], StorageTable[Tag], 0)  &gt; -1, FALSE)</f>
        <v>0</v>
      </c>
      <c r="K684" s="168" t="b">
        <f>COUNTIFS(ITEquipmentTable[Serial], ITEquipmentTable[[#This Row],[Serial]], ITEquipmentTable[Serial], "&lt;&gt;N/A") &gt; 1</f>
        <v>0</v>
      </c>
      <c r="L684" s="168" t="b">
        <f>COUNTIFS(ITEquipmentTable[Name], ITEquipmentTable[[#This Row],[Name]], ITEquipmentTable[Name], "&lt;&gt;&lt;Unassigned&gt;",  ITEquipmentTable[Name], "&lt;&gt;N/A") &gt; 1</f>
        <v>0</v>
      </c>
      <c r="M684" s="168" t="b">
        <f>AND(COUNTIFS(ITEquipmentTable[IPv4 Address], ITEquipmentTable[[#This Row],[IPv4 Address]]) &gt; 1, ITEquipmentTable[[#This Row],[IPv4 Address]] &lt;&gt; "DHCP",  ITEquipmentTable[[#This Row],[IPv4 Address]] &lt;&gt; "N/A")</f>
        <v>0</v>
      </c>
    </row>
    <row r="685" spans="1:13" x14ac:dyDescent="0.2">
      <c r="A685" s="168">
        <f>IF(LEN(ITSecondTable[[#This Row],[Tag]]) &gt; 0, _xlfn.XLOOKUP(ITSecondTable[[#This Row],[Tag]],StorageTable[Tag], StorageTable[In Storage - Count Total], "Err", 0, 1), 0)</f>
        <v>9</v>
      </c>
      <c r="B685" s="168">
        <f>_xlfn.LET(_xlpm.loc, ITEquipmentTable[Storage Location],
COUNTIFS(ITSecondTable[Tag], ITSecondTable[[#This Row],[Tag]], _xlpm.loc, "&lt;&gt;In Use", _xlpm.loc, "&lt;&gt;",  _xlpm.loc, "&lt;&gt;E-Waste", _xlpm.loc, "&lt;&gt;Virtual",  _xlpm.loc, "&lt;&gt;Assigned to Employee", _xlpm.loc, "&lt;&gt;Decommisioned", _xlpm.loc, "&lt;&gt;Missing")
)</f>
        <v>11</v>
      </c>
      <c r="C685" s="168">
        <f>_xlfn.LET(_xlpm.loc, ITEquipmentTable[Storage Location],
COUNTIFS(ITSecondTable[Tag], ITSecondTable[[#This Row],[Tag]], _xlpm.loc, "&lt;&gt;E-Waste", _xlpm.loc, "&lt;&gt;Virtual", _xlpm.loc, "&lt;&gt;Decommisioned")
)</f>
        <v>24</v>
      </c>
      <c r="D685" s="168">
        <f>_xlfn.LET(_xlpm.loc, ITEquipmentTable[Storage Location],
COUNTIFS(ITSecondTable[Tag], ITSecondTable[[#This Row],[Tag]], _xlpm.loc, "Missing")
)</f>
        <v>0</v>
      </c>
      <c r="E685" s="168">
        <f>_xlfn.LET(_xlpm.loc, ITEquipmentTable[Storage Location],
COUNTIFS(ITSecondTable[Tag], ITSecondTable[[#This Row],[Tag]], _xlpm.loc, "In Use") + COUNTIFS(ITSecondTable[Tag], ITSecondTable[[#This Row],[Tag]], _xlpm.loc, "Assigned to Employee")
)</f>
        <v>13</v>
      </c>
      <c r="F685" s="168">
        <f>_xlfn.LET(_xlpm.loc, ITEquipmentTable[Storage Location],
COUNTIFS(ITSecondTable[Tag], ITSecondTable[[#This Row],[Tag]], _xlpm.loc, "")
)</f>
        <v>0</v>
      </c>
      <c r="G685" s="168">
        <f>MAX(ITSecondTable[[#This Row],[SQty]] - ITSecondTable[[#This Row],[IQty]], 0)</f>
        <v>2</v>
      </c>
      <c r="H685" s="168">
        <f>MAX(ITSecondTable[[#This Row],[IQty]]-ITSecondTable[[#This Row],[SQty]], 0)</f>
        <v>0</v>
      </c>
      <c r="I685" s="151" t="str">
        <f>IFERROR(_xlfn.TEXTJOIN("~", TRUE, ITEquipmentTable[[#This Row],[Type]],ITEquipmentTable[[#This Row],[Brand]],ITEquipmentTable[[#This Row],[Model]]), "")</f>
        <v>Monitor~HP~HP P224 Monitor</v>
      </c>
      <c r="J685" s="151" t="b">
        <f xml:space="preserve"> _xlfn.IFNA(MATCH( ITSecondTable[[#This Row],[Tag]], StorageTable[Tag], 0)  &gt; -1, FALSE)</f>
        <v>0</v>
      </c>
      <c r="K685" s="168" t="b">
        <f>COUNTIFS(ITEquipmentTable[Serial], ITEquipmentTable[[#This Row],[Serial]], ITEquipmentTable[Serial], "&lt;&gt;N/A") &gt; 1</f>
        <v>0</v>
      </c>
      <c r="L685" s="168" t="b">
        <f>COUNTIFS(ITEquipmentTable[Name], ITEquipmentTable[[#This Row],[Name]], ITEquipmentTable[Name], "&lt;&gt;&lt;Unassigned&gt;",  ITEquipmentTable[Name], "&lt;&gt;N/A") &gt; 1</f>
        <v>0</v>
      </c>
      <c r="M685" s="168" t="b">
        <f>AND(COUNTIFS(ITEquipmentTable[IPv4 Address], ITEquipmentTable[[#This Row],[IPv4 Address]]) &gt; 1, ITEquipmentTable[[#This Row],[IPv4 Address]] &lt;&gt; "DHCP",  ITEquipmentTable[[#This Row],[IPv4 Address]] &lt;&gt; "N/A")</f>
        <v>0</v>
      </c>
    </row>
    <row r="686" spans="1:13" x14ac:dyDescent="0.2">
      <c r="A686" s="168">
        <f>IF(LEN(ITSecondTable[[#This Row],[Tag]]) &gt; 0, _xlfn.XLOOKUP(ITSecondTable[[#This Row],[Tag]],StorageTable[Tag], StorageTable[In Storage - Count Total], "Err", 0, 1), 0)</f>
        <v>18</v>
      </c>
      <c r="B686" s="168">
        <f>_xlfn.LET(_xlpm.loc, ITEquipmentTable[Storage Location],
COUNTIFS(ITSecondTable[Tag], ITSecondTable[[#This Row],[Tag]], _xlpm.loc, "&lt;&gt;In Use", _xlpm.loc, "&lt;&gt;",  _xlpm.loc, "&lt;&gt;E-Waste", _xlpm.loc, "&lt;&gt;Virtual",  _xlpm.loc, "&lt;&gt;Assigned to Employee", _xlpm.loc, "&lt;&gt;Decommisioned", _xlpm.loc, "&lt;&gt;Missing")
)</f>
        <v>11</v>
      </c>
      <c r="C686" s="168">
        <f>_xlfn.LET(_xlpm.loc, ITEquipmentTable[Storage Location],
COUNTIFS(ITSecondTable[Tag], ITSecondTable[[#This Row],[Tag]], _xlpm.loc, "&lt;&gt;E-Waste", _xlpm.loc, "&lt;&gt;Virtual", _xlpm.loc, "&lt;&gt;Decommisioned")
)</f>
        <v>38</v>
      </c>
      <c r="D686" s="168">
        <f>_xlfn.LET(_xlpm.loc, ITEquipmentTable[Storage Location],
COUNTIFS(ITSecondTable[Tag], ITSecondTable[[#This Row],[Tag]], _xlpm.loc, "Missing")
)</f>
        <v>0</v>
      </c>
      <c r="E686" s="168">
        <f>_xlfn.LET(_xlpm.loc, ITEquipmentTable[Storage Location],
COUNTIFS(ITSecondTable[Tag], ITSecondTable[[#This Row],[Tag]], _xlpm.loc, "In Use") + COUNTIFS(ITSecondTable[Tag], ITSecondTable[[#This Row],[Tag]], _xlpm.loc, "Assigned to Employee")
)</f>
        <v>13</v>
      </c>
      <c r="F686" s="168">
        <f>_xlfn.LET(_xlpm.loc, ITEquipmentTable[Storage Location],
COUNTIFS(ITSecondTable[Tag], ITSecondTable[[#This Row],[Tag]], _xlpm.loc, "")
)</f>
        <v>14</v>
      </c>
      <c r="G686" s="168">
        <f>MAX(ITSecondTable[[#This Row],[SQty]] - ITSecondTable[[#This Row],[IQty]], 0)</f>
        <v>0</v>
      </c>
      <c r="H686" s="168">
        <f>MAX(ITSecondTable[[#This Row],[IQty]]-ITSecondTable[[#This Row],[SQty]], 0)</f>
        <v>7</v>
      </c>
      <c r="I686" s="151" t="str">
        <f>IFERROR(_xlfn.TEXTJOIN("~", TRUE, ITEquipmentTable[[#This Row],[Type]],ITEquipmentTable[[#This Row],[Brand]],ITEquipmentTable[[#This Row],[Model]]), "")</f>
        <v>Scanner~Honeywell~1911i</v>
      </c>
      <c r="J686" s="151" t="b">
        <f xml:space="preserve"> _xlfn.IFNA(MATCH( ITSecondTable[[#This Row],[Tag]], StorageTable[Tag], 0)  &gt; -1, FALSE)</f>
        <v>0</v>
      </c>
      <c r="K686" s="168" t="b">
        <f>COUNTIFS(ITEquipmentTable[Serial], ITEquipmentTable[[#This Row],[Serial]], ITEquipmentTable[Serial], "&lt;&gt;N/A") &gt; 1</f>
        <v>0</v>
      </c>
      <c r="L686" s="168" t="b">
        <f>COUNTIFS(ITEquipmentTable[Name], ITEquipmentTable[[#This Row],[Name]], ITEquipmentTable[Name], "&lt;&gt;&lt;Unassigned&gt;",  ITEquipmentTable[Name], "&lt;&gt;N/A") &gt; 1</f>
        <v>0</v>
      </c>
      <c r="M686" s="168" t="b">
        <f>AND(COUNTIFS(ITEquipmentTable[IPv4 Address], ITEquipmentTable[[#This Row],[IPv4 Address]]) &gt; 1, ITEquipmentTable[[#This Row],[IPv4 Address]] &lt;&gt; "DHCP",  ITEquipmentTable[[#This Row],[IPv4 Address]] &lt;&gt; "N/A")</f>
        <v>0</v>
      </c>
    </row>
    <row r="687" spans="1:13" x14ac:dyDescent="0.2">
      <c r="A687" s="168">
        <f>IF(LEN(ITSecondTable[[#This Row],[Tag]]) &gt; 0, _xlfn.XLOOKUP(ITSecondTable[[#This Row],[Tag]],StorageTable[Tag], StorageTable[In Storage - Count Total], "Err", 0, 1), 0)</f>
        <v>8</v>
      </c>
      <c r="B687" s="168">
        <f>_xlfn.LET(_xlpm.loc, ITEquipmentTable[Storage Location],
COUNTIFS(ITSecondTable[Tag], ITSecondTable[[#This Row],[Tag]], _xlpm.loc, "&lt;&gt;In Use", _xlpm.loc, "&lt;&gt;",  _xlpm.loc, "&lt;&gt;E-Waste", _xlpm.loc, "&lt;&gt;Virtual",  _xlpm.loc, "&lt;&gt;Assigned to Employee", _xlpm.loc, "&lt;&gt;Decommisioned", _xlpm.loc, "&lt;&gt;Missing")
)</f>
        <v>9</v>
      </c>
      <c r="C687" s="168">
        <f>_xlfn.LET(_xlpm.loc, ITEquipmentTable[Storage Location],
COUNTIFS(ITSecondTable[Tag], ITSecondTable[[#This Row],[Tag]], _xlpm.loc, "&lt;&gt;E-Waste", _xlpm.loc, "&lt;&gt;Virtual", _xlpm.loc, "&lt;&gt;Decommisioned")
)</f>
        <v>40</v>
      </c>
      <c r="D687" s="168">
        <f>_xlfn.LET(_xlpm.loc, ITEquipmentTable[Storage Location],
COUNTIFS(ITSecondTable[Tag], ITSecondTable[[#This Row],[Tag]], _xlpm.loc, "Missing")
)</f>
        <v>0</v>
      </c>
      <c r="E687" s="168">
        <f>_xlfn.LET(_xlpm.loc, ITEquipmentTable[Storage Location],
COUNTIFS(ITSecondTable[Tag], ITSecondTable[[#This Row],[Tag]], _xlpm.loc, "In Use") + COUNTIFS(ITSecondTable[Tag], ITSecondTable[[#This Row],[Tag]], _xlpm.loc, "Assigned to Employee")
)</f>
        <v>23</v>
      </c>
      <c r="F687" s="168">
        <f>_xlfn.LET(_xlpm.loc, ITEquipmentTable[Storage Location],
COUNTIFS(ITSecondTable[Tag], ITSecondTable[[#This Row],[Tag]], _xlpm.loc, "")
)</f>
        <v>8</v>
      </c>
      <c r="G687" s="168">
        <f>MAX(ITSecondTable[[#This Row],[SQty]] - ITSecondTable[[#This Row],[IQty]], 0)</f>
        <v>1</v>
      </c>
      <c r="H687" s="168">
        <f>MAX(ITSecondTable[[#This Row],[IQty]]-ITSecondTable[[#This Row],[SQty]], 0)</f>
        <v>0</v>
      </c>
      <c r="I687" s="151" t="str">
        <f>IFERROR(_xlfn.TEXTJOIN("~", TRUE, ITEquipmentTable[[#This Row],[Type]],ITEquipmentTable[[#This Row],[Brand]],ITEquipmentTable[[#This Row],[Model]]), "")</f>
        <v>Printer~Sato~CL4NX</v>
      </c>
      <c r="J687" s="151" t="b">
        <f xml:space="preserve"> _xlfn.IFNA(MATCH( ITSecondTable[[#This Row],[Tag]], StorageTable[Tag], 0)  &gt; -1, FALSE)</f>
        <v>0</v>
      </c>
      <c r="K687" s="168" t="b">
        <f>COUNTIFS(ITEquipmentTable[Serial], ITEquipmentTable[[#This Row],[Serial]], ITEquipmentTable[Serial], "&lt;&gt;N/A") &gt; 1</f>
        <v>0</v>
      </c>
      <c r="L687" s="168" t="b">
        <f>COUNTIFS(ITEquipmentTable[Name], ITEquipmentTable[[#This Row],[Name]], ITEquipmentTable[Name], "&lt;&gt;&lt;Unassigned&gt;",  ITEquipmentTable[Name], "&lt;&gt;N/A") &gt; 1</f>
        <v>0</v>
      </c>
      <c r="M687" s="168" t="b">
        <f>AND(COUNTIFS(ITEquipmentTable[IPv4 Address], ITEquipmentTable[[#This Row],[IPv4 Address]]) &gt; 1, ITEquipmentTable[[#This Row],[IPv4 Address]] &lt;&gt; "DHCP",  ITEquipmentTable[[#This Row],[IPv4 Address]] &lt;&gt; "N/A")</f>
        <v>0</v>
      </c>
    </row>
    <row r="688" spans="1:13" x14ac:dyDescent="0.2">
      <c r="A688" s="168">
        <f>IF(LEN(ITSecondTable[[#This Row],[Tag]]) &gt; 0, _xlfn.XLOOKUP(ITSecondTable[[#This Row],[Tag]],StorageTable[Tag], StorageTable[In Storage - Count Total], "Err", 0, 1), 0)</f>
        <v>18</v>
      </c>
      <c r="B688" s="168">
        <f>_xlfn.LET(_xlpm.loc, ITEquipmentTable[Storage Location],
COUNTIFS(ITSecondTable[Tag], ITSecondTable[[#This Row],[Tag]], _xlpm.loc, "&lt;&gt;In Use", _xlpm.loc, "&lt;&gt;",  _xlpm.loc, "&lt;&gt;E-Waste", _xlpm.loc, "&lt;&gt;Virtual",  _xlpm.loc, "&lt;&gt;Assigned to Employee", _xlpm.loc, "&lt;&gt;Decommisioned", _xlpm.loc, "&lt;&gt;Missing")
)</f>
        <v>11</v>
      </c>
      <c r="C688" s="168">
        <f>_xlfn.LET(_xlpm.loc, ITEquipmentTable[Storage Location],
COUNTIFS(ITSecondTable[Tag], ITSecondTable[[#This Row],[Tag]], _xlpm.loc, "&lt;&gt;E-Waste", _xlpm.loc, "&lt;&gt;Virtual", _xlpm.loc, "&lt;&gt;Decommisioned")
)</f>
        <v>38</v>
      </c>
      <c r="D688" s="168">
        <f>_xlfn.LET(_xlpm.loc, ITEquipmentTable[Storage Location],
COUNTIFS(ITSecondTable[Tag], ITSecondTable[[#This Row],[Tag]], _xlpm.loc, "Missing")
)</f>
        <v>0</v>
      </c>
      <c r="E688" s="168">
        <f>_xlfn.LET(_xlpm.loc, ITEquipmentTable[Storage Location],
COUNTIFS(ITSecondTable[Tag], ITSecondTable[[#This Row],[Tag]], _xlpm.loc, "In Use") + COUNTIFS(ITSecondTable[Tag], ITSecondTable[[#This Row],[Tag]], _xlpm.loc, "Assigned to Employee")
)</f>
        <v>13</v>
      </c>
      <c r="F688" s="168">
        <f>_xlfn.LET(_xlpm.loc, ITEquipmentTable[Storage Location],
COUNTIFS(ITSecondTable[Tag], ITSecondTable[[#This Row],[Tag]], _xlpm.loc, "")
)</f>
        <v>14</v>
      </c>
      <c r="G688" s="168">
        <f>MAX(ITSecondTable[[#This Row],[SQty]] - ITSecondTable[[#This Row],[IQty]], 0)</f>
        <v>0</v>
      </c>
      <c r="H688" s="168">
        <f>MAX(ITSecondTable[[#This Row],[IQty]]-ITSecondTable[[#This Row],[SQty]], 0)</f>
        <v>7</v>
      </c>
      <c r="I688" s="151" t="str">
        <f>IFERROR(_xlfn.TEXTJOIN("~", TRUE, ITEquipmentTable[[#This Row],[Type]],ITEquipmentTable[[#This Row],[Brand]],ITEquipmentTable[[#This Row],[Model]]), "")</f>
        <v>Scanner~Honeywell~1911i</v>
      </c>
      <c r="J688" s="151" t="b">
        <f xml:space="preserve"> _xlfn.IFNA(MATCH( ITSecondTable[[#This Row],[Tag]], StorageTable[Tag], 0)  &gt; -1, FALSE)</f>
        <v>0</v>
      </c>
      <c r="K688" s="168" t="b">
        <f>COUNTIFS(ITEquipmentTable[Serial], ITEquipmentTable[[#This Row],[Serial]], ITEquipmentTable[Serial], "&lt;&gt;N/A") &gt; 1</f>
        <v>0</v>
      </c>
      <c r="L688" s="168" t="b">
        <f>COUNTIFS(ITEquipmentTable[Name], ITEquipmentTable[[#This Row],[Name]], ITEquipmentTable[Name], "&lt;&gt;&lt;Unassigned&gt;",  ITEquipmentTable[Name], "&lt;&gt;N/A") &gt; 1</f>
        <v>0</v>
      </c>
      <c r="M688" s="168" t="b">
        <f>AND(COUNTIFS(ITEquipmentTable[IPv4 Address], ITEquipmentTable[[#This Row],[IPv4 Address]]) &gt; 1, ITEquipmentTable[[#This Row],[IPv4 Address]] &lt;&gt; "DHCP",  ITEquipmentTable[[#This Row],[IPv4 Address]] &lt;&gt; "N/A")</f>
        <v>0</v>
      </c>
    </row>
    <row r="689" spans="1:13" x14ac:dyDescent="0.2">
      <c r="A689" s="168">
        <f>IF(LEN(ITSecondTable[[#This Row],[Tag]]) &gt; 0, _xlfn.XLOOKUP(ITSecondTable[[#This Row],[Tag]],StorageTable[Tag], StorageTable[In Storage - Count Total], "Err", 0, 1), 0)</f>
        <v>18</v>
      </c>
      <c r="B689" s="168">
        <f>_xlfn.LET(_xlpm.loc, ITEquipmentTable[Storage Location],
COUNTIFS(ITSecondTable[Tag], ITSecondTable[[#This Row],[Tag]], _xlpm.loc, "&lt;&gt;In Use", _xlpm.loc, "&lt;&gt;",  _xlpm.loc, "&lt;&gt;E-Waste", _xlpm.loc, "&lt;&gt;Virtual",  _xlpm.loc, "&lt;&gt;Assigned to Employee", _xlpm.loc, "&lt;&gt;Decommisioned", _xlpm.loc, "&lt;&gt;Missing")
)</f>
        <v>11</v>
      </c>
      <c r="C689" s="168">
        <f>_xlfn.LET(_xlpm.loc, ITEquipmentTable[Storage Location],
COUNTIFS(ITSecondTable[Tag], ITSecondTable[[#This Row],[Tag]], _xlpm.loc, "&lt;&gt;E-Waste", _xlpm.loc, "&lt;&gt;Virtual", _xlpm.loc, "&lt;&gt;Decommisioned")
)</f>
        <v>38</v>
      </c>
      <c r="D689" s="168">
        <f>_xlfn.LET(_xlpm.loc, ITEquipmentTable[Storage Location],
COUNTIFS(ITSecondTable[Tag], ITSecondTable[[#This Row],[Tag]], _xlpm.loc, "Missing")
)</f>
        <v>0</v>
      </c>
      <c r="E689" s="168">
        <f>_xlfn.LET(_xlpm.loc, ITEquipmentTable[Storage Location],
COUNTIFS(ITSecondTable[Tag], ITSecondTable[[#This Row],[Tag]], _xlpm.loc, "In Use") + COUNTIFS(ITSecondTable[Tag], ITSecondTable[[#This Row],[Tag]], _xlpm.loc, "Assigned to Employee")
)</f>
        <v>13</v>
      </c>
      <c r="F689" s="168">
        <f>_xlfn.LET(_xlpm.loc, ITEquipmentTable[Storage Location],
COUNTIFS(ITSecondTable[Tag], ITSecondTable[[#This Row],[Tag]], _xlpm.loc, "")
)</f>
        <v>14</v>
      </c>
      <c r="G689" s="168">
        <f>MAX(ITSecondTable[[#This Row],[SQty]] - ITSecondTable[[#This Row],[IQty]], 0)</f>
        <v>0</v>
      </c>
      <c r="H689" s="168">
        <f>MAX(ITSecondTable[[#This Row],[IQty]]-ITSecondTable[[#This Row],[SQty]], 0)</f>
        <v>7</v>
      </c>
      <c r="I689" s="151" t="str">
        <f>IFERROR(_xlfn.TEXTJOIN("~", TRUE, ITEquipmentTable[[#This Row],[Type]],ITEquipmentTable[[#This Row],[Brand]],ITEquipmentTable[[#This Row],[Model]]), "")</f>
        <v>Scanner~Honeywell~1911i</v>
      </c>
      <c r="J689" s="151" t="b">
        <f xml:space="preserve"> _xlfn.IFNA(MATCH( ITSecondTable[[#This Row],[Tag]], StorageTable[Tag], 0)  &gt; -1, FALSE)</f>
        <v>0</v>
      </c>
      <c r="K689" s="168" t="b">
        <f>COUNTIFS(ITEquipmentTable[Serial], ITEquipmentTable[[#This Row],[Serial]], ITEquipmentTable[Serial], "&lt;&gt;N/A") &gt; 1</f>
        <v>0</v>
      </c>
      <c r="L689" s="168" t="b">
        <f>COUNTIFS(ITEquipmentTable[Name], ITEquipmentTable[[#This Row],[Name]], ITEquipmentTable[Name], "&lt;&gt;&lt;Unassigned&gt;",  ITEquipmentTable[Name], "&lt;&gt;N/A") &gt; 1</f>
        <v>0</v>
      </c>
      <c r="M689" s="168" t="b">
        <f>AND(COUNTIFS(ITEquipmentTable[IPv4 Address], ITEquipmentTable[[#This Row],[IPv4 Address]]) &gt; 1, ITEquipmentTable[[#This Row],[IPv4 Address]] &lt;&gt; "DHCP",  ITEquipmentTable[[#This Row],[IPv4 Address]] &lt;&gt; "N/A")</f>
        <v>0</v>
      </c>
    </row>
    <row r="690" spans="1:13" x14ac:dyDescent="0.2">
      <c r="A690" s="168">
        <f>IF(LEN(ITSecondTable[[#This Row],[Tag]]) &gt; 0, _xlfn.XLOOKUP(ITSecondTable[[#This Row],[Tag]],StorageTable[Tag], StorageTable[In Storage - Count Total], "Err", 0, 1), 0)</f>
        <v>30</v>
      </c>
      <c r="B690" s="168">
        <f>_xlfn.LET(_xlpm.loc, ITEquipmentTable[Storage Location],
COUNTIFS(ITSecondTable[Tag], ITSecondTable[[#This Row],[Tag]], _xlpm.loc, "&lt;&gt;In Use", _xlpm.loc, "&lt;&gt;",  _xlpm.loc, "&lt;&gt;E-Waste", _xlpm.loc, "&lt;&gt;Virtual",  _xlpm.loc, "&lt;&gt;Assigned to Employee", _xlpm.loc, "&lt;&gt;Decommisioned", _xlpm.loc, "&lt;&gt;Missing")
)</f>
        <v>21</v>
      </c>
      <c r="C690" s="168">
        <f>_xlfn.LET(_xlpm.loc, ITEquipmentTable[Storage Location],
COUNTIFS(ITSecondTable[Tag], ITSecondTable[[#This Row],[Tag]], _xlpm.loc, "&lt;&gt;E-Waste", _xlpm.loc, "&lt;&gt;Virtual", _xlpm.loc, "&lt;&gt;Decommisioned")
)</f>
        <v>33</v>
      </c>
      <c r="D690" s="168">
        <f>_xlfn.LET(_xlpm.loc, ITEquipmentTable[Storage Location],
COUNTIFS(ITSecondTable[Tag], ITSecondTable[[#This Row],[Tag]], _xlpm.loc, "Missing")
)</f>
        <v>0</v>
      </c>
      <c r="E690" s="168">
        <f>_xlfn.LET(_xlpm.loc, ITEquipmentTable[Storage Location],
COUNTIFS(ITSecondTable[Tag], ITSecondTable[[#This Row],[Tag]], _xlpm.loc, "In Use") + COUNTIFS(ITSecondTable[Tag], ITSecondTable[[#This Row],[Tag]], _xlpm.loc, "Assigned to Employee")
)</f>
        <v>12</v>
      </c>
      <c r="F690" s="168">
        <f>_xlfn.LET(_xlpm.loc, ITEquipmentTable[Storage Location],
COUNTIFS(ITSecondTable[Tag], ITSecondTable[[#This Row],[Tag]], _xlpm.loc, "")
)</f>
        <v>0</v>
      </c>
      <c r="G690" s="168">
        <f>MAX(ITSecondTable[[#This Row],[SQty]] - ITSecondTable[[#This Row],[IQty]], 0)</f>
        <v>0</v>
      </c>
      <c r="H690" s="168">
        <f>MAX(ITSecondTable[[#This Row],[IQty]]-ITSecondTable[[#This Row],[SQty]], 0)</f>
        <v>9</v>
      </c>
      <c r="I690" s="151" t="str">
        <f>IFERROR(_xlfn.TEXTJOIN("~", TRUE, ITEquipmentTable[[#This Row],[Type]],ITEquipmentTable[[#This Row],[Brand]],ITEquipmentTable[[#This Row],[Model]]), "")</f>
        <v>Scanner Base~Honeywell~CCB02-100BT-07N</v>
      </c>
      <c r="J690" s="151" t="b">
        <f xml:space="preserve"> _xlfn.IFNA(MATCH( ITSecondTable[[#This Row],[Tag]], StorageTable[Tag], 0)  &gt; -1, FALSE)</f>
        <v>0</v>
      </c>
      <c r="K690" s="168" t="b">
        <f>COUNTIFS(ITEquipmentTable[Serial], ITEquipmentTable[[#This Row],[Serial]], ITEquipmentTable[Serial], "&lt;&gt;N/A") &gt; 1</f>
        <v>0</v>
      </c>
      <c r="L690" s="168" t="b">
        <f>COUNTIFS(ITEquipmentTable[Name], ITEquipmentTable[[#This Row],[Name]], ITEquipmentTable[Name], "&lt;&gt;&lt;Unassigned&gt;",  ITEquipmentTable[Name], "&lt;&gt;N/A") &gt; 1</f>
        <v>0</v>
      </c>
      <c r="M690" s="168" t="b">
        <f>AND(COUNTIFS(ITEquipmentTable[IPv4 Address], ITEquipmentTable[[#This Row],[IPv4 Address]]) &gt; 1, ITEquipmentTable[[#This Row],[IPv4 Address]] &lt;&gt; "DHCP",  ITEquipmentTable[[#This Row],[IPv4 Address]] &lt;&gt; "N/A")</f>
        <v>0</v>
      </c>
    </row>
    <row r="691" spans="1:13" x14ac:dyDescent="0.2">
      <c r="A691" s="168">
        <f>IF(LEN(ITSecondTable[[#This Row],[Tag]]) &gt; 0, _xlfn.XLOOKUP(ITSecondTable[[#This Row],[Tag]],StorageTable[Tag], StorageTable[In Storage - Count Total], "Err", 0, 1), 0)</f>
        <v>1</v>
      </c>
      <c r="B691" s="168">
        <f>_xlfn.LET(_xlpm.loc, ITEquipmentTable[Storage Location],
COUNTIFS(ITSecondTable[Tag], ITSecondTable[[#This Row],[Tag]], _xlpm.loc, "&lt;&gt;In Use", _xlpm.loc, "&lt;&gt;",  _xlpm.loc, "&lt;&gt;E-Waste", _xlpm.loc, "&lt;&gt;Virtual",  _xlpm.loc, "&lt;&gt;Assigned to Employee", _xlpm.loc, "&lt;&gt;Decommisioned", _xlpm.loc, "&lt;&gt;Missing")
)</f>
        <v>3</v>
      </c>
      <c r="C691" s="168">
        <f>_xlfn.LET(_xlpm.loc, ITEquipmentTable[Storage Location],
COUNTIFS(ITSecondTable[Tag], ITSecondTable[[#This Row],[Tag]], _xlpm.loc, "&lt;&gt;E-Waste", _xlpm.loc, "&lt;&gt;Virtual", _xlpm.loc, "&lt;&gt;Decommisioned")
)</f>
        <v>3</v>
      </c>
      <c r="D691" s="168">
        <f>_xlfn.LET(_xlpm.loc, ITEquipmentTable[Storage Location],
COUNTIFS(ITSecondTable[Tag], ITSecondTable[[#This Row],[Tag]], _xlpm.loc, "Missing")
)</f>
        <v>0</v>
      </c>
      <c r="E691" s="168">
        <f>_xlfn.LET(_xlpm.loc, ITEquipmentTable[Storage Location],
COUNTIFS(ITSecondTable[Tag], ITSecondTable[[#This Row],[Tag]], _xlpm.loc, "In Use") + COUNTIFS(ITSecondTable[Tag], ITSecondTable[[#This Row],[Tag]], _xlpm.loc, "Assigned to Employee")
)</f>
        <v>0</v>
      </c>
      <c r="F691" s="168">
        <f>_xlfn.LET(_xlpm.loc, ITEquipmentTable[Storage Location],
COUNTIFS(ITSecondTable[Tag], ITSecondTable[[#This Row],[Tag]], _xlpm.loc, "")
)</f>
        <v>0</v>
      </c>
      <c r="G691" s="168">
        <f>MAX(ITSecondTable[[#This Row],[SQty]] - ITSecondTable[[#This Row],[IQty]], 0)</f>
        <v>2</v>
      </c>
      <c r="H691" s="168">
        <f>MAX(ITSecondTable[[#This Row],[IQty]]-ITSecondTable[[#This Row],[SQty]], 0)</f>
        <v>0</v>
      </c>
      <c r="I691" s="151" t="str">
        <f>IFERROR(_xlfn.TEXTJOIN("~", TRUE, ITEquipmentTable[[#This Row],[Type]],ITEquipmentTable[[#This Row],[Brand]],ITEquipmentTable[[#This Row],[Model]]), "")</f>
        <v>Desktop~HP~HP rp5800 Retail System</v>
      </c>
      <c r="J691" s="151" t="b">
        <f xml:space="preserve"> _xlfn.IFNA(MATCH( ITSecondTable[[#This Row],[Tag]], StorageTable[Tag], 0)  &gt; -1, FALSE)</f>
        <v>0</v>
      </c>
      <c r="K691" s="168" t="b">
        <f>COUNTIFS(ITEquipmentTable[Serial], ITEquipmentTable[[#This Row],[Serial]], ITEquipmentTable[Serial], "&lt;&gt;N/A") &gt; 1</f>
        <v>0</v>
      </c>
      <c r="L691" s="168" t="b">
        <f>COUNTIFS(ITEquipmentTable[Name], ITEquipmentTable[[#This Row],[Name]], ITEquipmentTable[Name], "&lt;&gt;&lt;Unassigned&gt;",  ITEquipmentTable[Name], "&lt;&gt;N/A") &gt; 1</f>
        <v>0</v>
      </c>
      <c r="M691" s="168" t="b">
        <f>AND(COUNTIFS(ITEquipmentTable[IPv4 Address], ITEquipmentTable[[#This Row],[IPv4 Address]]) &gt; 1, ITEquipmentTable[[#This Row],[IPv4 Address]] &lt;&gt; "DHCP",  ITEquipmentTable[[#This Row],[IPv4 Address]] &lt;&gt; "N/A")</f>
        <v>0</v>
      </c>
    </row>
    <row r="692" spans="1:13" x14ac:dyDescent="0.2">
      <c r="A692" s="168">
        <f>IF(LEN(ITSecondTable[[#This Row],[Tag]]) &gt; 0, _xlfn.XLOOKUP(ITSecondTable[[#This Row],[Tag]],StorageTable[Tag], StorageTable[In Storage - Count Total], "Err", 0, 1), 0)</f>
        <v>1</v>
      </c>
      <c r="B692" s="168">
        <f>_xlfn.LET(_xlpm.loc, ITEquipmentTable[Storage Location],
COUNTIFS(ITSecondTable[Tag], ITSecondTable[[#This Row],[Tag]], _xlpm.loc, "&lt;&gt;In Use", _xlpm.loc, "&lt;&gt;",  _xlpm.loc, "&lt;&gt;E-Waste", _xlpm.loc, "&lt;&gt;Virtual",  _xlpm.loc, "&lt;&gt;Assigned to Employee", _xlpm.loc, "&lt;&gt;Decommisioned", _xlpm.loc, "&lt;&gt;Missing")
)</f>
        <v>3</v>
      </c>
      <c r="C692" s="168">
        <f>_xlfn.LET(_xlpm.loc, ITEquipmentTable[Storage Location],
COUNTIFS(ITSecondTable[Tag], ITSecondTable[[#This Row],[Tag]], _xlpm.loc, "&lt;&gt;E-Waste", _xlpm.loc, "&lt;&gt;Virtual", _xlpm.loc, "&lt;&gt;Decommisioned")
)</f>
        <v>3</v>
      </c>
      <c r="D692" s="168">
        <f>_xlfn.LET(_xlpm.loc, ITEquipmentTable[Storage Location],
COUNTIFS(ITSecondTable[Tag], ITSecondTable[[#This Row],[Tag]], _xlpm.loc, "Missing")
)</f>
        <v>0</v>
      </c>
      <c r="E692" s="168">
        <f>_xlfn.LET(_xlpm.loc, ITEquipmentTable[Storage Location],
COUNTIFS(ITSecondTable[Tag], ITSecondTable[[#This Row],[Tag]], _xlpm.loc, "In Use") + COUNTIFS(ITSecondTable[Tag], ITSecondTable[[#This Row],[Tag]], _xlpm.loc, "Assigned to Employee")
)</f>
        <v>0</v>
      </c>
      <c r="F692" s="168">
        <f>_xlfn.LET(_xlpm.loc, ITEquipmentTable[Storage Location],
COUNTIFS(ITSecondTable[Tag], ITSecondTable[[#This Row],[Tag]], _xlpm.loc, "")
)</f>
        <v>0</v>
      </c>
      <c r="G692" s="168">
        <f>MAX(ITSecondTable[[#This Row],[SQty]] - ITSecondTable[[#This Row],[IQty]], 0)</f>
        <v>2</v>
      </c>
      <c r="H692" s="168">
        <f>MAX(ITSecondTable[[#This Row],[IQty]]-ITSecondTable[[#This Row],[SQty]], 0)</f>
        <v>0</v>
      </c>
      <c r="I692" s="151" t="str">
        <f>IFERROR(_xlfn.TEXTJOIN("~", TRUE, ITEquipmentTable[[#This Row],[Type]],ITEquipmentTable[[#This Row],[Brand]],ITEquipmentTable[[#This Row],[Model]]), "")</f>
        <v>Desktop~HP~HP rp5800 Retail System</v>
      </c>
      <c r="J692" s="151" t="b">
        <f xml:space="preserve"> _xlfn.IFNA(MATCH( ITSecondTable[[#This Row],[Tag]], StorageTable[Tag], 0)  &gt; -1, FALSE)</f>
        <v>0</v>
      </c>
      <c r="K692" s="168" t="b">
        <f>COUNTIFS(ITEquipmentTable[Serial], ITEquipmentTable[[#This Row],[Serial]], ITEquipmentTable[Serial], "&lt;&gt;N/A") &gt; 1</f>
        <v>0</v>
      </c>
      <c r="L692" s="168" t="b">
        <f>COUNTIFS(ITEquipmentTable[Name], ITEquipmentTable[[#This Row],[Name]], ITEquipmentTable[Name], "&lt;&gt;&lt;Unassigned&gt;",  ITEquipmentTable[Name], "&lt;&gt;N/A") &gt; 1</f>
        <v>0</v>
      </c>
      <c r="M692" s="168" t="b">
        <f>AND(COUNTIFS(ITEquipmentTable[IPv4 Address], ITEquipmentTable[[#This Row],[IPv4 Address]]) &gt; 1, ITEquipmentTable[[#This Row],[IPv4 Address]] &lt;&gt; "DHCP",  ITEquipmentTable[[#This Row],[IPv4 Address]] &lt;&gt; "N/A")</f>
        <v>0</v>
      </c>
    </row>
    <row r="693" spans="1:13" x14ac:dyDescent="0.2">
      <c r="A693" s="168">
        <f>IF(LEN(ITSecondTable[[#This Row],[Tag]]) &gt; 0, _xlfn.XLOOKUP(ITSecondTable[[#This Row],[Tag]],StorageTable[Tag], StorageTable[In Storage - Count Total], "Err", 0, 1), 0)</f>
        <v>8</v>
      </c>
      <c r="B693" s="168">
        <f>_xlfn.LET(_xlpm.loc, ITEquipmentTable[Storage Location],
COUNTIFS(ITSecondTable[Tag], ITSecondTable[[#This Row],[Tag]], _xlpm.loc, "&lt;&gt;In Use", _xlpm.loc, "&lt;&gt;",  _xlpm.loc, "&lt;&gt;E-Waste", _xlpm.loc, "&lt;&gt;Virtual",  _xlpm.loc, "&lt;&gt;Assigned to Employee", _xlpm.loc, "&lt;&gt;Decommisioned", _xlpm.loc, "&lt;&gt;Missing")
)</f>
        <v>9</v>
      </c>
      <c r="C693" s="168">
        <f>_xlfn.LET(_xlpm.loc, ITEquipmentTable[Storage Location],
COUNTIFS(ITSecondTable[Tag], ITSecondTable[[#This Row],[Tag]], _xlpm.loc, "&lt;&gt;E-Waste", _xlpm.loc, "&lt;&gt;Virtual", _xlpm.loc, "&lt;&gt;Decommisioned")
)</f>
        <v>40</v>
      </c>
      <c r="D693" s="168">
        <f>_xlfn.LET(_xlpm.loc, ITEquipmentTable[Storage Location],
COUNTIFS(ITSecondTable[Tag], ITSecondTable[[#This Row],[Tag]], _xlpm.loc, "Missing")
)</f>
        <v>0</v>
      </c>
      <c r="E693" s="168">
        <f>_xlfn.LET(_xlpm.loc, ITEquipmentTable[Storage Location],
COUNTIFS(ITSecondTable[Tag], ITSecondTable[[#This Row],[Tag]], _xlpm.loc, "In Use") + COUNTIFS(ITSecondTable[Tag], ITSecondTable[[#This Row],[Tag]], _xlpm.loc, "Assigned to Employee")
)</f>
        <v>23</v>
      </c>
      <c r="F693" s="168">
        <f>_xlfn.LET(_xlpm.loc, ITEquipmentTable[Storage Location],
COUNTIFS(ITSecondTable[Tag], ITSecondTable[[#This Row],[Tag]], _xlpm.loc, "")
)</f>
        <v>8</v>
      </c>
      <c r="G693" s="168">
        <f>MAX(ITSecondTable[[#This Row],[SQty]] - ITSecondTable[[#This Row],[IQty]], 0)</f>
        <v>1</v>
      </c>
      <c r="H693" s="168">
        <f>MAX(ITSecondTable[[#This Row],[IQty]]-ITSecondTable[[#This Row],[SQty]], 0)</f>
        <v>0</v>
      </c>
      <c r="I693" s="151" t="str">
        <f>IFERROR(_xlfn.TEXTJOIN("~", TRUE, ITEquipmentTable[[#This Row],[Type]],ITEquipmentTable[[#This Row],[Brand]],ITEquipmentTable[[#This Row],[Model]]), "")</f>
        <v>Printer~Sato~CL4NX</v>
      </c>
      <c r="J693" s="151" t="b">
        <f xml:space="preserve"> _xlfn.IFNA(MATCH( ITSecondTable[[#This Row],[Tag]], StorageTable[Tag], 0)  &gt; -1, FALSE)</f>
        <v>0</v>
      </c>
      <c r="K693" s="168" t="b">
        <f>COUNTIFS(ITEquipmentTable[Serial], ITEquipmentTable[[#This Row],[Serial]], ITEquipmentTable[Serial], "&lt;&gt;N/A") &gt; 1</f>
        <v>0</v>
      </c>
      <c r="L693" s="168" t="b">
        <f>COUNTIFS(ITEquipmentTable[Name], ITEquipmentTable[[#This Row],[Name]], ITEquipmentTable[Name], "&lt;&gt;&lt;Unassigned&gt;",  ITEquipmentTable[Name], "&lt;&gt;N/A") &gt; 1</f>
        <v>0</v>
      </c>
      <c r="M693" s="168" t="b">
        <f>AND(COUNTIFS(ITEquipmentTable[IPv4 Address], ITEquipmentTable[[#This Row],[IPv4 Address]]) &gt; 1, ITEquipmentTable[[#This Row],[IPv4 Address]] &lt;&gt; "DHCP",  ITEquipmentTable[[#This Row],[IPv4 Address]] &lt;&gt; "N/A")</f>
        <v>0</v>
      </c>
    </row>
    <row r="694" spans="1:13" x14ac:dyDescent="0.2">
      <c r="A694" s="168">
        <f>IF(LEN(ITSecondTable[[#This Row],[Tag]]) &gt; 0, _xlfn.XLOOKUP(ITSecondTable[[#This Row],[Tag]],StorageTable[Tag], StorageTable[In Storage - Count Total], "Err", 0, 1), 0)</f>
        <v>4</v>
      </c>
      <c r="B694" s="168">
        <f>_xlfn.LET(_xlpm.loc, ITEquipmentTable[Storage Location],
COUNTIFS(ITSecondTable[Tag], ITSecondTable[[#This Row],[Tag]], _xlpm.loc, "&lt;&gt;In Use", _xlpm.loc, "&lt;&gt;",  _xlpm.loc, "&lt;&gt;E-Waste", _xlpm.loc, "&lt;&gt;Virtual",  _xlpm.loc, "&lt;&gt;Assigned to Employee", _xlpm.loc, "&lt;&gt;Decommisioned", _xlpm.loc, "&lt;&gt;Missing")
)</f>
        <v>3</v>
      </c>
      <c r="C694" s="168">
        <f>_xlfn.LET(_xlpm.loc, ITEquipmentTable[Storage Location],
COUNTIFS(ITSecondTable[Tag], ITSecondTable[[#This Row],[Tag]], _xlpm.loc, "&lt;&gt;E-Waste", _xlpm.loc, "&lt;&gt;Virtual", _xlpm.loc, "&lt;&gt;Decommisioned")
)</f>
        <v>6</v>
      </c>
      <c r="D694" s="168">
        <f>_xlfn.LET(_xlpm.loc, ITEquipmentTable[Storage Location],
COUNTIFS(ITSecondTable[Tag], ITSecondTable[[#This Row],[Tag]], _xlpm.loc, "Missing")
)</f>
        <v>0</v>
      </c>
      <c r="E694" s="168">
        <f>_xlfn.LET(_xlpm.loc, ITEquipmentTable[Storage Location],
COUNTIFS(ITSecondTable[Tag], ITSecondTable[[#This Row],[Tag]], _xlpm.loc, "In Use") + COUNTIFS(ITSecondTable[Tag], ITSecondTable[[#This Row],[Tag]], _xlpm.loc, "Assigned to Employee")
)</f>
        <v>2</v>
      </c>
      <c r="F694" s="168">
        <f>_xlfn.LET(_xlpm.loc, ITEquipmentTable[Storage Location],
COUNTIFS(ITSecondTable[Tag], ITSecondTable[[#This Row],[Tag]], _xlpm.loc, "")
)</f>
        <v>1</v>
      </c>
      <c r="G694" s="168">
        <f>MAX(ITSecondTable[[#This Row],[SQty]] - ITSecondTable[[#This Row],[IQty]], 0)</f>
        <v>0</v>
      </c>
      <c r="H694" s="168">
        <f>MAX(ITSecondTable[[#This Row],[IQty]]-ITSecondTable[[#This Row],[SQty]], 0)</f>
        <v>1</v>
      </c>
      <c r="I694" s="151" t="str">
        <f>IFERROR(_xlfn.TEXTJOIN("~", TRUE, ITEquipmentTable[[#This Row],[Type]],ITEquipmentTable[[#This Row],[Brand]],ITEquipmentTable[[#This Row],[Model]]), "")</f>
        <v>Printer~Intermec~PM43</v>
      </c>
      <c r="J694" s="151" t="b">
        <f xml:space="preserve"> _xlfn.IFNA(MATCH( ITSecondTable[[#This Row],[Tag]], StorageTable[Tag], 0)  &gt; -1, FALSE)</f>
        <v>0</v>
      </c>
      <c r="K694" s="168" t="b">
        <f>COUNTIFS(ITEquipmentTable[Serial], ITEquipmentTable[[#This Row],[Serial]], ITEquipmentTable[Serial], "&lt;&gt;N/A") &gt; 1</f>
        <v>0</v>
      </c>
      <c r="L694" s="168" t="b">
        <f>COUNTIFS(ITEquipmentTable[Name], ITEquipmentTable[[#This Row],[Name]], ITEquipmentTable[Name], "&lt;&gt;&lt;Unassigned&gt;",  ITEquipmentTable[Name], "&lt;&gt;N/A") &gt; 1</f>
        <v>0</v>
      </c>
      <c r="M694" s="168" t="b">
        <f>AND(COUNTIFS(ITEquipmentTable[IPv4 Address], ITEquipmentTable[[#This Row],[IPv4 Address]]) &gt; 1, ITEquipmentTable[[#This Row],[IPv4 Address]] &lt;&gt; "DHCP",  ITEquipmentTable[[#This Row],[IPv4 Address]] &lt;&gt; "N/A")</f>
        <v>0</v>
      </c>
    </row>
    <row r="695" spans="1:13" x14ac:dyDescent="0.2">
      <c r="A695" s="168">
        <f>IF(LEN(ITSecondTable[[#This Row],[Tag]]) &gt; 0, _xlfn.XLOOKUP(ITSecondTable[[#This Row],[Tag]],StorageTable[Tag], StorageTable[In Storage - Count Total], "Err", 0, 1), 0)</f>
        <v>4</v>
      </c>
      <c r="B695" s="168">
        <f>_xlfn.LET(_xlpm.loc, ITEquipmentTable[Storage Location],
COUNTIFS(ITSecondTable[Tag], ITSecondTable[[#This Row],[Tag]], _xlpm.loc, "&lt;&gt;In Use", _xlpm.loc, "&lt;&gt;",  _xlpm.loc, "&lt;&gt;E-Waste", _xlpm.loc, "&lt;&gt;Virtual",  _xlpm.loc, "&lt;&gt;Assigned to Employee", _xlpm.loc, "&lt;&gt;Decommisioned", _xlpm.loc, "&lt;&gt;Missing")
)</f>
        <v>3</v>
      </c>
      <c r="C695" s="168">
        <f>_xlfn.LET(_xlpm.loc, ITEquipmentTable[Storage Location],
COUNTIFS(ITSecondTable[Tag], ITSecondTable[[#This Row],[Tag]], _xlpm.loc, "&lt;&gt;E-Waste", _xlpm.loc, "&lt;&gt;Virtual", _xlpm.loc, "&lt;&gt;Decommisioned")
)</f>
        <v>6</v>
      </c>
      <c r="D695" s="168">
        <f>_xlfn.LET(_xlpm.loc, ITEquipmentTable[Storage Location],
COUNTIFS(ITSecondTable[Tag], ITSecondTable[[#This Row],[Tag]], _xlpm.loc, "Missing")
)</f>
        <v>0</v>
      </c>
      <c r="E695" s="168">
        <f>_xlfn.LET(_xlpm.loc, ITEquipmentTable[Storage Location],
COUNTIFS(ITSecondTable[Tag], ITSecondTable[[#This Row],[Tag]], _xlpm.loc, "In Use") + COUNTIFS(ITSecondTable[Tag], ITSecondTable[[#This Row],[Tag]], _xlpm.loc, "Assigned to Employee")
)</f>
        <v>2</v>
      </c>
      <c r="F695" s="168">
        <f>_xlfn.LET(_xlpm.loc, ITEquipmentTable[Storage Location],
COUNTIFS(ITSecondTable[Tag], ITSecondTable[[#This Row],[Tag]], _xlpm.loc, "")
)</f>
        <v>1</v>
      </c>
      <c r="G695" s="168">
        <f>MAX(ITSecondTable[[#This Row],[SQty]] - ITSecondTable[[#This Row],[IQty]], 0)</f>
        <v>0</v>
      </c>
      <c r="H695" s="168">
        <f>MAX(ITSecondTable[[#This Row],[IQty]]-ITSecondTable[[#This Row],[SQty]], 0)</f>
        <v>1</v>
      </c>
      <c r="I695" s="151" t="str">
        <f>IFERROR(_xlfn.TEXTJOIN("~", TRUE, ITEquipmentTable[[#This Row],[Type]],ITEquipmentTable[[#This Row],[Brand]],ITEquipmentTable[[#This Row],[Model]]), "")</f>
        <v>Printer~Intermec~PM43</v>
      </c>
      <c r="J695" s="151" t="b">
        <f xml:space="preserve"> _xlfn.IFNA(MATCH( ITSecondTable[[#This Row],[Tag]], StorageTable[Tag], 0)  &gt; -1, FALSE)</f>
        <v>0</v>
      </c>
      <c r="K695" s="168" t="b">
        <f>COUNTIFS(ITEquipmentTable[Serial], ITEquipmentTable[[#This Row],[Serial]], ITEquipmentTable[Serial], "&lt;&gt;N/A") &gt; 1</f>
        <v>0</v>
      </c>
      <c r="L695" s="168" t="b">
        <f>COUNTIFS(ITEquipmentTable[Name], ITEquipmentTable[[#This Row],[Name]], ITEquipmentTable[Name], "&lt;&gt;&lt;Unassigned&gt;",  ITEquipmentTable[Name], "&lt;&gt;N/A") &gt; 1</f>
        <v>0</v>
      </c>
      <c r="M695" s="168" t="b">
        <f>AND(COUNTIFS(ITEquipmentTable[IPv4 Address], ITEquipmentTable[[#This Row],[IPv4 Address]]) &gt; 1, ITEquipmentTable[[#This Row],[IPv4 Address]] &lt;&gt; "DHCP",  ITEquipmentTable[[#This Row],[IPv4 Address]] &lt;&gt; "N/A")</f>
        <v>0</v>
      </c>
    </row>
    <row r="696" spans="1:13" x14ac:dyDescent="0.2">
      <c r="A696" s="168">
        <f>IF(LEN(ITSecondTable[[#This Row],[Tag]]) &gt; 0, _xlfn.XLOOKUP(ITSecondTable[[#This Row],[Tag]],StorageTable[Tag], StorageTable[In Storage - Count Total], "Err", 0, 1), 0)</f>
        <v>0</v>
      </c>
      <c r="B696" s="168">
        <f>_xlfn.LET(_xlpm.loc, ITEquipmentTable[Storage Location],
COUNTIFS(ITSecondTable[Tag], ITSecondTable[[#This Row],[Tag]], _xlpm.loc, "&lt;&gt;In Use", _xlpm.loc, "&lt;&gt;",  _xlpm.loc, "&lt;&gt;E-Waste", _xlpm.loc, "&lt;&gt;Virtual",  _xlpm.loc, "&lt;&gt;Assigned to Employee", _xlpm.loc, "&lt;&gt;Decommisioned", _xlpm.loc, "&lt;&gt;Missing")
)</f>
        <v>8</v>
      </c>
      <c r="C696" s="168">
        <f>_xlfn.LET(_xlpm.loc, ITEquipmentTable[Storage Location],
COUNTIFS(ITSecondTable[Tag], ITSecondTable[[#This Row],[Tag]], _xlpm.loc, "&lt;&gt;E-Waste", _xlpm.loc, "&lt;&gt;Virtual", _xlpm.loc, "&lt;&gt;Decommisioned")
)</f>
        <v>27</v>
      </c>
      <c r="D696" s="168">
        <f>_xlfn.LET(_xlpm.loc, ITEquipmentTable[Storage Location],
COUNTIFS(ITSecondTable[Tag], ITSecondTable[[#This Row],[Tag]], _xlpm.loc, "Missing")
)</f>
        <v>0</v>
      </c>
      <c r="E696" s="168">
        <f>_xlfn.LET(_xlpm.loc, ITEquipmentTable[Storage Location],
COUNTIFS(ITSecondTable[Tag], ITSecondTable[[#This Row],[Tag]], _xlpm.loc, "In Use") + COUNTIFS(ITSecondTable[Tag], ITSecondTable[[#This Row],[Tag]], _xlpm.loc, "Assigned to Employee")
)</f>
        <v>12</v>
      </c>
      <c r="F696" s="168">
        <f>_xlfn.LET(_xlpm.loc, ITEquipmentTable[Storage Location],
COUNTIFS(ITSecondTable[Tag], ITSecondTable[[#This Row],[Tag]], _xlpm.loc, "")
)</f>
        <v>7</v>
      </c>
      <c r="G696" s="168">
        <f>MAX(ITSecondTable[[#This Row],[SQty]] - ITSecondTable[[#This Row],[IQty]], 0)</f>
        <v>8</v>
      </c>
      <c r="H696" s="168">
        <f>MAX(ITSecondTable[[#This Row],[IQty]]-ITSecondTable[[#This Row],[SQty]], 0)</f>
        <v>0</v>
      </c>
      <c r="I696" s="151" t="str">
        <f>IFERROR(_xlfn.TEXTJOIN("~", TRUE, ITEquipmentTable[[#This Row],[Type]],ITEquipmentTable[[#This Row],[Brand]],ITEquipmentTable[[#This Row],[Model]]), "")</f>
        <v>Desktop~Dell~OptiPlex 3050</v>
      </c>
      <c r="J696" s="151" t="b">
        <f xml:space="preserve"> _xlfn.IFNA(MATCH( ITSecondTable[[#This Row],[Tag]], StorageTable[Tag], 0)  &gt; -1, FALSE)</f>
        <v>0</v>
      </c>
      <c r="K696" s="168" t="b">
        <f>COUNTIFS(ITEquipmentTable[Serial], ITEquipmentTable[[#This Row],[Serial]], ITEquipmentTable[Serial], "&lt;&gt;N/A") &gt; 1</f>
        <v>0</v>
      </c>
      <c r="L696" s="168" t="b">
        <f>COUNTIFS(ITEquipmentTable[Name], ITEquipmentTable[[#This Row],[Name]], ITEquipmentTable[Name], "&lt;&gt;&lt;Unassigned&gt;",  ITEquipmentTable[Name], "&lt;&gt;N/A") &gt; 1</f>
        <v>0</v>
      </c>
      <c r="M696" s="168" t="b">
        <f>AND(COUNTIFS(ITEquipmentTable[IPv4 Address], ITEquipmentTable[[#This Row],[IPv4 Address]]) &gt; 1, ITEquipmentTable[[#This Row],[IPv4 Address]] &lt;&gt; "DHCP",  ITEquipmentTable[[#This Row],[IPv4 Address]] &lt;&gt; "N/A")</f>
        <v>0</v>
      </c>
    </row>
    <row r="697" spans="1:13" x14ac:dyDescent="0.2">
      <c r="A697" s="168">
        <f>IF(LEN(ITSecondTable[[#This Row],[Tag]]) &gt; 0, _xlfn.XLOOKUP(ITSecondTable[[#This Row],[Tag]],StorageTable[Tag], StorageTable[In Storage - Count Total], "Err", 0, 1), 0)</f>
        <v>0</v>
      </c>
      <c r="B697" s="168">
        <f>_xlfn.LET(_xlpm.loc, ITEquipmentTable[Storage Location],
COUNTIFS(ITSecondTable[Tag], ITSecondTable[[#This Row],[Tag]], _xlpm.loc, "&lt;&gt;In Use", _xlpm.loc, "&lt;&gt;",  _xlpm.loc, "&lt;&gt;E-Waste", _xlpm.loc, "&lt;&gt;Virtual",  _xlpm.loc, "&lt;&gt;Assigned to Employee", _xlpm.loc, "&lt;&gt;Decommisioned", _xlpm.loc, "&lt;&gt;Missing")
)</f>
        <v>2</v>
      </c>
      <c r="C697" s="168">
        <f>_xlfn.LET(_xlpm.loc, ITEquipmentTable[Storage Location],
COUNTIFS(ITSecondTable[Tag], ITSecondTable[[#This Row],[Tag]], _xlpm.loc, "&lt;&gt;E-Waste", _xlpm.loc, "&lt;&gt;Virtual", _xlpm.loc, "&lt;&gt;Decommisioned")
)</f>
        <v>17</v>
      </c>
      <c r="D697" s="168">
        <f>_xlfn.LET(_xlpm.loc, ITEquipmentTable[Storage Location],
COUNTIFS(ITSecondTable[Tag], ITSecondTable[[#This Row],[Tag]], _xlpm.loc, "Missing")
)</f>
        <v>0</v>
      </c>
      <c r="E697" s="168">
        <f>_xlfn.LET(_xlpm.loc, ITEquipmentTable[Storage Location],
COUNTIFS(ITSecondTable[Tag], ITSecondTable[[#This Row],[Tag]], _xlpm.loc, "In Use") + COUNTIFS(ITSecondTable[Tag], ITSecondTable[[#This Row],[Tag]], _xlpm.loc, "Assigned to Employee")
)</f>
        <v>5</v>
      </c>
      <c r="F697" s="168">
        <f>_xlfn.LET(_xlpm.loc, ITEquipmentTable[Storage Location],
COUNTIFS(ITSecondTable[Tag], ITSecondTable[[#This Row],[Tag]], _xlpm.loc, "")
)</f>
        <v>10</v>
      </c>
      <c r="G697" s="168">
        <f>MAX(ITSecondTable[[#This Row],[SQty]] - ITSecondTable[[#This Row],[IQty]], 0)</f>
        <v>2</v>
      </c>
      <c r="H697" s="168">
        <f>MAX(ITSecondTable[[#This Row],[IQty]]-ITSecondTable[[#This Row],[SQty]], 0)</f>
        <v>0</v>
      </c>
      <c r="I697" s="151" t="str">
        <f>IFERROR(_xlfn.TEXTJOIN("~", TRUE, ITEquipmentTable[[#This Row],[Type]],ITEquipmentTable[[#This Row],[Brand]],ITEquipmentTable[[#This Row],[Model]]), "")</f>
        <v>Laptop~HP~HP ProBook 640 G3</v>
      </c>
      <c r="J697" s="151" t="b">
        <f xml:space="preserve"> _xlfn.IFNA(MATCH( ITSecondTable[[#This Row],[Tag]], StorageTable[Tag], 0)  &gt; -1, FALSE)</f>
        <v>0</v>
      </c>
      <c r="K697" s="168" t="b">
        <f>COUNTIFS(ITEquipmentTable[Serial], ITEquipmentTable[[#This Row],[Serial]], ITEquipmentTable[Serial], "&lt;&gt;N/A") &gt; 1</f>
        <v>0</v>
      </c>
      <c r="L697" s="168" t="b">
        <f>COUNTIFS(ITEquipmentTable[Name], ITEquipmentTable[[#This Row],[Name]], ITEquipmentTable[Name], "&lt;&gt;&lt;Unassigned&gt;",  ITEquipmentTable[Name], "&lt;&gt;N/A") &gt; 1</f>
        <v>0</v>
      </c>
      <c r="M697" s="168" t="b">
        <f>AND(COUNTIFS(ITEquipmentTable[IPv4 Address], ITEquipmentTable[[#This Row],[IPv4 Address]]) &gt; 1, ITEquipmentTable[[#This Row],[IPv4 Address]] &lt;&gt; "DHCP",  ITEquipmentTable[[#This Row],[IPv4 Address]] &lt;&gt; "N/A")</f>
        <v>0</v>
      </c>
    </row>
    <row r="698" spans="1:13" x14ac:dyDescent="0.2">
      <c r="A698" s="168">
        <f>IF(LEN(ITSecondTable[[#This Row],[Tag]]) &gt; 0, _xlfn.XLOOKUP(ITSecondTable[[#This Row],[Tag]],StorageTable[Tag], StorageTable[In Storage - Count Total], "Err", 0, 1), 0)</f>
        <v>1</v>
      </c>
      <c r="B698" s="168">
        <f>_xlfn.LET(_xlpm.loc, ITEquipmentTable[Storage Location],
COUNTIFS(ITSecondTable[Tag], ITSecondTable[[#This Row],[Tag]], _xlpm.loc, "&lt;&gt;In Use", _xlpm.loc, "&lt;&gt;",  _xlpm.loc, "&lt;&gt;E-Waste", _xlpm.loc, "&lt;&gt;Virtual",  _xlpm.loc, "&lt;&gt;Assigned to Employee", _xlpm.loc, "&lt;&gt;Decommisioned", _xlpm.loc, "&lt;&gt;Missing")
)</f>
        <v>3</v>
      </c>
      <c r="C698" s="168">
        <f>_xlfn.LET(_xlpm.loc, ITEquipmentTable[Storage Location],
COUNTIFS(ITSecondTable[Tag], ITSecondTable[[#This Row],[Tag]], _xlpm.loc, "&lt;&gt;E-Waste", _xlpm.loc, "&lt;&gt;Virtual", _xlpm.loc, "&lt;&gt;Decommisioned")
)</f>
        <v>10</v>
      </c>
      <c r="D698" s="168">
        <f>_xlfn.LET(_xlpm.loc, ITEquipmentTable[Storage Location],
COUNTIFS(ITSecondTable[Tag], ITSecondTable[[#This Row],[Tag]], _xlpm.loc, "Missing")
)</f>
        <v>0</v>
      </c>
      <c r="E698" s="168">
        <f>_xlfn.LET(_xlpm.loc, ITEquipmentTable[Storage Location],
COUNTIFS(ITSecondTable[Tag], ITSecondTable[[#This Row],[Tag]], _xlpm.loc, "In Use") + COUNTIFS(ITSecondTable[Tag], ITSecondTable[[#This Row],[Tag]], _xlpm.loc, "Assigned to Employee")
)</f>
        <v>6</v>
      </c>
      <c r="F698" s="168">
        <f>_xlfn.LET(_xlpm.loc, ITEquipmentTable[Storage Location],
COUNTIFS(ITSecondTable[Tag], ITSecondTable[[#This Row],[Tag]], _xlpm.loc, "")
)</f>
        <v>1</v>
      </c>
      <c r="G698" s="168">
        <f>MAX(ITSecondTable[[#This Row],[SQty]] - ITSecondTable[[#This Row],[IQty]], 0)</f>
        <v>2</v>
      </c>
      <c r="H698" s="168">
        <f>MAX(ITSecondTable[[#This Row],[IQty]]-ITSecondTable[[#This Row],[SQty]], 0)</f>
        <v>0</v>
      </c>
      <c r="I698" s="151" t="str">
        <f>IFERROR(_xlfn.TEXTJOIN("~", TRUE, ITEquipmentTable[[#This Row],[Type]],ITEquipmentTable[[#This Row],[Brand]],ITEquipmentTable[[#This Row],[Model]]), "")</f>
        <v>Desktop~Dell~OptiPlex 3060</v>
      </c>
      <c r="J698" s="151" t="b">
        <f xml:space="preserve"> _xlfn.IFNA(MATCH( ITSecondTable[[#This Row],[Tag]], StorageTable[Tag], 0)  &gt; -1, FALSE)</f>
        <v>0</v>
      </c>
      <c r="K698" s="168" t="b">
        <f>COUNTIFS(ITEquipmentTable[Serial], ITEquipmentTable[[#This Row],[Serial]], ITEquipmentTable[Serial], "&lt;&gt;N/A") &gt; 1</f>
        <v>0</v>
      </c>
      <c r="L698" s="168" t="b">
        <f>COUNTIFS(ITEquipmentTable[Name], ITEquipmentTable[[#This Row],[Name]], ITEquipmentTable[Name], "&lt;&gt;&lt;Unassigned&gt;",  ITEquipmentTable[Name], "&lt;&gt;N/A") &gt; 1</f>
        <v>0</v>
      </c>
      <c r="M698" s="168" t="b">
        <f>AND(COUNTIFS(ITEquipmentTable[IPv4 Address], ITEquipmentTable[[#This Row],[IPv4 Address]]) &gt; 1, ITEquipmentTable[[#This Row],[IPv4 Address]] &lt;&gt; "DHCP",  ITEquipmentTable[[#This Row],[IPv4 Address]] &lt;&gt; "N/A")</f>
        <v>0</v>
      </c>
    </row>
    <row r="699" spans="1:13" x14ac:dyDescent="0.2">
      <c r="A699" s="168">
        <f>IF(LEN(ITSecondTable[[#This Row],[Tag]]) &gt; 0, _xlfn.XLOOKUP(ITSecondTable[[#This Row],[Tag]],StorageTable[Tag], StorageTable[In Storage - Count Total], "Err", 0, 1), 0)</f>
        <v>0</v>
      </c>
      <c r="B699" s="168">
        <f>_xlfn.LET(_xlpm.loc, ITEquipmentTable[Storage Location],
COUNTIFS(ITSecondTable[Tag], ITSecondTable[[#This Row],[Tag]], _xlpm.loc, "&lt;&gt;In Use", _xlpm.loc, "&lt;&gt;",  _xlpm.loc, "&lt;&gt;E-Waste", _xlpm.loc, "&lt;&gt;Virtual",  _xlpm.loc, "&lt;&gt;Assigned to Employee", _xlpm.loc, "&lt;&gt;Decommisioned", _xlpm.loc, "&lt;&gt;Missing")
)</f>
        <v>8</v>
      </c>
      <c r="C699" s="168">
        <f>_xlfn.LET(_xlpm.loc, ITEquipmentTable[Storage Location],
COUNTIFS(ITSecondTable[Tag], ITSecondTable[[#This Row],[Tag]], _xlpm.loc, "&lt;&gt;E-Waste", _xlpm.loc, "&lt;&gt;Virtual", _xlpm.loc, "&lt;&gt;Decommisioned")
)</f>
        <v>27</v>
      </c>
      <c r="D699" s="168">
        <f>_xlfn.LET(_xlpm.loc, ITEquipmentTable[Storage Location],
COUNTIFS(ITSecondTable[Tag], ITSecondTable[[#This Row],[Tag]], _xlpm.loc, "Missing")
)</f>
        <v>0</v>
      </c>
      <c r="E699" s="168">
        <f>_xlfn.LET(_xlpm.loc, ITEquipmentTable[Storage Location],
COUNTIFS(ITSecondTable[Tag], ITSecondTable[[#This Row],[Tag]], _xlpm.loc, "In Use") + COUNTIFS(ITSecondTable[Tag], ITSecondTable[[#This Row],[Tag]], _xlpm.loc, "Assigned to Employee")
)</f>
        <v>12</v>
      </c>
      <c r="F699" s="168">
        <f>_xlfn.LET(_xlpm.loc, ITEquipmentTable[Storage Location],
COUNTIFS(ITSecondTable[Tag], ITSecondTable[[#This Row],[Tag]], _xlpm.loc, "")
)</f>
        <v>7</v>
      </c>
      <c r="G699" s="168">
        <f>MAX(ITSecondTable[[#This Row],[SQty]] - ITSecondTable[[#This Row],[IQty]], 0)</f>
        <v>8</v>
      </c>
      <c r="H699" s="168">
        <f>MAX(ITSecondTable[[#This Row],[IQty]]-ITSecondTable[[#This Row],[SQty]], 0)</f>
        <v>0</v>
      </c>
      <c r="I699" s="151" t="str">
        <f>IFERROR(_xlfn.TEXTJOIN("~", TRUE, ITEquipmentTable[[#This Row],[Type]],ITEquipmentTable[[#This Row],[Brand]],ITEquipmentTable[[#This Row],[Model]]), "")</f>
        <v>Desktop~Dell~OptiPlex 3050</v>
      </c>
      <c r="J699" s="151" t="b">
        <f xml:space="preserve"> _xlfn.IFNA(MATCH( ITSecondTable[[#This Row],[Tag]], StorageTable[Tag], 0)  &gt; -1, FALSE)</f>
        <v>0</v>
      </c>
      <c r="K699" s="168" t="b">
        <f>COUNTIFS(ITEquipmentTable[Serial], ITEquipmentTable[[#This Row],[Serial]], ITEquipmentTable[Serial], "&lt;&gt;N/A") &gt; 1</f>
        <v>0</v>
      </c>
      <c r="L699" s="168" t="b">
        <f>COUNTIFS(ITEquipmentTable[Name], ITEquipmentTable[[#This Row],[Name]], ITEquipmentTable[Name], "&lt;&gt;&lt;Unassigned&gt;",  ITEquipmentTable[Name], "&lt;&gt;N/A") &gt; 1</f>
        <v>0</v>
      </c>
      <c r="M699" s="168" t="b">
        <f>AND(COUNTIFS(ITEquipmentTable[IPv4 Address], ITEquipmentTable[[#This Row],[IPv4 Address]]) &gt; 1, ITEquipmentTable[[#This Row],[IPv4 Address]] &lt;&gt; "DHCP",  ITEquipmentTable[[#This Row],[IPv4 Address]] &lt;&gt; "N/A")</f>
        <v>0</v>
      </c>
    </row>
    <row r="700" spans="1:13" x14ac:dyDescent="0.2">
      <c r="A700" s="168">
        <f>IF(LEN(ITSecondTable[[#This Row],[Tag]]) &gt; 0, _xlfn.XLOOKUP(ITSecondTable[[#This Row],[Tag]],StorageTable[Tag], StorageTable[In Storage - Count Total], "Err", 0, 1), 0)</f>
        <v>0</v>
      </c>
      <c r="B700" s="168">
        <f>_xlfn.LET(_xlpm.loc, ITEquipmentTable[Storage Location],
COUNTIFS(ITSecondTable[Tag], ITSecondTable[[#This Row],[Tag]], _xlpm.loc, "&lt;&gt;In Use", _xlpm.loc, "&lt;&gt;",  _xlpm.loc, "&lt;&gt;E-Waste", _xlpm.loc, "&lt;&gt;Virtual",  _xlpm.loc, "&lt;&gt;Assigned to Employee", _xlpm.loc, "&lt;&gt;Decommisioned", _xlpm.loc, "&lt;&gt;Missing")
)</f>
        <v>8</v>
      </c>
      <c r="C700" s="168">
        <f>_xlfn.LET(_xlpm.loc, ITEquipmentTable[Storage Location],
COUNTIFS(ITSecondTable[Tag], ITSecondTable[[#This Row],[Tag]], _xlpm.loc, "&lt;&gt;E-Waste", _xlpm.loc, "&lt;&gt;Virtual", _xlpm.loc, "&lt;&gt;Decommisioned")
)</f>
        <v>27</v>
      </c>
      <c r="D700" s="168">
        <f>_xlfn.LET(_xlpm.loc, ITEquipmentTable[Storage Location],
COUNTIFS(ITSecondTable[Tag], ITSecondTable[[#This Row],[Tag]], _xlpm.loc, "Missing")
)</f>
        <v>0</v>
      </c>
      <c r="E700" s="168">
        <f>_xlfn.LET(_xlpm.loc, ITEquipmentTable[Storage Location],
COUNTIFS(ITSecondTable[Tag], ITSecondTable[[#This Row],[Tag]], _xlpm.loc, "In Use") + COUNTIFS(ITSecondTable[Tag], ITSecondTable[[#This Row],[Tag]], _xlpm.loc, "Assigned to Employee")
)</f>
        <v>12</v>
      </c>
      <c r="F700" s="168">
        <f>_xlfn.LET(_xlpm.loc, ITEquipmentTable[Storage Location],
COUNTIFS(ITSecondTable[Tag], ITSecondTable[[#This Row],[Tag]], _xlpm.loc, "")
)</f>
        <v>7</v>
      </c>
      <c r="G700" s="168">
        <f>MAX(ITSecondTable[[#This Row],[SQty]] - ITSecondTable[[#This Row],[IQty]], 0)</f>
        <v>8</v>
      </c>
      <c r="H700" s="168">
        <f>MAX(ITSecondTable[[#This Row],[IQty]]-ITSecondTable[[#This Row],[SQty]], 0)</f>
        <v>0</v>
      </c>
      <c r="I700" s="151" t="str">
        <f>IFERROR(_xlfn.TEXTJOIN("~", TRUE, ITEquipmentTable[[#This Row],[Type]],ITEquipmentTable[[#This Row],[Brand]],ITEquipmentTable[[#This Row],[Model]]), "")</f>
        <v>Desktop~Dell~OptiPlex 3050</v>
      </c>
      <c r="J700" s="151" t="b">
        <f xml:space="preserve"> _xlfn.IFNA(MATCH( ITSecondTable[[#This Row],[Tag]], StorageTable[Tag], 0)  &gt; -1, FALSE)</f>
        <v>0</v>
      </c>
      <c r="K700" s="168" t="b">
        <f>COUNTIFS(ITEquipmentTable[Serial], ITEquipmentTable[[#This Row],[Serial]], ITEquipmentTable[Serial], "&lt;&gt;N/A") &gt; 1</f>
        <v>0</v>
      </c>
      <c r="L700" s="168" t="b">
        <f>COUNTIFS(ITEquipmentTable[Name], ITEquipmentTable[[#This Row],[Name]], ITEquipmentTable[Name], "&lt;&gt;&lt;Unassigned&gt;",  ITEquipmentTable[Name], "&lt;&gt;N/A") &gt; 1</f>
        <v>0</v>
      </c>
      <c r="M700" s="168" t="b">
        <f>AND(COUNTIFS(ITEquipmentTable[IPv4 Address], ITEquipmentTable[[#This Row],[IPv4 Address]]) &gt; 1, ITEquipmentTable[[#This Row],[IPv4 Address]] &lt;&gt; "DHCP",  ITEquipmentTable[[#This Row],[IPv4 Address]] &lt;&gt; "N/A")</f>
        <v>0</v>
      </c>
    </row>
    <row r="701" spans="1:13" x14ac:dyDescent="0.2">
      <c r="A701" s="168">
        <f>IF(LEN(ITSecondTable[[#This Row],[Tag]]) &gt; 0, _xlfn.XLOOKUP(ITSecondTable[[#This Row],[Tag]],StorageTable[Tag], StorageTable[In Storage - Count Total], "Err", 0, 1), 0)</f>
        <v>6</v>
      </c>
      <c r="B701" s="168">
        <f>_xlfn.LET(_xlpm.loc, ITEquipmentTable[Storage Location],
COUNTIFS(ITSecondTable[Tag], ITSecondTable[[#This Row],[Tag]], _xlpm.loc, "&lt;&gt;In Use", _xlpm.loc, "&lt;&gt;",  _xlpm.loc, "&lt;&gt;E-Waste", _xlpm.loc, "&lt;&gt;Virtual",  _xlpm.loc, "&lt;&gt;Assigned to Employee", _xlpm.loc, "&lt;&gt;Decommisioned", _xlpm.loc, "&lt;&gt;Missing")
)</f>
        <v>17</v>
      </c>
      <c r="C701" s="168">
        <f>_xlfn.LET(_xlpm.loc, ITEquipmentTable[Storage Location],
COUNTIFS(ITSecondTable[Tag], ITSecondTable[[#This Row],[Tag]], _xlpm.loc, "&lt;&gt;E-Waste", _xlpm.loc, "&lt;&gt;Virtual", _xlpm.loc, "&lt;&gt;Decommisioned")
)</f>
        <v>64</v>
      </c>
      <c r="D701" s="168">
        <f>_xlfn.LET(_xlpm.loc, ITEquipmentTable[Storage Location],
COUNTIFS(ITSecondTable[Tag], ITSecondTable[[#This Row],[Tag]], _xlpm.loc, "Missing")
)</f>
        <v>0</v>
      </c>
      <c r="E701" s="168">
        <f>_xlfn.LET(_xlpm.loc, ITEquipmentTable[Storage Location],
COUNTIFS(ITSecondTable[Tag], ITSecondTable[[#This Row],[Tag]], _xlpm.loc, "In Use") + COUNTIFS(ITSecondTable[Tag], ITSecondTable[[#This Row],[Tag]], _xlpm.loc, "Assigned to Employee")
)</f>
        <v>30</v>
      </c>
      <c r="F701" s="168">
        <f>_xlfn.LET(_xlpm.loc, ITEquipmentTable[Storage Location],
COUNTIFS(ITSecondTable[Tag], ITSecondTable[[#This Row],[Tag]], _xlpm.loc, "")
)</f>
        <v>17</v>
      </c>
      <c r="G701" s="168">
        <f>MAX(ITSecondTable[[#This Row],[SQty]] - ITSecondTable[[#This Row],[IQty]], 0)</f>
        <v>11</v>
      </c>
      <c r="H701" s="168">
        <f>MAX(ITSecondTable[[#This Row],[IQty]]-ITSecondTable[[#This Row],[SQty]], 0)</f>
        <v>0</v>
      </c>
      <c r="I701" s="151" t="str">
        <f>IFERROR(_xlfn.TEXTJOIN("~", TRUE, ITEquipmentTable[[#This Row],[Type]],ITEquipmentTable[[#This Row],[Brand]],ITEquipmentTable[[#This Row],[Model]]), "")</f>
        <v>Desktop~Dell~OptiPlex 3040</v>
      </c>
      <c r="J701" s="151" t="b">
        <f xml:space="preserve"> _xlfn.IFNA(MATCH( ITSecondTable[[#This Row],[Tag]], StorageTable[Tag], 0)  &gt; -1, FALSE)</f>
        <v>0</v>
      </c>
      <c r="K701" s="168" t="b">
        <f>COUNTIFS(ITEquipmentTable[Serial], ITEquipmentTable[[#This Row],[Serial]], ITEquipmentTable[Serial], "&lt;&gt;N/A") &gt; 1</f>
        <v>0</v>
      </c>
      <c r="L701" s="168" t="b">
        <f>COUNTIFS(ITEquipmentTable[Name], ITEquipmentTable[[#This Row],[Name]], ITEquipmentTable[Name], "&lt;&gt;&lt;Unassigned&gt;",  ITEquipmentTable[Name], "&lt;&gt;N/A") &gt; 1</f>
        <v>0</v>
      </c>
      <c r="M701" s="168" t="b">
        <f>AND(COUNTIFS(ITEquipmentTable[IPv4 Address], ITEquipmentTable[[#This Row],[IPv4 Address]]) &gt; 1, ITEquipmentTable[[#This Row],[IPv4 Address]] &lt;&gt; "DHCP",  ITEquipmentTable[[#This Row],[IPv4 Address]] &lt;&gt; "N/A")</f>
        <v>0</v>
      </c>
    </row>
    <row r="702" spans="1:13" x14ac:dyDescent="0.2">
      <c r="A702" s="168">
        <f>IF(LEN(ITSecondTable[[#This Row],[Tag]]) &gt; 0, _xlfn.XLOOKUP(ITSecondTable[[#This Row],[Tag]],StorageTable[Tag], StorageTable[In Storage - Count Total], "Err", 0, 1), 0)</f>
        <v>6</v>
      </c>
      <c r="B702" s="168">
        <f>_xlfn.LET(_xlpm.loc, ITEquipmentTable[Storage Location],
COUNTIFS(ITSecondTable[Tag], ITSecondTable[[#This Row],[Tag]], _xlpm.loc, "&lt;&gt;In Use", _xlpm.loc, "&lt;&gt;",  _xlpm.loc, "&lt;&gt;E-Waste", _xlpm.loc, "&lt;&gt;Virtual",  _xlpm.loc, "&lt;&gt;Assigned to Employee", _xlpm.loc, "&lt;&gt;Decommisioned", _xlpm.loc, "&lt;&gt;Missing")
)</f>
        <v>17</v>
      </c>
      <c r="C702" s="168">
        <f>_xlfn.LET(_xlpm.loc, ITEquipmentTable[Storage Location],
COUNTIFS(ITSecondTable[Tag], ITSecondTable[[#This Row],[Tag]], _xlpm.loc, "&lt;&gt;E-Waste", _xlpm.loc, "&lt;&gt;Virtual", _xlpm.loc, "&lt;&gt;Decommisioned")
)</f>
        <v>64</v>
      </c>
      <c r="D702" s="168">
        <f>_xlfn.LET(_xlpm.loc, ITEquipmentTable[Storage Location],
COUNTIFS(ITSecondTable[Tag], ITSecondTable[[#This Row],[Tag]], _xlpm.loc, "Missing")
)</f>
        <v>0</v>
      </c>
      <c r="E702" s="168">
        <f>_xlfn.LET(_xlpm.loc, ITEquipmentTable[Storage Location],
COUNTIFS(ITSecondTable[Tag], ITSecondTable[[#This Row],[Tag]], _xlpm.loc, "In Use") + COUNTIFS(ITSecondTable[Tag], ITSecondTable[[#This Row],[Tag]], _xlpm.loc, "Assigned to Employee")
)</f>
        <v>30</v>
      </c>
      <c r="F702" s="168">
        <f>_xlfn.LET(_xlpm.loc, ITEquipmentTable[Storage Location],
COUNTIFS(ITSecondTable[Tag], ITSecondTable[[#This Row],[Tag]], _xlpm.loc, "")
)</f>
        <v>17</v>
      </c>
      <c r="G702" s="168">
        <f>MAX(ITSecondTable[[#This Row],[SQty]] - ITSecondTable[[#This Row],[IQty]], 0)</f>
        <v>11</v>
      </c>
      <c r="H702" s="168">
        <f>MAX(ITSecondTable[[#This Row],[IQty]]-ITSecondTable[[#This Row],[SQty]], 0)</f>
        <v>0</v>
      </c>
      <c r="I702" s="151" t="str">
        <f>IFERROR(_xlfn.TEXTJOIN("~", TRUE, ITEquipmentTable[[#This Row],[Type]],ITEquipmentTable[[#This Row],[Brand]],ITEquipmentTable[[#This Row],[Model]]), "")</f>
        <v>Desktop~Dell~OptiPlex 3040</v>
      </c>
      <c r="J702" s="151" t="b">
        <f xml:space="preserve"> _xlfn.IFNA(MATCH( ITSecondTable[[#This Row],[Tag]], StorageTable[Tag], 0)  &gt; -1, FALSE)</f>
        <v>0</v>
      </c>
      <c r="K702" s="168" t="b">
        <f>COUNTIFS(ITEquipmentTable[Serial], ITEquipmentTable[[#This Row],[Serial]], ITEquipmentTable[Serial], "&lt;&gt;N/A") &gt; 1</f>
        <v>0</v>
      </c>
      <c r="L702" s="168" t="b">
        <f>COUNTIFS(ITEquipmentTable[Name], ITEquipmentTable[[#This Row],[Name]], ITEquipmentTable[Name], "&lt;&gt;&lt;Unassigned&gt;",  ITEquipmentTable[Name], "&lt;&gt;N/A") &gt; 1</f>
        <v>0</v>
      </c>
      <c r="M702" s="168" t="b">
        <f>AND(COUNTIFS(ITEquipmentTable[IPv4 Address], ITEquipmentTable[[#This Row],[IPv4 Address]]) &gt; 1, ITEquipmentTable[[#This Row],[IPv4 Address]] &lt;&gt; "DHCP",  ITEquipmentTable[[#This Row],[IPv4 Address]] &lt;&gt; "N/A")</f>
        <v>0</v>
      </c>
    </row>
    <row r="703" spans="1:13" x14ac:dyDescent="0.2">
      <c r="A703" s="168">
        <f>IF(LEN(ITSecondTable[[#This Row],[Tag]]) &gt; 0, _xlfn.XLOOKUP(ITSecondTable[[#This Row],[Tag]],StorageTable[Tag], StorageTable[In Storage - Count Total], "Err", 0, 1), 0)</f>
        <v>6</v>
      </c>
      <c r="B703" s="168">
        <f>_xlfn.LET(_xlpm.loc, ITEquipmentTable[Storage Location],
COUNTIFS(ITSecondTable[Tag], ITSecondTable[[#This Row],[Tag]], _xlpm.loc, "&lt;&gt;In Use", _xlpm.loc, "&lt;&gt;",  _xlpm.loc, "&lt;&gt;E-Waste", _xlpm.loc, "&lt;&gt;Virtual",  _xlpm.loc, "&lt;&gt;Assigned to Employee", _xlpm.loc, "&lt;&gt;Decommisioned", _xlpm.loc, "&lt;&gt;Missing")
)</f>
        <v>17</v>
      </c>
      <c r="C703" s="168">
        <f>_xlfn.LET(_xlpm.loc, ITEquipmentTable[Storage Location],
COUNTIFS(ITSecondTable[Tag], ITSecondTable[[#This Row],[Tag]], _xlpm.loc, "&lt;&gt;E-Waste", _xlpm.loc, "&lt;&gt;Virtual", _xlpm.loc, "&lt;&gt;Decommisioned")
)</f>
        <v>64</v>
      </c>
      <c r="D703" s="168">
        <f>_xlfn.LET(_xlpm.loc, ITEquipmentTable[Storage Location],
COUNTIFS(ITSecondTable[Tag], ITSecondTable[[#This Row],[Tag]], _xlpm.loc, "Missing")
)</f>
        <v>0</v>
      </c>
      <c r="E703" s="168">
        <f>_xlfn.LET(_xlpm.loc, ITEquipmentTable[Storage Location],
COUNTIFS(ITSecondTable[Tag], ITSecondTable[[#This Row],[Tag]], _xlpm.loc, "In Use") + COUNTIFS(ITSecondTable[Tag], ITSecondTable[[#This Row],[Tag]], _xlpm.loc, "Assigned to Employee")
)</f>
        <v>30</v>
      </c>
      <c r="F703" s="168">
        <f>_xlfn.LET(_xlpm.loc, ITEquipmentTable[Storage Location],
COUNTIFS(ITSecondTable[Tag], ITSecondTable[[#This Row],[Tag]], _xlpm.loc, "")
)</f>
        <v>17</v>
      </c>
      <c r="G703" s="168">
        <f>MAX(ITSecondTable[[#This Row],[SQty]] - ITSecondTable[[#This Row],[IQty]], 0)</f>
        <v>11</v>
      </c>
      <c r="H703" s="168">
        <f>MAX(ITSecondTable[[#This Row],[IQty]]-ITSecondTable[[#This Row],[SQty]], 0)</f>
        <v>0</v>
      </c>
      <c r="I703" s="151" t="str">
        <f>IFERROR(_xlfn.TEXTJOIN("~", TRUE, ITEquipmentTable[[#This Row],[Type]],ITEquipmentTable[[#This Row],[Brand]],ITEquipmentTable[[#This Row],[Model]]), "")</f>
        <v>Desktop~Dell~OptiPlex 3040</v>
      </c>
      <c r="J703" s="151" t="b">
        <f xml:space="preserve"> _xlfn.IFNA(MATCH( ITSecondTable[[#This Row],[Tag]], StorageTable[Tag], 0)  &gt; -1, FALSE)</f>
        <v>0</v>
      </c>
      <c r="K703" s="168" t="b">
        <f>COUNTIFS(ITEquipmentTable[Serial], ITEquipmentTable[[#This Row],[Serial]], ITEquipmentTable[Serial], "&lt;&gt;N/A") &gt; 1</f>
        <v>0</v>
      </c>
      <c r="L703" s="168" t="b">
        <f>COUNTIFS(ITEquipmentTable[Name], ITEquipmentTable[[#This Row],[Name]], ITEquipmentTable[Name], "&lt;&gt;&lt;Unassigned&gt;",  ITEquipmentTable[Name], "&lt;&gt;N/A") &gt; 1</f>
        <v>0</v>
      </c>
      <c r="M703" s="168" t="b">
        <f>AND(COUNTIFS(ITEquipmentTable[IPv4 Address], ITEquipmentTable[[#This Row],[IPv4 Address]]) &gt; 1, ITEquipmentTable[[#This Row],[IPv4 Address]] &lt;&gt; "DHCP",  ITEquipmentTable[[#This Row],[IPv4 Address]] &lt;&gt; "N/A")</f>
        <v>0</v>
      </c>
    </row>
    <row r="704" spans="1:13" x14ac:dyDescent="0.2">
      <c r="A704" s="168">
        <f>IF(LEN(ITSecondTable[[#This Row],[Tag]]) &gt; 0, _xlfn.XLOOKUP(ITSecondTable[[#This Row],[Tag]],StorageTable[Tag], StorageTable[In Storage - Count Total], "Err", 0, 1), 0)</f>
        <v>6</v>
      </c>
      <c r="B704" s="168">
        <f>_xlfn.LET(_xlpm.loc, ITEquipmentTable[Storage Location],
COUNTIFS(ITSecondTable[Tag], ITSecondTable[[#This Row],[Tag]], _xlpm.loc, "&lt;&gt;In Use", _xlpm.loc, "&lt;&gt;",  _xlpm.loc, "&lt;&gt;E-Waste", _xlpm.loc, "&lt;&gt;Virtual",  _xlpm.loc, "&lt;&gt;Assigned to Employee", _xlpm.loc, "&lt;&gt;Decommisioned", _xlpm.loc, "&lt;&gt;Missing")
)</f>
        <v>17</v>
      </c>
      <c r="C704" s="168">
        <f>_xlfn.LET(_xlpm.loc, ITEquipmentTable[Storage Location],
COUNTIFS(ITSecondTable[Tag], ITSecondTable[[#This Row],[Tag]], _xlpm.loc, "&lt;&gt;E-Waste", _xlpm.loc, "&lt;&gt;Virtual", _xlpm.loc, "&lt;&gt;Decommisioned")
)</f>
        <v>64</v>
      </c>
      <c r="D704" s="168">
        <f>_xlfn.LET(_xlpm.loc, ITEquipmentTable[Storage Location],
COUNTIFS(ITSecondTable[Tag], ITSecondTable[[#This Row],[Tag]], _xlpm.loc, "Missing")
)</f>
        <v>0</v>
      </c>
      <c r="E704" s="168">
        <f>_xlfn.LET(_xlpm.loc, ITEquipmentTable[Storage Location],
COUNTIFS(ITSecondTable[Tag], ITSecondTable[[#This Row],[Tag]], _xlpm.loc, "In Use") + COUNTIFS(ITSecondTable[Tag], ITSecondTable[[#This Row],[Tag]], _xlpm.loc, "Assigned to Employee")
)</f>
        <v>30</v>
      </c>
      <c r="F704" s="168">
        <f>_xlfn.LET(_xlpm.loc, ITEquipmentTable[Storage Location],
COUNTIFS(ITSecondTable[Tag], ITSecondTable[[#This Row],[Tag]], _xlpm.loc, "")
)</f>
        <v>17</v>
      </c>
      <c r="G704" s="168">
        <f>MAX(ITSecondTable[[#This Row],[SQty]] - ITSecondTable[[#This Row],[IQty]], 0)</f>
        <v>11</v>
      </c>
      <c r="H704" s="168">
        <f>MAX(ITSecondTable[[#This Row],[IQty]]-ITSecondTable[[#This Row],[SQty]], 0)</f>
        <v>0</v>
      </c>
      <c r="I704" s="151" t="str">
        <f>IFERROR(_xlfn.TEXTJOIN("~", TRUE, ITEquipmentTable[[#This Row],[Type]],ITEquipmentTable[[#This Row],[Brand]],ITEquipmentTable[[#This Row],[Model]]), "")</f>
        <v>Desktop~Dell~OptiPlex 3040</v>
      </c>
      <c r="J704" s="151" t="b">
        <f xml:space="preserve"> _xlfn.IFNA(MATCH( ITSecondTable[[#This Row],[Tag]], StorageTable[Tag], 0)  &gt; -1, FALSE)</f>
        <v>0</v>
      </c>
      <c r="K704" s="168" t="b">
        <f>COUNTIFS(ITEquipmentTable[Serial], ITEquipmentTable[[#This Row],[Serial]], ITEquipmentTable[Serial], "&lt;&gt;N/A") &gt; 1</f>
        <v>0</v>
      </c>
      <c r="L704" s="168" t="b">
        <f>COUNTIFS(ITEquipmentTable[Name], ITEquipmentTable[[#This Row],[Name]], ITEquipmentTable[Name], "&lt;&gt;&lt;Unassigned&gt;",  ITEquipmentTable[Name], "&lt;&gt;N/A") &gt; 1</f>
        <v>0</v>
      </c>
      <c r="M704" s="168" t="b">
        <f>AND(COUNTIFS(ITEquipmentTable[IPv4 Address], ITEquipmentTable[[#This Row],[IPv4 Address]]) &gt; 1, ITEquipmentTable[[#This Row],[IPv4 Address]] &lt;&gt; "DHCP",  ITEquipmentTable[[#This Row],[IPv4 Address]] &lt;&gt; "N/A")</f>
        <v>0</v>
      </c>
    </row>
    <row r="705" spans="1:13" x14ac:dyDescent="0.2">
      <c r="A705" s="168">
        <f>IF(LEN(ITSecondTable[[#This Row],[Tag]]) &gt; 0, _xlfn.XLOOKUP(ITSecondTable[[#This Row],[Tag]],StorageTable[Tag], StorageTable[In Storage - Count Total], "Err", 0, 1), 0)</f>
        <v>6</v>
      </c>
      <c r="B705" s="168">
        <f>_xlfn.LET(_xlpm.loc, ITEquipmentTable[Storage Location],
COUNTIFS(ITSecondTable[Tag], ITSecondTable[[#This Row],[Tag]], _xlpm.loc, "&lt;&gt;In Use", _xlpm.loc, "&lt;&gt;",  _xlpm.loc, "&lt;&gt;E-Waste", _xlpm.loc, "&lt;&gt;Virtual",  _xlpm.loc, "&lt;&gt;Assigned to Employee", _xlpm.loc, "&lt;&gt;Decommisioned", _xlpm.loc, "&lt;&gt;Missing")
)</f>
        <v>17</v>
      </c>
      <c r="C705" s="168">
        <f>_xlfn.LET(_xlpm.loc, ITEquipmentTable[Storage Location],
COUNTIFS(ITSecondTable[Tag], ITSecondTable[[#This Row],[Tag]], _xlpm.loc, "&lt;&gt;E-Waste", _xlpm.loc, "&lt;&gt;Virtual", _xlpm.loc, "&lt;&gt;Decommisioned")
)</f>
        <v>64</v>
      </c>
      <c r="D705" s="168">
        <f>_xlfn.LET(_xlpm.loc, ITEquipmentTable[Storage Location],
COUNTIFS(ITSecondTable[Tag], ITSecondTable[[#This Row],[Tag]], _xlpm.loc, "Missing")
)</f>
        <v>0</v>
      </c>
      <c r="E705" s="168">
        <f>_xlfn.LET(_xlpm.loc, ITEquipmentTable[Storage Location],
COUNTIFS(ITSecondTable[Tag], ITSecondTable[[#This Row],[Tag]], _xlpm.loc, "In Use") + COUNTIFS(ITSecondTable[Tag], ITSecondTable[[#This Row],[Tag]], _xlpm.loc, "Assigned to Employee")
)</f>
        <v>30</v>
      </c>
      <c r="F705" s="168">
        <f>_xlfn.LET(_xlpm.loc, ITEquipmentTable[Storage Location],
COUNTIFS(ITSecondTable[Tag], ITSecondTable[[#This Row],[Tag]], _xlpm.loc, "")
)</f>
        <v>17</v>
      </c>
      <c r="G705" s="168">
        <f>MAX(ITSecondTable[[#This Row],[SQty]] - ITSecondTable[[#This Row],[IQty]], 0)</f>
        <v>11</v>
      </c>
      <c r="H705" s="168">
        <f>MAX(ITSecondTable[[#This Row],[IQty]]-ITSecondTable[[#This Row],[SQty]], 0)</f>
        <v>0</v>
      </c>
      <c r="I705" s="151" t="str">
        <f>IFERROR(_xlfn.TEXTJOIN("~", TRUE, ITEquipmentTable[[#This Row],[Type]],ITEquipmentTable[[#This Row],[Brand]],ITEquipmentTable[[#This Row],[Model]]), "")</f>
        <v>Desktop~Dell~OptiPlex 3040</v>
      </c>
      <c r="J705" s="151" t="b">
        <f xml:space="preserve"> _xlfn.IFNA(MATCH( ITSecondTable[[#This Row],[Tag]], StorageTable[Tag], 0)  &gt; -1, FALSE)</f>
        <v>0</v>
      </c>
      <c r="K705" s="168" t="b">
        <f>COUNTIFS(ITEquipmentTable[Serial], ITEquipmentTable[[#This Row],[Serial]], ITEquipmentTable[Serial], "&lt;&gt;N/A") &gt; 1</f>
        <v>0</v>
      </c>
      <c r="L705" s="168" t="b">
        <f>COUNTIFS(ITEquipmentTable[Name], ITEquipmentTable[[#This Row],[Name]], ITEquipmentTable[Name], "&lt;&gt;&lt;Unassigned&gt;",  ITEquipmentTable[Name], "&lt;&gt;N/A") &gt; 1</f>
        <v>0</v>
      </c>
      <c r="M705" s="168" t="b">
        <f>AND(COUNTIFS(ITEquipmentTable[IPv4 Address], ITEquipmentTable[[#This Row],[IPv4 Address]]) &gt; 1, ITEquipmentTable[[#This Row],[IPv4 Address]] &lt;&gt; "DHCP",  ITEquipmentTable[[#This Row],[IPv4 Address]] &lt;&gt; "N/A")</f>
        <v>0</v>
      </c>
    </row>
    <row r="706" spans="1:13" x14ac:dyDescent="0.2">
      <c r="A706" s="168">
        <f>IF(LEN(ITSecondTable[[#This Row],[Tag]]) &gt; 0, _xlfn.XLOOKUP(ITSecondTable[[#This Row],[Tag]],StorageTable[Tag], StorageTable[In Storage - Count Total], "Err", 0, 1), 0)</f>
        <v>0</v>
      </c>
      <c r="B706" s="168">
        <f>_xlfn.LET(_xlpm.loc, ITEquipmentTable[Storage Location],
COUNTIFS(ITSecondTable[Tag], ITSecondTable[[#This Row],[Tag]], _xlpm.loc, "&lt;&gt;In Use", _xlpm.loc, "&lt;&gt;",  _xlpm.loc, "&lt;&gt;E-Waste", _xlpm.loc, "&lt;&gt;Virtual",  _xlpm.loc, "&lt;&gt;Assigned to Employee", _xlpm.loc, "&lt;&gt;Decommisioned", _xlpm.loc, "&lt;&gt;Missing")
)</f>
        <v>8</v>
      </c>
      <c r="C706" s="168">
        <f>_xlfn.LET(_xlpm.loc, ITEquipmentTable[Storage Location],
COUNTIFS(ITSecondTable[Tag], ITSecondTable[[#This Row],[Tag]], _xlpm.loc, "&lt;&gt;E-Waste", _xlpm.loc, "&lt;&gt;Virtual", _xlpm.loc, "&lt;&gt;Decommisioned")
)</f>
        <v>27</v>
      </c>
      <c r="D706" s="168">
        <f>_xlfn.LET(_xlpm.loc, ITEquipmentTable[Storage Location],
COUNTIFS(ITSecondTable[Tag], ITSecondTable[[#This Row],[Tag]], _xlpm.loc, "Missing")
)</f>
        <v>0</v>
      </c>
      <c r="E706" s="168">
        <f>_xlfn.LET(_xlpm.loc, ITEquipmentTable[Storage Location],
COUNTIFS(ITSecondTable[Tag], ITSecondTable[[#This Row],[Tag]], _xlpm.loc, "In Use") + COUNTIFS(ITSecondTable[Tag], ITSecondTable[[#This Row],[Tag]], _xlpm.loc, "Assigned to Employee")
)</f>
        <v>12</v>
      </c>
      <c r="F706" s="168">
        <f>_xlfn.LET(_xlpm.loc, ITEquipmentTable[Storage Location],
COUNTIFS(ITSecondTable[Tag], ITSecondTable[[#This Row],[Tag]], _xlpm.loc, "")
)</f>
        <v>7</v>
      </c>
      <c r="G706" s="168">
        <f>MAX(ITSecondTable[[#This Row],[SQty]] - ITSecondTable[[#This Row],[IQty]], 0)</f>
        <v>8</v>
      </c>
      <c r="H706" s="168">
        <f>MAX(ITSecondTable[[#This Row],[IQty]]-ITSecondTable[[#This Row],[SQty]], 0)</f>
        <v>0</v>
      </c>
      <c r="I706" s="151" t="str">
        <f>IFERROR(_xlfn.TEXTJOIN("~", TRUE, ITEquipmentTable[[#This Row],[Type]],ITEquipmentTable[[#This Row],[Brand]],ITEquipmentTable[[#This Row],[Model]]), "")</f>
        <v>Desktop~Dell~OptiPlex 3050</v>
      </c>
      <c r="J706" s="151" t="b">
        <f xml:space="preserve"> _xlfn.IFNA(MATCH( ITSecondTable[[#This Row],[Tag]], StorageTable[Tag], 0)  &gt; -1, FALSE)</f>
        <v>0</v>
      </c>
      <c r="K706" s="168" t="b">
        <f>COUNTIFS(ITEquipmentTable[Serial], ITEquipmentTable[[#This Row],[Serial]], ITEquipmentTable[Serial], "&lt;&gt;N/A") &gt; 1</f>
        <v>0</v>
      </c>
      <c r="L706" s="168" t="b">
        <f>COUNTIFS(ITEquipmentTable[Name], ITEquipmentTable[[#This Row],[Name]], ITEquipmentTable[Name], "&lt;&gt;&lt;Unassigned&gt;",  ITEquipmentTable[Name], "&lt;&gt;N/A") &gt; 1</f>
        <v>0</v>
      </c>
      <c r="M706" s="168" t="b">
        <f>AND(COUNTIFS(ITEquipmentTable[IPv4 Address], ITEquipmentTable[[#This Row],[IPv4 Address]]) &gt; 1, ITEquipmentTable[[#This Row],[IPv4 Address]] &lt;&gt; "DHCP",  ITEquipmentTable[[#This Row],[IPv4 Address]] &lt;&gt; "N/A")</f>
        <v>0</v>
      </c>
    </row>
    <row r="707" spans="1:13" x14ac:dyDescent="0.2">
      <c r="A707" s="168">
        <f>IF(LEN(ITSecondTable[[#This Row],[Tag]]) &gt; 0, _xlfn.XLOOKUP(ITSecondTable[[#This Row],[Tag]],StorageTable[Tag], StorageTable[In Storage - Count Total], "Err", 0, 1), 0)</f>
        <v>0</v>
      </c>
      <c r="B707" s="168">
        <f>_xlfn.LET(_xlpm.loc, ITEquipmentTable[Storage Location],
COUNTIFS(ITSecondTable[Tag], ITSecondTable[[#This Row],[Tag]], _xlpm.loc, "&lt;&gt;In Use", _xlpm.loc, "&lt;&gt;",  _xlpm.loc, "&lt;&gt;E-Waste", _xlpm.loc, "&lt;&gt;Virtual",  _xlpm.loc, "&lt;&gt;Assigned to Employee", _xlpm.loc, "&lt;&gt;Decommisioned", _xlpm.loc, "&lt;&gt;Missing")
)</f>
        <v>8</v>
      </c>
      <c r="C707" s="168">
        <f>_xlfn.LET(_xlpm.loc, ITEquipmentTable[Storage Location],
COUNTIFS(ITSecondTable[Tag], ITSecondTable[[#This Row],[Tag]], _xlpm.loc, "&lt;&gt;E-Waste", _xlpm.loc, "&lt;&gt;Virtual", _xlpm.loc, "&lt;&gt;Decommisioned")
)</f>
        <v>27</v>
      </c>
      <c r="D707" s="168">
        <f>_xlfn.LET(_xlpm.loc, ITEquipmentTable[Storage Location],
COUNTIFS(ITSecondTable[Tag], ITSecondTable[[#This Row],[Tag]], _xlpm.loc, "Missing")
)</f>
        <v>0</v>
      </c>
      <c r="E707" s="168">
        <f>_xlfn.LET(_xlpm.loc, ITEquipmentTable[Storage Location],
COUNTIFS(ITSecondTable[Tag], ITSecondTable[[#This Row],[Tag]], _xlpm.loc, "In Use") + COUNTIFS(ITSecondTable[Tag], ITSecondTable[[#This Row],[Tag]], _xlpm.loc, "Assigned to Employee")
)</f>
        <v>12</v>
      </c>
      <c r="F707" s="168">
        <f>_xlfn.LET(_xlpm.loc, ITEquipmentTable[Storage Location],
COUNTIFS(ITSecondTable[Tag], ITSecondTable[[#This Row],[Tag]], _xlpm.loc, "")
)</f>
        <v>7</v>
      </c>
      <c r="G707" s="168">
        <f>MAX(ITSecondTable[[#This Row],[SQty]] - ITSecondTable[[#This Row],[IQty]], 0)</f>
        <v>8</v>
      </c>
      <c r="H707" s="168">
        <f>MAX(ITSecondTable[[#This Row],[IQty]]-ITSecondTable[[#This Row],[SQty]], 0)</f>
        <v>0</v>
      </c>
      <c r="I707" s="151" t="str">
        <f>IFERROR(_xlfn.TEXTJOIN("~", TRUE, ITEquipmentTable[[#This Row],[Type]],ITEquipmentTable[[#This Row],[Brand]],ITEquipmentTable[[#This Row],[Model]]), "")</f>
        <v>Desktop~Dell~OptiPlex 3050</v>
      </c>
      <c r="J707" s="151" t="b">
        <f xml:space="preserve"> _xlfn.IFNA(MATCH( ITSecondTable[[#This Row],[Tag]], StorageTable[Tag], 0)  &gt; -1, FALSE)</f>
        <v>0</v>
      </c>
      <c r="K707" s="168" t="b">
        <f>COUNTIFS(ITEquipmentTable[Serial], ITEquipmentTable[[#This Row],[Serial]], ITEquipmentTable[Serial], "&lt;&gt;N/A") &gt; 1</f>
        <v>0</v>
      </c>
      <c r="L707" s="168" t="b">
        <f>COUNTIFS(ITEquipmentTable[Name], ITEquipmentTable[[#This Row],[Name]], ITEquipmentTable[Name], "&lt;&gt;&lt;Unassigned&gt;",  ITEquipmentTable[Name], "&lt;&gt;N/A") &gt; 1</f>
        <v>0</v>
      </c>
      <c r="M707" s="168" t="b">
        <f>AND(COUNTIFS(ITEquipmentTable[IPv4 Address], ITEquipmentTable[[#This Row],[IPv4 Address]]) &gt; 1, ITEquipmentTable[[#This Row],[IPv4 Address]] &lt;&gt; "DHCP",  ITEquipmentTable[[#This Row],[IPv4 Address]] &lt;&gt; "N/A")</f>
        <v>0</v>
      </c>
    </row>
    <row r="708" spans="1:13" x14ac:dyDescent="0.2">
      <c r="A708" s="168">
        <f>IF(LEN(ITSecondTable[[#This Row],[Tag]]) &gt; 0, _xlfn.XLOOKUP(ITSecondTable[[#This Row],[Tag]],StorageTable[Tag], StorageTable[In Storage - Count Total], "Err", 0, 1), 0)</f>
        <v>0</v>
      </c>
      <c r="B708" s="168">
        <f>_xlfn.LET(_xlpm.loc, ITEquipmentTable[Storage Location],
COUNTIFS(ITSecondTable[Tag], ITSecondTable[[#This Row],[Tag]], _xlpm.loc, "&lt;&gt;In Use", _xlpm.loc, "&lt;&gt;",  _xlpm.loc, "&lt;&gt;E-Waste", _xlpm.loc, "&lt;&gt;Virtual",  _xlpm.loc, "&lt;&gt;Assigned to Employee", _xlpm.loc, "&lt;&gt;Decommisioned", _xlpm.loc, "&lt;&gt;Missing")
)</f>
        <v>2</v>
      </c>
      <c r="C708" s="168">
        <f>_xlfn.LET(_xlpm.loc, ITEquipmentTable[Storage Location],
COUNTIFS(ITSecondTable[Tag], ITSecondTable[[#This Row],[Tag]], _xlpm.loc, "&lt;&gt;E-Waste", _xlpm.loc, "&lt;&gt;Virtual", _xlpm.loc, "&lt;&gt;Decommisioned")
)</f>
        <v>11</v>
      </c>
      <c r="D708" s="168">
        <f>_xlfn.LET(_xlpm.loc, ITEquipmentTable[Storage Location],
COUNTIFS(ITSecondTable[Tag], ITSecondTable[[#This Row],[Tag]], _xlpm.loc, "Missing")
)</f>
        <v>0</v>
      </c>
      <c r="E708" s="168">
        <f>_xlfn.LET(_xlpm.loc, ITEquipmentTable[Storage Location],
COUNTIFS(ITSecondTable[Tag], ITSecondTable[[#This Row],[Tag]], _xlpm.loc, "In Use") + COUNTIFS(ITSecondTable[Tag], ITSecondTable[[#This Row],[Tag]], _xlpm.loc, "Assigned to Employee")
)</f>
        <v>6</v>
      </c>
      <c r="F708" s="168">
        <f>_xlfn.LET(_xlpm.loc, ITEquipmentTable[Storage Location],
COUNTIFS(ITSecondTable[Tag], ITSecondTable[[#This Row],[Tag]], _xlpm.loc, "")
)</f>
        <v>3</v>
      </c>
      <c r="G708" s="168">
        <f>MAX(ITSecondTable[[#This Row],[SQty]] - ITSecondTable[[#This Row],[IQty]], 0)</f>
        <v>2</v>
      </c>
      <c r="H708" s="168">
        <f>MAX(ITSecondTable[[#This Row],[IQty]]-ITSecondTable[[#This Row],[SQty]], 0)</f>
        <v>0</v>
      </c>
      <c r="I708" s="151" t="str">
        <f>IFERROR(_xlfn.TEXTJOIN("~", TRUE, ITEquipmentTable[[#This Row],[Type]],ITEquipmentTable[[#This Row],[Brand]],ITEquipmentTable[[#This Row],[Model]]), "")</f>
        <v>Desktop~Dell</v>
      </c>
      <c r="J708" s="151" t="b">
        <f xml:space="preserve"> _xlfn.IFNA(MATCH( ITSecondTable[[#This Row],[Tag]], StorageTable[Tag], 0)  &gt; -1, FALSE)</f>
        <v>0</v>
      </c>
      <c r="K708" s="168" t="b">
        <f>COUNTIFS(ITEquipmentTable[Serial], ITEquipmentTable[[#This Row],[Serial]], ITEquipmentTable[Serial], "&lt;&gt;N/A") &gt; 1</f>
        <v>0</v>
      </c>
      <c r="L708" s="168" t="b">
        <f>COUNTIFS(ITEquipmentTable[Name], ITEquipmentTable[[#This Row],[Name]], ITEquipmentTable[Name], "&lt;&gt;&lt;Unassigned&gt;",  ITEquipmentTable[Name], "&lt;&gt;N/A") &gt; 1</f>
        <v>0</v>
      </c>
      <c r="M708" s="168" t="b">
        <f>AND(COUNTIFS(ITEquipmentTable[IPv4 Address], ITEquipmentTable[[#This Row],[IPv4 Address]]) &gt; 1, ITEquipmentTable[[#This Row],[IPv4 Address]] &lt;&gt; "DHCP",  ITEquipmentTable[[#This Row],[IPv4 Address]] &lt;&gt; "N/A")</f>
        <v>0</v>
      </c>
    </row>
    <row r="709" spans="1:13" x14ac:dyDescent="0.2">
      <c r="A709" s="168">
        <f>IF(LEN(ITSecondTable[[#This Row],[Tag]]) &gt; 0, _xlfn.XLOOKUP(ITSecondTable[[#This Row],[Tag]],StorageTable[Tag], StorageTable[In Storage - Count Total], "Err", 0, 1), 0)</f>
        <v>0</v>
      </c>
      <c r="B709" s="168">
        <f>_xlfn.LET(_xlpm.loc, ITEquipmentTable[Storage Location],
COUNTIFS(ITSecondTable[Tag], ITSecondTable[[#This Row],[Tag]], _xlpm.loc, "&lt;&gt;In Use", _xlpm.loc, "&lt;&gt;",  _xlpm.loc, "&lt;&gt;E-Waste", _xlpm.loc, "&lt;&gt;Virtual",  _xlpm.loc, "&lt;&gt;Assigned to Employee", _xlpm.loc, "&lt;&gt;Decommisioned", _xlpm.loc, "&lt;&gt;Missing")
)</f>
        <v>2</v>
      </c>
      <c r="C709" s="168">
        <f>_xlfn.LET(_xlpm.loc, ITEquipmentTable[Storage Location],
COUNTIFS(ITSecondTable[Tag], ITSecondTable[[#This Row],[Tag]], _xlpm.loc, "&lt;&gt;E-Waste", _xlpm.loc, "&lt;&gt;Virtual", _xlpm.loc, "&lt;&gt;Decommisioned")
)</f>
        <v>11</v>
      </c>
      <c r="D709" s="168">
        <f>_xlfn.LET(_xlpm.loc, ITEquipmentTable[Storage Location],
COUNTIFS(ITSecondTable[Tag], ITSecondTable[[#This Row],[Tag]], _xlpm.loc, "Missing")
)</f>
        <v>0</v>
      </c>
      <c r="E709" s="168">
        <f>_xlfn.LET(_xlpm.loc, ITEquipmentTable[Storage Location],
COUNTIFS(ITSecondTable[Tag], ITSecondTable[[#This Row],[Tag]], _xlpm.loc, "In Use") + COUNTIFS(ITSecondTable[Tag], ITSecondTable[[#This Row],[Tag]], _xlpm.loc, "Assigned to Employee")
)</f>
        <v>6</v>
      </c>
      <c r="F709" s="168">
        <f>_xlfn.LET(_xlpm.loc, ITEquipmentTable[Storage Location],
COUNTIFS(ITSecondTable[Tag], ITSecondTable[[#This Row],[Tag]], _xlpm.loc, "")
)</f>
        <v>3</v>
      </c>
      <c r="G709" s="168">
        <f>MAX(ITSecondTable[[#This Row],[SQty]] - ITSecondTable[[#This Row],[IQty]], 0)</f>
        <v>2</v>
      </c>
      <c r="H709" s="168">
        <f>MAX(ITSecondTable[[#This Row],[IQty]]-ITSecondTable[[#This Row],[SQty]], 0)</f>
        <v>0</v>
      </c>
      <c r="I709" s="151" t="str">
        <f>IFERROR(_xlfn.TEXTJOIN("~", TRUE, ITEquipmentTable[[#This Row],[Type]],ITEquipmentTable[[#This Row],[Brand]],ITEquipmentTable[[#This Row],[Model]]), "")</f>
        <v>Desktop~Dell</v>
      </c>
      <c r="J709" s="151" t="b">
        <f xml:space="preserve"> _xlfn.IFNA(MATCH( ITSecondTable[[#This Row],[Tag]], StorageTable[Tag], 0)  &gt; -1, FALSE)</f>
        <v>0</v>
      </c>
      <c r="K709" s="168" t="b">
        <f>COUNTIFS(ITEquipmentTable[Serial], ITEquipmentTable[[#This Row],[Serial]], ITEquipmentTable[Serial], "&lt;&gt;N/A") &gt; 1</f>
        <v>0</v>
      </c>
      <c r="L709" s="168" t="b">
        <f>COUNTIFS(ITEquipmentTable[Name], ITEquipmentTable[[#This Row],[Name]], ITEquipmentTable[Name], "&lt;&gt;&lt;Unassigned&gt;",  ITEquipmentTable[Name], "&lt;&gt;N/A") &gt; 1</f>
        <v>0</v>
      </c>
      <c r="M709" s="168" t="b">
        <f>AND(COUNTIFS(ITEquipmentTable[IPv4 Address], ITEquipmentTable[[#This Row],[IPv4 Address]]) &gt; 1, ITEquipmentTable[[#This Row],[IPv4 Address]] &lt;&gt; "DHCP",  ITEquipmentTable[[#This Row],[IPv4 Address]] &lt;&gt; "N/A")</f>
        <v>0</v>
      </c>
    </row>
    <row r="710" spans="1:13" x14ac:dyDescent="0.2">
      <c r="A710" s="168">
        <f>IF(LEN(ITSecondTable[[#This Row],[Tag]]) &gt; 0, _xlfn.XLOOKUP(ITSecondTable[[#This Row],[Tag]],StorageTable[Tag], StorageTable[In Storage - Count Total], "Err", 0, 1), 0)</f>
        <v>0</v>
      </c>
      <c r="B710" s="168">
        <f>_xlfn.LET(_xlpm.loc, ITEquipmentTable[Storage Location],
COUNTIFS(ITSecondTable[Tag], ITSecondTable[[#This Row],[Tag]], _xlpm.loc, "&lt;&gt;In Use", _xlpm.loc, "&lt;&gt;",  _xlpm.loc, "&lt;&gt;E-Waste", _xlpm.loc, "&lt;&gt;Virtual",  _xlpm.loc, "&lt;&gt;Assigned to Employee", _xlpm.loc, "&lt;&gt;Decommisioned", _xlpm.loc, "&lt;&gt;Missing")
)</f>
        <v>2</v>
      </c>
      <c r="C710" s="168">
        <f>_xlfn.LET(_xlpm.loc, ITEquipmentTable[Storage Location],
COUNTIFS(ITSecondTable[Tag], ITSecondTable[[#This Row],[Tag]], _xlpm.loc, "&lt;&gt;E-Waste", _xlpm.loc, "&lt;&gt;Virtual", _xlpm.loc, "&lt;&gt;Decommisioned")
)</f>
        <v>11</v>
      </c>
      <c r="D710" s="168">
        <f>_xlfn.LET(_xlpm.loc, ITEquipmentTable[Storage Location],
COUNTIFS(ITSecondTable[Tag], ITSecondTable[[#This Row],[Tag]], _xlpm.loc, "Missing")
)</f>
        <v>0</v>
      </c>
      <c r="E710" s="168">
        <f>_xlfn.LET(_xlpm.loc, ITEquipmentTable[Storage Location],
COUNTIFS(ITSecondTable[Tag], ITSecondTable[[#This Row],[Tag]], _xlpm.loc, "In Use") + COUNTIFS(ITSecondTable[Tag], ITSecondTable[[#This Row],[Tag]], _xlpm.loc, "Assigned to Employee")
)</f>
        <v>6</v>
      </c>
      <c r="F710" s="168">
        <f>_xlfn.LET(_xlpm.loc, ITEquipmentTable[Storage Location],
COUNTIFS(ITSecondTable[Tag], ITSecondTable[[#This Row],[Tag]], _xlpm.loc, "")
)</f>
        <v>3</v>
      </c>
      <c r="G710" s="168">
        <f>MAX(ITSecondTable[[#This Row],[SQty]] - ITSecondTable[[#This Row],[IQty]], 0)</f>
        <v>2</v>
      </c>
      <c r="H710" s="168">
        <f>MAX(ITSecondTable[[#This Row],[IQty]]-ITSecondTable[[#This Row],[SQty]], 0)</f>
        <v>0</v>
      </c>
      <c r="I710" s="151" t="str">
        <f>IFERROR(_xlfn.TEXTJOIN("~", TRUE, ITEquipmentTable[[#This Row],[Type]],ITEquipmentTable[[#This Row],[Brand]],ITEquipmentTable[[#This Row],[Model]]), "")</f>
        <v>Desktop~Dell</v>
      </c>
      <c r="J710" s="151" t="b">
        <f xml:space="preserve"> _xlfn.IFNA(MATCH( ITSecondTable[[#This Row],[Tag]], StorageTable[Tag], 0)  &gt; -1, FALSE)</f>
        <v>0</v>
      </c>
      <c r="K710" s="168" t="b">
        <f>COUNTIFS(ITEquipmentTable[Serial], ITEquipmentTable[[#This Row],[Serial]], ITEquipmentTable[Serial], "&lt;&gt;N/A") &gt; 1</f>
        <v>0</v>
      </c>
      <c r="L710" s="168" t="b">
        <f>COUNTIFS(ITEquipmentTable[Name], ITEquipmentTable[[#This Row],[Name]], ITEquipmentTable[Name], "&lt;&gt;&lt;Unassigned&gt;",  ITEquipmentTable[Name], "&lt;&gt;N/A") &gt; 1</f>
        <v>0</v>
      </c>
      <c r="M710" s="168" t="b">
        <f>AND(COUNTIFS(ITEquipmentTable[IPv4 Address], ITEquipmentTable[[#This Row],[IPv4 Address]]) &gt; 1, ITEquipmentTable[[#This Row],[IPv4 Address]] &lt;&gt; "DHCP",  ITEquipmentTable[[#This Row],[IPv4 Address]] &lt;&gt; "N/A")</f>
        <v>0</v>
      </c>
    </row>
    <row r="711" spans="1:13" x14ac:dyDescent="0.2">
      <c r="A711" s="168">
        <f>IF(LEN(ITSecondTable[[#This Row],[Tag]]) &gt; 0, _xlfn.XLOOKUP(ITSecondTable[[#This Row],[Tag]],StorageTable[Tag], StorageTable[In Storage - Count Total], "Err", 0, 1), 0)</f>
        <v>0</v>
      </c>
      <c r="B711" s="168">
        <f>_xlfn.LET(_xlpm.loc, ITEquipmentTable[Storage Location],
COUNTIFS(ITSecondTable[Tag], ITSecondTable[[#This Row],[Tag]], _xlpm.loc, "&lt;&gt;In Use", _xlpm.loc, "&lt;&gt;",  _xlpm.loc, "&lt;&gt;E-Waste", _xlpm.loc, "&lt;&gt;Virtual",  _xlpm.loc, "&lt;&gt;Assigned to Employee", _xlpm.loc, "&lt;&gt;Decommisioned", _xlpm.loc, "&lt;&gt;Missing")
)</f>
        <v>2</v>
      </c>
      <c r="C711" s="168">
        <f>_xlfn.LET(_xlpm.loc, ITEquipmentTable[Storage Location],
COUNTIFS(ITSecondTable[Tag], ITSecondTable[[#This Row],[Tag]], _xlpm.loc, "&lt;&gt;E-Waste", _xlpm.loc, "&lt;&gt;Virtual", _xlpm.loc, "&lt;&gt;Decommisioned")
)</f>
        <v>11</v>
      </c>
      <c r="D711" s="168">
        <f>_xlfn.LET(_xlpm.loc, ITEquipmentTable[Storage Location],
COUNTIFS(ITSecondTable[Tag], ITSecondTable[[#This Row],[Tag]], _xlpm.loc, "Missing")
)</f>
        <v>0</v>
      </c>
      <c r="E711" s="168">
        <f>_xlfn.LET(_xlpm.loc, ITEquipmentTable[Storage Location],
COUNTIFS(ITSecondTable[Tag], ITSecondTable[[#This Row],[Tag]], _xlpm.loc, "In Use") + COUNTIFS(ITSecondTable[Tag], ITSecondTable[[#This Row],[Tag]], _xlpm.loc, "Assigned to Employee")
)</f>
        <v>6</v>
      </c>
      <c r="F711" s="168">
        <f>_xlfn.LET(_xlpm.loc, ITEquipmentTable[Storage Location],
COUNTIFS(ITSecondTable[Tag], ITSecondTable[[#This Row],[Tag]], _xlpm.loc, "")
)</f>
        <v>3</v>
      </c>
      <c r="G711" s="168">
        <f>MAX(ITSecondTable[[#This Row],[SQty]] - ITSecondTable[[#This Row],[IQty]], 0)</f>
        <v>2</v>
      </c>
      <c r="H711" s="168">
        <f>MAX(ITSecondTable[[#This Row],[IQty]]-ITSecondTable[[#This Row],[SQty]], 0)</f>
        <v>0</v>
      </c>
      <c r="I711" s="151" t="str">
        <f>IFERROR(_xlfn.TEXTJOIN("~", TRUE, ITEquipmentTable[[#This Row],[Type]],ITEquipmentTable[[#This Row],[Brand]],ITEquipmentTable[[#This Row],[Model]]), "")</f>
        <v>Desktop~Dell</v>
      </c>
      <c r="J711" s="151" t="b">
        <f xml:space="preserve"> _xlfn.IFNA(MATCH( ITSecondTable[[#This Row],[Tag]], StorageTable[Tag], 0)  &gt; -1, FALSE)</f>
        <v>0</v>
      </c>
      <c r="K711" s="168" t="b">
        <f>COUNTIFS(ITEquipmentTable[Serial], ITEquipmentTable[[#This Row],[Serial]], ITEquipmentTable[Serial], "&lt;&gt;N/A") &gt; 1</f>
        <v>0</v>
      </c>
      <c r="L711" s="168" t="b">
        <f>COUNTIFS(ITEquipmentTable[Name], ITEquipmentTable[[#This Row],[Name]], ITEquipmentTable[Name], "&lt;&gt;&lt;Unassigned&gt;",  ITEquipmentTable[Name], "&lt;&gt;N/A") &gt; 1</f>
        <v>0</v>
      </c>
      <c r="M711" s="168" t="b">
        <f>AND(COUNTIFS(ITEquipmentTable[IPv4 Address], ITEquipmentTable[[#This Row],[IPv4 Address]]) &gt; 1, ITEquipmentTable[[#This Row],[IPv4 Address]] &lt;&gt; "DHCP",  ITEquipmentTable[[#This Row],[IPv4 Address]] &lt;&gt; "N/A")</f>
        <v>0</v>
      </c>
    </row>
    <row r="712" spans="1:13" x14ac:dyDescent="0.2">
      <c r="A712" s="168">
        <f>IF(LEN(ITSecondTable[[#This Row],[Tag]]) &gt; 0, _xlfn.XLOOKUP(ITSecondTable[[#This Row],[Tag]],StorageTable[Tag], StorageTable[In Storage - Count Total], "Err", 0, 1), 0)</f>
        <v>6</v>
      </c>
      <c r="B712" s="168">
        <f>_xlfn.LET(_xlpm.loc, ITEquipmentTable[Storage Location],
COUNTIFS(ITSecondTable[Tag], ITSecondTable[[#This Row],[Tag]], _xlpm.loc, "&lt;&gt;In Use", _xlpm.loc, "&lt;&gt;",  _xlpm.loc, "&lt;&gt;E-Waste", _xlpm.loc, "&lt;&gt;Virtual",  _xlpm.loc, "&lt;&gt;Assigned to Employee", _xlpm.loc, "&lt;&gt;Decommisioned", _xlpm.loc, "&lt;&gt;Missing")
)</f>
        <v>17</v>
      </c>
      <c r="C712" s="168">
        <f>_xlfn.LET(_xlpm.loc, ITEquipmentTable[Storage Location],
COUNTIFS(ITSecondTable[Tag], ITSecondTable[[#This Row],[Tag]], _xlpm.loc, "&lt;&gt;E-Waste", _xlpm.loc, "&lt;&gt;Virtual", _xlpm.loc, "&lt;&gt;Decommisioned")
)</f>
        <v>64</v>
      </c>
      <c r="D712" s="168">
        <f>_xlfn.LET(_xlpm.loc, ITEquipmentTable[Storage Location],
COUNTIFS(ITSecondTable[Tag], ITSecondTable[[#This Row],[Tag]], _xlpm.loc, "Missing")
)</f>
        <v>0</v>
      </c>
      <c r="E712" s="168">
        <f>_xlfn.LET(_xlpm.loc, ITEquipmentTable[Storage Location],
COUNTIFS(ITSecondTable[Tag], ITSecondTable[[#This Row],[Tag]], _xlpm.loc, "In Use") + COUNTIFS(ITSecondTable[Tag], ITSecondTable[[#This Row],[Tag]], _xlpm.loc, "Assigned to Employee")
)</f>
        <v>30</v>
      </c>
      <c r="F712" s="168">
        <f>_xlfn.LET(_xlpm.loc, ITEquipmentTable[Storage Location],
COUNTIFS(ITSecondTable[Tag], ITSecondTable[[#This Row],[Tag]], _xlpm.loc, "")
)</f>
        <v>17</v>
      </c>
      <c r="G712" s="168">
        <f>MAX(ITSecondTable[[#This Row],[SQty]] - ITSecondTable[[#This Row],[IQty]], 0)</f>
        <v>11</v>
      </c>
      <c r="H712" s="168">
        <f>MAX(ITSecondTable[[#This Row],[IQty]]-ITSecondTable[[#This Row],[SQty]], 0)</f>
        <v>0</v>
      </c>
      <c r="I712" s="151" t="str">
        <f>IFERROR(_xlfn.TEXTJOIN("~", TRUE, ITEquipmentTable[[#This Row],[Type]],ITEquipmentTable[[#This Row],[Brand]],ITEquipmentTable[[#This Row],[Model]]), "")</f>
        <v>Desktop~Dell~OptiPlex 3040</v>
      </c>
      <c r="J712" s="151" t="b">
        <f xml:space="preserve"> _xlfn.IFNA(MATCH( ITSecondTable[[#This Row],[Tag]], StorageTable[Tag], 0)  &gt; -1, FALSE)</f>
        <v>0</v>
      </c>
      <c r="K712" s="168" t="b">
        <f>COUNTIFS(ITEquipmentTable[Serial], ITEquipmentTable[[#This Row],[Serial]], ITEquipmentTable[Serial], "&lt;&gt;N/A") &gt; 1</f>
        <v>0</v>
      </c>
      <c r="L712" s="168" t="b">
        <f>COUNTIFS(ITEquipmentTable[Name], ITEquipmentTable[[#This Row],[Name]], ITEquipmentTable[Name], "&lt;&gt;&lt;Unassigned&gt;",  ITEquipmentTable[Name], "&lt;&gt;N/A") &gt; 1</f>
        <v>0</v>
      </c>
      <c r="M712" s="168" t="b">
        <f>AND(COUNTIFS(ITEquipmentTable[IPv4 Address], ITEquipmentTable[[#This Row],[IPv4 Address]]) &gt; 1, ITEquipmentTable[[#This Row],[IPv4 Address]] &lt;&gt; "DHCP",  ITEquipmentTable[[#This Row],[IPv4 Address]] &lt;&gt; "N/A")</f>
        <v>0</v>
      </c>
    </row>
    <row r="713" spans="1:13" x14ac:dyDescent="0.2">
      <c r="A713" s="168">
        <f>IF(LEN(ITSecondTable[[#This Row],[Tag]]) &gt; 0, _xlfn.XLOOKUP(ITSecondTable[[#This Row],[Tag]],StorageTable[Tag], StorageTable[In Storage - Count Total], "Err", 0, 1), 0)</f>
        <v>6</v>
      </c>
      <c r="B713" s="168">
        <f>_xlfn.LET(_xlpm.loc, ITEquipmentTable[Storage Location],
COUNTIFS(ITSecondTable[Tag], ITSecondTable[[#This Row],[Tag]], _xlpm.loc, "&lt;&gt;In Use", _xlpm.loc, "&lt;&gt;",  _xlpm.loc, "&lt;&gt;E-Waste", _xlpm.loc, "&lt;&gt;Virtual",  _xlpm.loc, "&lt;&gt;Assigned to Employee", _xlpm.loc, "&lt;&gt;Decommisioned", _xlpm.loc, "&lt;&gt;Missing")
)</f>
        <v>17</v>
      </c>
      <c r="C713" s="168">
        <f>_xlfn.LET(_xlpm.loc, ITEquipmentTable[Storage Location],
COUNTIFS(ITSecondTable[Tag], ITSecondTable[[#This Row],[Tag]], _xlpm.loc, "&lt;&gt;E-Waste", _xlpm.loc, "&lt;&gt;Virtual", _xlpm.loc, "&lt;&gt;Decommisioned")
)</f>
        <v>64</v>
      </c>
      <c r="D713" s="168">
        <f>_xlfn.LET(_xlpm.loc, ITEquipmentTable[Storage Location],
COUNTIFS(ITSecondTable[Tag], ITSecondTable[[#This Row],[Tag]], _xlpm.loc, "Missing")
)</f>
        <v>0</v>
      </c>
      <c r="E713" s="168">
        <f>_xlfn.LET(_xlpm.loc, ITEquipmentTable[Storage Location],
COUNTIFS(ITSecondTable[Tag], ITSecondTable[[#This Row],[Tag]], _xlpm.loc, "In Use") + COUNTIFS(ITSecondTable[Tag], ITSecondTable[[#This Row],[Tag]], _xlpm.loc, "Assigned to Employee")
)</f>
        <v>30</v>
      </c>
      <c r="F713" s="168">
        <f>_xlfn.LET(_xlpm.loc, ITEquipmentTable[Storage Location],
COUNTIFS(ITSecondTable[Tag], ITSecondTable[[#This Row],[Tag]], _xlpm.loc, "")
)</f>
        <v>17</v>
      </c>
      <c r="G713" s="168">
        <f>MAX(ITSecondTable[[#This Row],[SQty]] - ITSecondTable[[#This Row],[IQty]], 0)</f>
        <v>11</v>
      </c>
      <c r="H713" s="168">
        <f>MAX(ITSecondTable[[#This Row],[IQty]]-ITSecondTable[[#This Row],[SQty]], 0)</f>
        <v>0</v>
      </c>
      <c r="I713" s="151" t="str">
        <f>IFERROR(_xlfn.TEXTJOIN("~", TRUE, ITEquipmentTable[[#This Row],[Type]],ITEquipmentTable[[#This Row],[Brand]],ITEquipmentTable[[#This Row],[Model]]), "")</f>
        <v>Desktop~Dell~OptiPlex 3040</v>
      </c>
      <c r="J713" s="151" t="b">
        <f xml:space="preserve"> _xlfn.IFNA(MATCH( ITSecondTable[[#This Row],[Tag]], StorageTable[Tag], 0)  &gt; -1, FALSE)</f>
        <v>0</v>
      </c>
      <c r="K713" s="168" t="b">
        <f>COUNTIFS(ITEquipmentTable[Serial], ITEquipmentTable[[#This Row],[Serial]], ITEquipmentTable[Serial], "&lt;&gt;N/A") &gt; 1</f>
        <v>0</v>
      </c>
      <c r="L713" s="168" t="b">
        <f>COUNTIFS(ITEquipmentTable[Name], ITEquipmentTable[[#This Row],[Name]], ITEquipmentTable[Name], "&lt;&gt;&lt;Unassigned&gt;",  ITEquipmentTable[Name], "&lt;&gt;N/A") &gt; 1</f>
        <v>0</v>
      </c>
      <c r="M713" s="168" t="b">
        <f>AND(COUNTIFS(ITEquipmentTable[IPv4 Address], ITEquipmentTable[[#This Row],[IPv4 Address]]) &gt; 1, ITEquipmentTable[[#This Row],[IPv4 Address]] &lt;&gt; "DHCP",  ITEquipmentTable[[#This Row],[IPv4 Address]] &lt;&gt; "N/A")</f>
        <v>0</v>
      </c>
    </row>
    <row r="714" spans="1:13" x14ac:dyDescent="0.2">
      <c r="A714" s="168">
        <f>IF(LEN(ITSecondTable[[#This Row],[Tag]]) &gt; 0, _xlfn.XLOOKUP(ITSecondTable[[#This Row],[Tag]],StorageTable[Tag], StorageTable[In Storage - Count Total], "Err", 0, 1), 0)</f>
        <v>6</v>
      </c>
      <c r="B714" s="168">
        <f>_xlfn.LET(_xlpm.loc, ITEquipmentTable[Storage Location],
COUNTIFS(ITSecondTable[Tag], ITSecondTable[[#This Row],[Tag]], _xlpm.loc, "&lt;&gt;In Use", _xlpm.loc, "&lt;&gt;",  _xlpm.loc, "&lt;&gt;E-Waste", _xlpm.loc, "&lt;&gt;Virtual",  _xlpm.loc, "&lt;&gt;Assigned to Employee", _xlpm.loc, "&lt;&gt;Decommisioned", _xlpm.loc, "&lt;&gt;Missing")
)</f>
        <v>17</v>
      </c>
      <c r="C714" s="168">
        <f>_xlfn.LET(_xlpm.loc, ITEquipmentTable[Storage Location],
COUNTIFS(ITSecondTable[Tag], ITSecondTable[[#This Row],[Tag]], _xlpm.loc, "&lt;&gt;E-Waste", _xlpm.loc, "&lt;&gt;Virtual", _xlpm.loc, "&lt;&gt;Decommisioned")
)</f>
        <v>64</v>
      </c>
      <c r="D714" s="168">
        <f>_xlfn.LET(_xlpm.loc, ITEquipmentTable[Storage Location],
COUNTIFS(ITSecondTable[Tag], ITSecondTable[[#This Row],[Tag]], _xlpm.loc, "Missing")
)</f>
        <v>0</v>
      </c>
      <c r="E714" s="168">
        <f>_xlfn.LET(_xlpm.loc, ITEquipmentTable[Storage Location],
COUNTIFS(ITSecondTable[Tag], ITSecondTable[[#This Row],[Tag]], _xlpm.loc, "In Use") + COUNTIFS(ITSecondTable[Tag], ITSecondTable[[#This Row],[Tag]], _xlpm.loc, "Assigned to Employee")
)</f>
        <v>30</v>
      </c>
      <c r="F714" s="168">
        <f>_xlfn.LET(_xlpm.loc, ITEquipmentTable[Storage Location],
COUNTIFS(ITSecondTable[Tag], ITSecondTable[[#This Row],[Tag]], _xlpm.loc, "")
)</f>
        <v>17</v>
      </c>
      <c r="G714" s="168">
        <f>MAX(ITSecondTable[[#This Row],[SQty]] - ITSecondTable[[#This Row],[IQty]], 0)</f>
        <v>11</v>
      </c>
      <c r="H714" s="168">
        <f>MAX(ITSecondTable[[#This Row],[IQty]]-ITSecondTable[[#This Row],[SQty]], 0)</f>
        <v>0</v>
      </c>
      <c r="I714" s="151" t="str">
        <f>IFERROR(_xlfn.TEXTJOIN("~", TRUE, ITEquipmentTable[[#This Row],[Type]],ITEquipmentTable[[#This Row],[Brand]],ITEquipmentTable[[#This Row],[Model]]), "")</f>
        <v>Desktop~Dell~OptiPlex 3040</v>
      </c>
      <c r="J714" s="151" t="b">
        <f xml:space="preserve"> _xlfn.IFNA(MATCH( ITSecondTable[[#This Row],[Tag]], StorageTable[Tag], 0)  &gt; -1, FALSE)</f>
        <v>0</v>
      </c>
      <c r="K714" s="168" t="b">
        <f>COUNTIFS(ITEquipmentTable[Serial], ITEquipmentTable[[#This Row],[Serial]], ITEquipmentTable[Serial], "&lt;&gt;N/A") &gt; 1</f>
        <v>0</v>
      </c>
      <c r="L714" s="168" t="b">
        <f>COUNTIFS(ITEquipmentTable[Name], ITEquipmentTable[[#This Row],[Name]], ITEquipmentTable[Name], "&lt;&gt;&lt;Unassigned&gt;",  ITEquipmentTable[Name], "&lt;&gt;N/A") &gt; 1</f>
        <v>0</v>
      </c>
      <c r="M714" s="168" t="b">
        <f>AND(COUNTIFS(ITEquipmentTable[IPv4 Address], ITEquipmentTable[[#This Row],[IPv4 Address]]) &gt; 1, ITEquipmentTable[[#This Row],[IPv4 Address]] &lt;&gt; "DHCP",  ITEquipmentTable[[#This Row],[IPv4 Address]] &lt;&gt; "N/A")</f>
        <v>0</v>
      </c>
    </row>
    <row r="715" spans="1:13" x14ac:dyDescent="0.2">
      <c r="A715" s="168">
        <f>IF(LEN(ITSecondTable[[#This Row],[Tag]]) &gt; 0, _xlfn.XLOOKUP(ITSecondTable[[#This Row],[Tag]],StorageTable[Tag], StorageTable[In Storage - Count Total], "Err", 0, 1), 0)</f>
        <v>10</v>
      </c>
      <c r="B715" s="168">
        <f>_xlfn.LET(_xlpm.loc, ITEquipmentTable[Storage Location],
COUNTIFS(ITSecondTable[Tag], ITSecondTable[[#This Row],[Tag]], _xlpm.loc, "&lt;&gt;In Use", _xlpm.loc, "&lt;&gt;",  _xlpm.loc, "&lt;&gt;E-Waste", _xlpm.loc, "&lt;&gt;Virtual",  _xlpm.loc, "&lt;&gt;Assigned to Employee", _xlpm.loc, "&lt;&gt;Decommisioned", _xlpm.loc, "&lt;&gt;Missing")
)</f>
        <v>16</v>
      </c>
      <c r="C715" s="168">
        <f>_xlfn.LET(_xlpm.loc, ITEquipmentTable[Storage Location],
COUNTIFS(ITSecondTable[Tag], ITSecondTable[[#This Row],[Tag]], _xlpm.loc, "&lt;&gt;E-Waste", _xlpm.loc, "&lt;&gt;Virtual", _xlpm.loc, "&lt;&gt;Decommisioned")
)</f>
        <v>48</v>
      </c>
      <c r="D715" s="168">
        <f>_xlfn.LET(_xlpm.loc, ITEquipmentTable[Storage Location],
COUNTIFS(ITSecondTable[Tag], ITSecondTable[[#This Row],[Tag]], _xlpm.loc, "Missing")
)</f>
        <v>0</v>
      </c>
      <c r="E715" s="168">
        <f>_xlfn.LET(_xlpm.loc, ITEquipmentTable[Storage Location],
COUNTIFS(ITSecondTable[Tag], ITSecondTable[[#This Row],[Tag]], _xlpm.loc, "In Use") + COUNTIFS(ITSecondTable[Tag], ITSecondTable[[#This Row],[Tag]], _xlpm.loc, "Assigned to Employee")
)</f>
        <v>29</v>
      </c>
      <c r="F715" s="168">
        <f>_xlfn.LET(_xlpm.loc, ITEquipmentTable[Storage Location],
COUNTIFS(ITSecondTable[Tag], ITSecondTable[[#This Row],[Tag]], _xlpm.loc, "")
)</f>
        <v>3</v>
      </c>
      <c r="G715" s="168">
        <f>MAX(ITSecondTable[[#This Row],[SQty]] - ITSecondTable[[#This Row],[IQty]], 0)</f>
        <v>6</v>
      </c>
      <c r="H715" s="168">
        <f>MAX(ITSecondTable[[#This Row],[IQty]]-ITSecondTable[[#This Row],[SQty]], 0)</f>
        <v>0</v>
      </c>
      <c r="I715" s="151" t="str">
        <f>IFERROR(_xlfn.TEXTJOIN("~", TRUE, ITEquipmentTable[[#This Row],[Type]],ITEquipmentTable[[#This Row],[Brand]],ITEquipmentTable[[#This Row],[Model]]), "")</f>
        <v>Desktop~HP~HP ProDesk 600 G5 DM</v>
      </c>
      <c r="J715" s="151" t="b">
        <f xml:space="preserve"> _xlfn.IFNA(MATCH( ITSecondTable[[#This Row],[Tag]], StorageTable[Tag], 0)  &gt; -1, FALSE)</f>
        <v>0</v>
      </c>
      <c r="K715" s="168" t="b">
        <f>COUNTIFS(ITEquipmentTable[Serial], ITEquipmentTable[[#This Row],[Serial]], ITEquipmentTable[Serial], "&lt;&gt;N/A") &gt; 1</f>
        <v>0</v>
      </c>
      <c r="L715" s="168" t="b">
        <f>COUNTIFS(ITEquipmentTable[Name], ITEquipmentTable[[#This Row],[Name]], ITEquipmentTable[Name], "&lt;&gt;&lt;Unassigned&gt;",  ITEquipmentTable[Name], "&lt;&gt;N/A") &gt; 1</f>
        <v>0</v>
      </c>
      <c r="M715" s="168" t="b">
        <f>AND(COUNTIFS(ITEquipmentTable[IPv4 Address], ITEquipmentTable[[#This Row],[IPv4 Address]]) &gt; 1, ITEquipmentTable[[#This Row],[IPv4 Address]] &lt;&gt; "DHCP",  ITEquipmentTable[[#This Row],[IPv4 Address]] &lt;&gt; "N/A")</f>
        <v>0</v>
      </c>
    </row>
    <row r="716" spans="1:13" x14ac:dyDescent="0.2">
      <c r="A716" s="168">
        <f>IF(LEN(ITSecondTable[[#This Row],[Tag]]) &gt; 0, _xlfn.XLOOKUP(ITSecondTable[[#This Row],[Tag]],StorageTable[Tag], StorageTable[In Storage - Count Total], "Err", 0, 1), 0)</f>
        <v>10</v>
      </c>
      <c r="B716" s="168">
        <f>_xlfn.LET(_xlpm.loc, ITEquipmentTable[Storage Location],
COUNTIFS(ITSecondTable[Tag], ITSecondTable[[#This Row],[Tag]], _xlpm.loc, "&lt;&gt;In Use", _xlpm.loc, "&lt;&gt;",  _xlpm.loc, "&lt;&gt;E-Waste", _xlpm.loc, "&lt;&gt;Virtual",  _xlpm.loc, "&lt;&gt;Assigned to Employee", _xlpm.loc, "&lt;&gt;Decommisioned", _xlpm.loc, "&lt;&gt;Missing")
)</f>
        <v>16</v>
      </c>
      <c r="C716" s="168">
        <f>_xlfn.LET(_xlpm.loc, ITEquipmentTable[Storage Location],
COUNTIFS(ITSecondTable[Tag], ITSecondTable[[#This Row],[Tag]], _xlpm.loc, "&lt;&gt;E-Waste", _xlpm.loc, "&lt;&gt;Virtual", _xlpm.loc, "&lt;&gt;Decommisioned")
)</f>
        <v>48</v>
      </c>
      <c r="D716" s="168">
        <f>_xlfn.LET(_xlpm.loc, ITEquipmentTable[Storage Location],
COUNTIFS(ITSecondTable[Tag], ITSecondTable[[#This Row],[Tag]], _xlpm.loc, "Missing")
)</f>
        <v>0</v>
      </c>
      <c r="E716" s="168">
        <f>_xlfn.LET(_xlpm.loc, ITEquipmentTable[Storage Location],
COUNTIFS(ITSecondTable[Tag], ITSecondTable[[#This Row],[Tag]], _xlpm.loc, "In Use") + COUNTIFS(ITSecondTable[Tag], ITSecondTable[[#This Row],[Tag]], _xlpm.loc, "Assigned to Employee")
)</f>
        <v>29</v>
      </c>
      <c r="F716" s="168">
        <f>_xlfn.LET(_xlpm.loc, ITEquipmentTable[Storage Location],
COUNTIFS(ITSecondTable[Tag], ITSecondTable[[#This Row],[Tag]], _xlpm.loc, "")
)</f>
        <v>3</v>
      </c>
      <c r="G716" s="168">
        <f>MAX(ITSecondTable[[#This Row],[SQty]] - ITSecondTable[[#This Row],[IQty]], 0)</f>
        <v>6</v>
      </c>
      <c r="H716" s="168">
        <f>MAX(ITSecondTable[[#This Row],[IQty]]-ITSecondTable[[#This Row],[SQty]], 0)</f>
        <v>0</v>
      </c>
      <c r="I716" s="151" t="str">
        <f>IFERROR(_xlfn.TEXTJOIN("~", TRUE, ITEquipmentTable[[#This Row],[Type]],ITEquipmentTable[[#This Row],[Brand]],ITEquipmentTable[[#This Row],[Model]]), "")</f>
        <v>Desktop~HP~HP ProDesk 600 G5 DM</v>
      </c>
      <c r="J716" s="151" t="b">
        <f xml:space="preserve"> _xlfn.IFNA(MATCH( ITSecondTable[[#This Row],[Tag]], StorageTable[Tag], 0)  &gt; -1, FALSE)</f>
        <v>0</v>
      </c>
      <c r="K716" s="168" t="b">
        <f>COUNTIFS(ITEquipmentTable[Serial], ITEquipmentTable[[#This Row],[Serial]], ITEquipmentTable[Serial], "&lt;&gt;N/A") &gt; 1</f>
        <v>0</v>
      </c>
      <c r="L716" s="168" t="b">
        <f>COUNTIFS(ITEquipmentTable[Name], ITEquipmentTable[[#This Row],[Name]], ITEquipmentTable[Name], "&lt;&gt;&lt;Unassigned&gt;",  ITEquipmentTable[Name], "&lt;&gt;N/A") &gt; 1</f>
        <v>0</v>
      </c>
      <c r="M716" s="168" t="b">
        <f>AND(COUNTIFS(ITEquipmentTable[IPv4 Address], ITEquipmentTable[[#This Row],[IPv4 Address]]) &gt; 1, ITEquipmentTable[[#This Row],[IPv4 Address]] &lt;&gt; "DHCP",  ITEquipmentTable[[#This Row],[IPv4 Address]] &lt;&gt; "N/A")</f>
        <v>0</v>
      </c>
    </row>
    <row r="717" spans="1:13" x14ac:dyDescent="0.2">
      <c r="A717" s="168">
        <f>IF(LEN(ITSecondTable[[#This Row],[Tag]]) &gt; 0, _xlfn.XLOOKUP(ITSecondTable[[#This Row],[Tag]],StorageTable[Tag], StorageTable[In Storage - Count Total], "Err", 0, 1), 0)</f>
        <v>10</v>
      </c>
      <c r="B717" s="168">
        <f>_xlfn.LET(_xlpm.loc, ITEquipmentTable[Storage Location],
COUNTIFS(ITSecondTable[Tag], ITSecondTable[[#This Row],[Tag]], _xlpm.loc, "&lt;&gt;In Use", _xlpm.loc, "&lt;&gt;",  _xlpm.loc, "&lt;&gt;E-Waste", _xlpm.loc, "&lt;&gt;Virtual",  _xlpm.loc, "&lt;&gt;Assigned to Employee", _xlpm.loc, "&lt;&gt;Decommisioned", _xlpm.loc, "&lt;&gt;Missing")
)</f>
        <v>16</v>
      </c>
      <c r="C717" s="168">
        <f>_xlfn.LET(_xlpm.loc, ITEquipmentTable[Storage Location],
COUNTIFS(ITSecondTable[Tag], ITSecondTable[[#This Row],[Tag]], _xlpm.loc, "&lt;&gt;E-Waste", _xlpm.loc, "&lt;&gt;Virtual", _xlpm.loc, "&lt;&gt;Decommisioned")
)</f>
        <v>48</v>
      </c>
      <c r="D717" s="168">
        <f>_xlfn.LET(_xlpm.loc, ITEquipmentTable[Storage Location],
COUNTIFS(ITSecondTable[Tag], ITSecondTable[[#This Row],[Tag]], _xlpm.loc, "Missing")
)</f>
        <v>0</v>
      </c>
      <c r="E717" s="168">
        <f>_xlfn.LET(_xlpm.loc, ITEquipmentTable[Storage Location],
COUNTIFS(ITSecondTable[Tag], ITSecondTable[[#This Row],[Tag]], _xlpm.loc, "In Use") + COUNTIFS(ITSecondTable[Tag], ITSecondTable[[#This Row],[Tag]], _xlpm.loc, "Assigned to Employee")
)</f>
        <v>29</v>
      </c>
      <c r="F717" s="168">
        <f>_xlfn.LET(_xlpm.loc, ITEquipmentTable[Storage Location],
COUNTIFS(ITSecondTable[Tag], ITSecondTable[[#This Row],[Tag]], _xlpm.loc, "")
)</f>
        <v>3</v>
      </c>
      <c r="G717" s="168">
        <f>MAX(ITSecondTable[[#This Row],[SQty]] - ITSecondTable[[#This Row],[IQty]], 0)</f>
        <v>6</v>
      </c>
      <c r="H717" s="168">
        <f>MAX(ITSecondTable[[#This Row],[IQty]]-ITSecondTable[[#This Row],[SQty]], 0)</f>
        <v>0</v>
      </c>
      <c r="I717" s="151" t="str">
        <f>IFERROR(_xlfn.TEXTJOIN("~", TRUE, ITEquipmentTable[[#This Row],[Type]],ITEquipmentTable[[#This Row],[Brand]],ITEquipmentTable[[#This Row],[Model]]), "")</f>
        <v>Desktop~HP~HP ProDesk 600 G5 DM</v>
      </c>
      <c r="J717" s="151" t="b">
        <f xml:space="preserve"> _xlfn.IFNA(MATCH( ITSecondTable[[#This Row],[Tag]], StorageTable[Tag], 0)  &gt; -1, FALSE)</f>
        <v>0</v>
      </c>
      <c r="K717" s="168" t="b">
        <f>COUNTIFS(ITEquipmentTable[Serial], ITEquipmentTable[[#This Row],[Serial]], ITEquipmentTable[Serial], "&lt;&gt;N/A") &gt; 1</f>
        <v>0</v>
      </c>
      <c r="L717" s="168" t="b">
        <f>COUNTIFS(ITEquipmentTable[Name], ITEquipmentTable[[#This Row],[Name]], ITEquipmentTable[Name], "&lt;&gt;&lt;Unassigned&gt;",  ITEquipmentTable[Name], "&lt;&gt;N/A") &gt; 1</f>
        <v>0</v>
      </c>
      <c r="M717" s="168" t="b">
        <f>AND(COUNTIFS(ITEquipmentTable[IPv4 Address], ITEquipmentTable[[#This Row],[IPv4 Address]]) &gt; 1, ITEquipmentTable[[#This Row],[IPv4 Address]] &lt;&gt; "DHCP",  ITEquipmentTable[[#This Row],[IPv4 Address]] &lt;&gt; "N/A")</f>
        <v>0</v>
      </c>
    </row>
    <row r="718" spans="1:13" x14ac:dyDescent="0.2">
      <c r="A718" s="168">
        <f>IF(LEN(ITSecondTable[[#This Row],[Tag]]) &gt; 0, _xlfn.XLOOKUP(ITSecondTable[[#This Row],[Tag]],StorageTable[Tag], StorageTable[In Storage - Count Total], "Err", 0, 1), 0)</f>
        <v>10</v>
      </c>
      <c r="B718" s="168">
        <f>_xlfn.LET(_xlpm.loc, ITEquipmentTable[Storage Location],
COUNTIFS(ITSecondTable[Tag], ITSecondTable[[#This Row],[Tag]], _xlpm.loc, "&lt;&gt;In Use", _xlpm.loc, "&lt;&gt;",  _xlpm.loc, "&lt;&gt;E-Waste", _xlpm.loc, "&lt;&gt;Virtual",  _xlpm.loc, "&lt;&gt;Assigned to Employee", _xlpm.loc, "&lt;&gt;Decommisioned", _xlpm.loc, "&lt;&gt;Missing")
)</f>
        <v>16</v>
      </c>
      <c r="C718" s="168">
        <f>_xlfn.LET(_xlpm.loc, ITEquipmentTable[Storage Location],
COUNTIFS(ITSecondTable[Tag], ITSecondTable[[#This Row],[Tag]], _xlpm.loc, "&lt;&gt;E-Waste", _xlpm.loc, "&lt;&gt;Virtual", _xlpm.loc, "&lt;&gt;Decommisioned")
)</f>
        <v>48</v>
      </c>
      <c r="D718" s="168">
        <f>_xlfn.LET(_xlpm.loc, ITEquipmentTable[Storage Location],
COUNTIFS(ITSecondTable[Tag], ITSecondTable[[#This Row],[Tag]], _xlpm.loc, "Missing")
)</f>
        <v>0</v>
      </c>
      <c r="E718" s="168">
        <f>_xlfn.LET(_xlpm.loc, ITEquipmentTable[Storage Location],
COUNTIFS(ITSecondTable[Tag], ITSecondTable[[#This Row],[Tag]], _xlpm.loc, "In Use") + COUNTIFS(ITSecondTable[Tag], ITSecondTable[[#This Row],[Tag]], _xlpm.loc, "Assigned to Employee")
)</f>
        <v>29</v>
      </c>
      <c r="F718" s="168">
        <f>_xlfn.LET(_xlpm.loc, ITEquipmentTable[Storage Location],
COUNTIFS(ITSecondTable[Tag], ITSecondTable[[#This Row],[Tag]], _xlpm.loc, "")
)</f>
        <v>3</v>
      </c>
      <c r="G718" s="168">
        <f>MAX(ITSecondTable[[#This Row],[SQty]] - ITSecondTable[[#This Row],[IQty]], 0)</f>
        <v>6</v>
      </c>
      <c r="H718" s="168">
        <f>MAX(ITSecondTable[[#This Row],[IQty]]-ITSecondTable[[#This Row],[SQty]], 0)</f>
        <v>0</v>
      </c>
      <c r="I718" s="151" t="str">
        <f>IFERROR(_xlfn.TEXTJOIN("~", TRUE, ITEquipmentTable[[#This Row],[Type]],ITEquipmentTable[[#This Row],[Brand]],ITEquipmentTable[[#This Row],[Model]]), "")</f>
        <v>Desktop~HP~HP ProDesk 600 G5 DM</v>
      </c>
      <c r="J718" s="151" t="b">
        <f xml:space="preserve"> _xlfn.IFNA(MATCH( ITSecondTable[[#This Row],[Tag]], StorageTable[Tag], 0)  &gt; -1, FALSE)</f>
        <v>0</v>
      </c>
      <c r="K718" s="168" t="b">
        <f>COUNTIFS(ITEquipmentTable[Serial], ITEquipmentTable[[#This Row],[Serial]], ITEquipmentTable[Serial], "&lt;&gt;N/A") &gt; 1</f>
        <v>0</v>
      </c>
      <c r="L718" s="168" t="b">
        <f>COUNTIFS(ITEquipmentTable[Name], ITEquipmentTable[[#This Row],[Name]], ITEquipmentTable[Name], "&lt;&gt;&lt;Unassigned&gt;",  ITEquipmentTable[Name], "&lt;&gt;N/A") &gt; 1</f>
        <v>0</v>
      </c>
      <c r="M718" s="168" t="b">
        <f>AND(COUNTIFS(ITEquipmentTable[IPv4 Address], ITEquipmentTable[[#This Row],[IPv4 Address]]) &gt; 1, ITEquipmentTable[[#This Row],[IPv4 Address]] &lt;&gt; "DHCP",  ITEquipmentTable[[#This Row],[IPv4 Address]] &lt;&gt; "N/A")</f>
        <v>0</v>
      </c>
    </row>
    <row r="719" spans="1:13" x14ac:dyDescent="0.2">
      <c r="A719" s="168">
        <f>IF(LEN(ITSecondTable[[#This Row],[Tag]]) &gt; 0, _xlfn.XLOOKUP(ITSecondTable[[#This Row],[Tag]],StorageTable[Tag], StorageTable[In Storage - Count Total], "Err", 0, 1), 0)</f>
        <v>10</v>
      </c>
      <c r="B719" s="168">
        <f>_xlfn.LET(_xlpm.loc, ITEquipmentTable[Storage Location],
COUNTIFS(ITSecondTable[Tag], ITSecondTable[[#This Row],[Tag]], _xlpm.loc, "&lt;&gt;In Use", _xlpm.loc, "&lt;&gt;",  _xlpm.loc, "&lt;&gt;E-Waste", _xlpm.loc, "&lt;&gt;Virtual",  _xlpm.loc, "&lt;&gt;Assigned to Employee", _xlpm.loc, "&lt;&gt;Decommisioned", _xlpm.loc, "&lt;&gt;Missing")
)</f>
        <v>16</v>
      </c>
      <c r="C719" s="168">
        <f>_xlfn.LET(_xlpm.loc, ITEquipmentTable[Storage Location],
COUNTIFS(ITSecondTable[Tag], ITSecondTable[[#This Row],[Tag]], _xlpm.loc, "&lt;&gt;E-Waste", _xlpm.loc, "&lt;&gt;Virtual", _xlpm.loc, "&lt;&gt;Decommisioned")
)</f>
        <v>48</v>
      </c>
      <c r="D719" s="168">
        <f>_xlfn.LET(_xlpm.loc, ITEquipmentTable[Storage Location],
COUNTIFS(ITSecondTable[Tag], ITSecondTable[[#This Row],[Tag]], _xlpm.loc, "Missing")
)</f>
        <v>0</v>
      </c>
      <c r="E719" s="168">
        <f>_xlfn.LET(_xlpm.loc, ITEquipmentTable[Storage Location],
COUNTIFS(ITSecondTable[Tag], ITSecondTable[[#This Row],[Tag]], _xlpm.loc, "In Use") + COUNTIFS(ITSecondTable[Tag], ITSecondTable[[#This Row],[Tag]], _xlpm.loc, "Assigned to Employee")
)</f>
        <v>29</v>
      </c>
      <c r="F719" s="168">
        <f>_xlfn.LET(_xlpm.loc, ITEquipmentTable[Storage Location],
COUNTIFS(ITSecondTable[Tag], ITSecondTable[[#This Row],[Tag]], _xlpm.loc, "")
)</f>
        <v>3</v>
      </c>
      <c r="G719" s="168">
        <f>MAX(ITSecondTable[[#This Row],[SQty]] - ITSecondTable[[#This Row],[IQty]], 0)</f>
        <v>6</v>
      </c>
      <c r="H719" s="168">
        <f>MAX(ITSecondTable[[#This Row],[IQty]]-ITSecondTable[[#This Row],[SQty]], 0)</f>
        <v>0</v>
      </c>
      <c r="I719" s="151" t="str">
        <f>IFERROR(_xlfn.TEXTJOIN("~", TRUE, ITEquipmentTable[[#This Row],[Type]],ITEquipmentTable[[#This Row],[Brand]],ITEquipmentTable[[#This Row],[Model]]), "")</f>
        <v>Desktop~HP~HP ProDesk 600 G5 DM</v>
      </c>
      <c r="J719" s="151" t="b">
        <f xml:space="preserve"> _xlfn.IFNA(MATCH( ITSecondTable[[#This Row],[Tag]], StorageTable[Tag], 0)  &gt; -1, FALSE)</f>
        <v>0</v>
      </c>
      <c r="K719" s="168" t="b">
        <f>COUNTIFS(ITEquipmentTable[Serial], ITEquipmentTable[[#This Row],[Serial]], ITEquipmentTable[Serial], "&lt;&gt;N/A") &gt; 1</f>
        <v>0</v>
      </c>
      <c r="L719" s="168" t="b">
        <f>COUNTIFS(ITEquipmentTable[Name], ITEquipmentTable[[#This Row],[Name]], ITEquipmentTable[Name], "&lt;&gt;&lt;Unassigned&gt;",  ITEquipmentTable[Name], "&lt;&gt;N/A") &gt; 1</f>
        <v>0</v>
      </c>
      <c r="M719" s="168" t="b">
        <f>AND(COUNTIFS(ITEquipmentTable[IPv4 Address], ITEquipmentTable[[#This Row],[IPv4 Address]]) &gt; 1, ITEquipmentTable[[#This Row],[IPv4 Address]] &lt;&gt; "DHCP",  ITEquipmentTable[[#This Row],[IPv4 Address]] &lt;&gt; "N/A")</f>
        <v>0</v>
      </c>
    </row>
    <row r="720" spans="1:13" x14ac:dyDescent="0.2">
      <c r="A720" s="168">
        <f>IF(LEN(ITSecondTable[[#This Row],[Tag]]) &gt; 0, _xlfn.XLOOKUP(ITSecondTable[[#This Row],[Tag]],StorageTable[Tag], StorageTable[In Storage - Count Total], "Err", 0, 1), 0)</f>
        <v>10</v>
      </c>
      <c r="B720" s="168">
        <f>_xlfn.LET(_xlpm.loc, ITEquipmentTable[Storage Location],
COUNTIFS(ITSecondTable[Tag], ITSecondTable[[#This Row],[Tag]], _xlpm.loc, "&lt;&gt;In Use", _xlpm.loc, "&lt;&gt;",  _xlpm.loc, "&lt;&gt;E-Waste", _xlpm.loc, "&lt;&gt;Virtual",  _xlpm.loc, "&lt;&gt;Assigned to Employee", _xlpm.loc, "&lt;&gt;Decommisioned", _xlpm.loc, "&lt;&gt;Missing")
)</f>
        <v>16</v>
      </c>
      <c r="C720" s="168">
        <f>_xlfn.LET(_xlpm.loc, ITEquipmentTable[Storage Location],
COUNTIFS(ITSecondTable[Tag], ITSecondTable[[#This Row],[Tag]], _xlpm.loc, "&lt;&gt;E-Waste", _xlpm.loc, "&lt;&gt;Virtual", _xlpm.loc, "&lt;&gt;Decommisioned")
)</f>
        <v>48</v>
      </c>
      <c r="D720" s="168">
        <f>_xlfn.LET(_xlpm.loc, ITEquipmentTable[Storage Location],
COUNTIFS(ITSecondTable[Tag], ITSecondTable[[#This Row],[Tag]], _xlpm.loc, "Missing")
)</f>
        <v>0</v>
      </c>
      <c r="E720" s="168">
        <f>_xlfn.LET(_xlpm.loc, ITEquipmentTable[Storage Location],
COUNTIFS(ITSecondTable[Tag], ITSecondTable[[#This Row],[Tag]], _xlpm.loc, "In Use") + COUNTIFS(ITSecondTable[Tag], ITSecondTable[[#This Row],[Tag]], _xlpm.loc, "Assigned to Employee")
)</f>
        <v>29</v>
      </c>
      <c r="F720" s="168">
        <f>_xlfn.LET(_xlpm.loc, ITEquipmentTable[Storage Location],
COUNTIFS(ITSecondTable[Tag], ITSecondTable[[#This Row],[Tag]], _xlpm.loc, "")
)</f>
        <v>3</v>
      </c>
      <c r="G720" s="168">
        <f>MAX(ITSecondTable[[#This Row],[SQty]] - ITSecondTable[[#This Row],[IQty]], 0)</f>
        <v>6</v>
      </c>
      <c r="H720" s="168">
        <f>MAX(ITSecondTable[[#This Row],[IQty]]-ITSecondTable[[#This Row],[SQty]], 0)</f>
        <v>0</v>
      </c>
      <c r="I720" s="151" t="str">
        <f>IFERROR(_xlfn.TEXTJOIN("~", TRUE, ITEquipmentTable[[#This Row],[Type]],ITEquipmentTable[[#This Row],[Brand]],ITEquipmentTable[[#This Row],[Model]]), "")</f>
        <v>Desktop~HP~HP ProDesk 600 G5 DM</v>
      </c>
      <c r="J720" s="151" t="b">
        <f xml:space="preserve"> _xlfn.IFNA(MATCH( ITSecondTable[[#This Row],[Tag]], StorageTable[Tag], 0)  &gt; -1, FALSE)</f>
        <v>0</v>
      </c>
      <c r="K720" s="168" t="b">
        <f>COUNTIFS(ITEquipmentTable[Serial], ITEquipmentTable[[#This Row],[Serial]], ITEquipmentTable[Serial], "&lt;&gt;N/A") &gt; 1</f>
        <v>0</v>
      </c>
      <c r="L720" s="168" t="b">
        <f>COUNTIFS(ITEquipmentTable[Name], ITEquipmentTable[[#This Row],[Name]], ITEquipmentTable[Name], "&lt;&gt;&lt;Unassigned&gt;",  ITEquipmentTable[Name], "&lt;&gt;N/A") &gt; 1</f>
        <v>0</v>
      </c>
      <c r="M720" s="168" t="b">
        <f>AND(COUNTIFS(ITEquipmentTable[IPv4 Address], ITEquipmentTable[[#This Row],[IPv4 Address]]) &gt; 1, ITEquipmentTable[[#This Row],[IPv4 Address]] &lt;&gt; "DHCP",  ITEquipmentTable[[#This Row],[IPv4 Address]] &lt;&gt; "N/A")</f>
        <v>0</v>
      </c>
    </row>
    <row r="721" spans="1:13" x14ac:dyDescent="0.2">
      <c r="A721" s="168">
        <f>IF(LEN(ITSecondTable[[#This Row],[Tag]]) &gt; 0, _xlfn.XLOOKUP(ITSecondTable[[#This Row],[Tag]],StorageTable[Tag], StorageTable[In Storage - Count Total], "Err", 0, 1), 0)</f>
        <v>10</v>
      </c>
      <c r="B721" s="168">
        <f>_xlfn.LET(_xlpm.loc, ITEquipmentTable[Storage Location],
COUNTIFS(ITSecondTable[Tag], ITSecondTable[[#This Row],[Tag]], _xlpm.loc, "&lt;&gt;In Use", _xlpm.loc, "&lt;&gt;",  _xlpm.loc, "&lt;&gt;E-Waste", _xlpm.loc, "&lt;&gt;Virtual",  _xlpm.loc, "&lt;&gt;Assigned to Employee", _xlpm.loc, "&lt;&gt;Decommisioned", _xlpm.loc, "&lt;&gt;Missing")
)</f>
        <v>16</v>
      </c>
      <c r="C721" s="168">
        <f>_xlfn.LET(_xlpm.loc, ITEquipmentTable[Storage Location],
COUNTIFS(ITSecondTable[Tag], ITSecondTable[[#This Row],[Tag]], _xlpm.loc, "&lt;&gt;E-Waste", _xlpm.loc, "&lt;&gt;Virtual", _xlpm.loc, "&lt;&gt;Decommisioned")
)</f>
        <v>48</v>
      </c>
      <c r="D721" s="168">
        <f>_xlfn.LET(_xlpm.loc, ITEquipmentTable[Storage Location],
COUNTIFS(ITSecondTable[Tag], ITSecondTable[[#This Row],[Tag]], _xlpm.loc, "Missing")
)</f>
        <v>0</v>
      </c>
      <c r="E721" s="168">
        <f>_xlfn.LET(_xlpm.loc, ITEquipmentTable[Storage Location],
COUNTIFS(ITSecondTable[Tag], ITSecondTable[[#This Row],[Tag]], _xlpm.loc, "In Use") + COUNTIFS(ITSecondTable[Tag], ITSecondTable[[#This Row],[Tag]], _xlpm.loc, "Assigned to Employee")
)</f>
        <v>29</v>
      </c>
      <c r="F721" s="168">
        <f>_xlfn.LET(_xlpm.loc, ITEquipmentTable[Storage Location],
COUNTIFS(ITSecondTable[Tag], ITSecondTable[[#This Row],[Tag]], _xlpm.loc, "")
)</f>
        <v>3</v>
      </c>
      <c r="G721" s="168">
        <f>MAX(ITSecondTable[[#This Row],[SQty]] - ITSecondTable[[#This Row],[IQty]], 0)</f>
        <v>6</v>
      </c>
      <c r="H721" s="168">
        <f>MAX(ITSecondTable[[#This Row],[IQty]]-ITSecondTable[[#This Row],[SQty]], 0)</f>
        <v>0</v>
      </c>
      <c r="I721" s="151" t="str">
        <f>IFERROR(_xlfn.TEXTJOIN("~", TRUE, ITEquipmentTable[[#This Row],[Type]],ITEquipmentTable[[#This Row],[Brand]],ITEquipmentTable[[#This Row],[Model]]), "")</f>
        <v>Desktop~HP~HP ProDesk 600 G5 DM</v>
      </c>
      <c r="J721" s="151" t="b">
        <f xml:space="preserve"> _xlfn.IFNA(MATCH( ITSecondTable[[#This Row],[Tag]], StorageTable[Tag], 0)  &gt; -1, FALSE)</f>
        <v>0</v>
      </c>
      <c r="K721" s="168" t="b">
        <f>COUNTIFS(ITEquipmentTable[Serial], ITEquipmentTable[[#This Row],[Serial]], ITEquipmentTable[Serial], "&lt;&gt;N/A") &gt; 1</f>
        <v>0</v>
      </c>
      <c r="L721" s="168" t="b">
        <f>COUNTIFS(ITEquipmentTable[Name], ITEquipmentTable[[#This Row],[Name]], ITEquipmentTable[Name], "&lt;&gt;&lt;Unassigned&gt;",  ITEquipmentTable[Name], "&lt;&gt;N/A") &gt; 1</f>
        <v>0</v>
      </c>
      <c r="M721" s="168" t="b">
        <f>AND(COUNTIFS(ITEquipmentTable[IPv4 Address], ITEquipmentTable[[#This Row],[IPv4 Address]]) &gt; 1, ITEquipmentTable[[#This Row],[IPv4 Address]] &lt;&gt; "DHCP",  ITEquipmentTable[[#This Row],[IPv4 Address]] &lt;&gt; "N/A")</f>
        <v>0</v>
      </c>
    </row>
    <row r="722" spans="1:13" x14ac:dyDescent="0.2">
      <c r="A722" s="168">
        <f>IF(LEN(ITSecondTable[[#This Row],[Tag]]) &gt; 0, _xlfn.XLOOKUP(ITSecondTable[[#This Row],[Tag]],StorageTable[Tag], StorageTable[In Storage - Count Total], "Err", 0, 1), 0)</f>
        <v>10</v>
      </c>
      <c r="B722" s="168">
        <f>_xlfn.LET(_xlpm.loc, ITEquipmentTable[Storage Location],
COUNTIFS(ITSecondTable[Tag], ITSecondTable[[#This Row],[Tag]], _xlpm.loc, "&lt;&gt;In Use", _xlpm.loc, "&lt;&gt;",  _xlpm.loc, "&lt;&gt;E-Waste", _xlpm.loc, "&lt;&gt;Virtual",  _xlpm.loc, "&lt;&gt;Assigned to Employee", _xlpm.loc, "&lt;&gt;Decommisioned", _xlpm.loc, "&lt;&gt;Missing")
)</f>
        <v>16</v>
      </c>
      <c r="C722" s="168">
        <f>_xlfn.LET(_xlpm.loc, ITEquipmentTable[Storage Location],
COUNTIFS(ITSecondTable[Tag], ITSecondTable[[#This Row],[Tag]], _xlpm.loc, "&lt;&gt;E-Waste", _xlpm.loc, "&lt;&gt;Virtual", _xlpm.loc, "&lt;&gt;Decommisioned")
)</f>
        <v>48</v>
      </c>
      <c r="D722" s="168">
        <f>_xlfn.LET(_xlpm.loc, ITEquipmentTable[Storage Location],
COUNTIFS(ITSecondTable[Tag], ITSecondTable[[#This Row],[Tag]], _xlpm.loc, "Missing")
)</f>
        <v>0</v>
      </c>
      <c r="E722" s="168">
        <f>_xlfn.LET(_xlpm.loc, ITEquipmentTable[Storage Location],
COUNTIFS(ITSecondTable[Tag], ITSecondTable[[#This Row],[Tag]], _xlpm.loc, "In Use") + COUNTIFS(ITSecondTable[Tag], ITSecondTable[[#This Row],[Tag]], _xlpm.loc, "Assigned to Employee")
)</f>
        <v>29</v>
      </c>
      <c r="F722" s="168">
        <f>_xlfn.LET(_xlpm.loc, ITEquipmentTable[Storage Location],
COUNTIFS(ITSecondTable[Tag], ITSecondTable[[#This Row],[Tag]], _xlpm.loc, "")
)</f>
        <v>3</v>
      </c>
      <c r="G722" s="168">
        <f>MAX(ITSecondTable[[#This Row],[SQty]] - ITSecondTable[[#This Row],[IQty]], 0)</f>
        <v>6</v>
      </c>
      <c r="H722" s="168">
        <f>MAX(ITSecondTable[[#This Row],[IQty]]-ITSecondTable[[#This Row],[SQty]], 0)</f>
        <v>0</v>
      </c>
      <c r="I722" s="151" t="str">
        <f>IFERROR(_xlfn.TEXTJOIN("~", TRUE, ITEquipmentTable[[#This Row],[Type]],ITEquipmentTable[[#This Row],[Brand]],ITEquipmentTable[[#This Row],[Model]]), "")</f>
        <v>Desktop~HP~HP ProDesk 600 G5 DM</v>
      </c>
      <c r="J722" s="151" t="b">
        <f xml:space="preserve"> _xlfn.IFNA(MATCH( ITSecondTable[[#This Row],[Tag]], StorageTable[Tag], 0)  &gt; -1, FALSE)</f>
        <v>0</v>
      </c>
      <c r="K722" s="168" t="b">
        <f>COUNTIFS(ITEquipmentTable[Serial], ITEquipmentTable[[#This Row],[Serial]], ITEquipmentTable[Serial], "&lt;&gt;N/A") &gt; 1</f>
        <v>0</v>
      </c>
      <c r="L722" s="168" t="b">
        <f>COUNTIFS(ITEquipmentTable[Name], ITEquipmentTable[[#This Row],[Name]], ITEquipmentTable[Name], "&lt;&gt;&lt;Unassigned&gt;",  ITEquipmentTable[Name], "&lt;&gt;N/A") &gt; 1</f>
        <v>0</v>
      </c>
      <c r="M722" s="168" t="b">
        <f>AND(COUNTIFS(ITEquipmentTable[IPv4 Address], ITEquipmentTable[[#This Row],[IPv4 Address]]) &gt; 1, ITEquipmentTable[[#This Row],[IPv4 Address]] &lt;&gt; "DHCP",  ITEquipmentTable[[#This Row],[IPv4 Address]] &lt;&gt; "N/A")</f>
        <v>0</v>
      </c>
    </row>
    <row r="723" spans="1:13" x14ac:dyDescent="0.2">
      <c r="A723" s="168">
        <f>IF(LEN(ITSecondTable[[#This Row],[Tag]]) &gt; 0, _xlfn.XLOOKUP(ITSecondTable[[#This Row],[Tag]],StorageTable[Tag], StorageTable[In Storage - Count Total], "Err", 0, 1), 0)</f>
        <v>10</v>
      </c>
      <c r="B723" s="168">
        <f>_xlfn.LET(_xlpm.loc, ITEquipmentTable[Storage Location],
COUNTIFS(ITSecondTable[Tag], ITSecondTable[[#This Row],[Tag]], _xlpm.loc, "&lt;&gt;In Use", _xlpm.loc, "&lt;&gt;",  _xlpm.loc, "&lt;&gt;E-Waste", _xlpm.loc, "&lt;&gt;Virtual",  _xlpm.loc, "&lt;&gt;Assigned to Employee", _xlpm.loc, "&lt;&gt;Decommisioned", _xlpm.loc, "&lt;&gt;Missing")
)</f>
        <v>16</v>
      </c>
      <c r="C723" s="168">
        <f>_xlfn.LET(_xlpm.loc, ITEquipmentTable[Storage Location],
COUNTIFS(ITSecondTable[Tag], ITSecondTable[[#This Row],[Tag]], _xlpm.loc, "&lt;&gt;E-Waste", _xlpm.loc, "&lt;&gt;Virtual", _xlpm.loc, "&lt;&gt;Decommisioned")
)</f>
        <v>48</v>
      </c>
      <c r="D723" s="168">
        <f>_xlfn.LET(_xlpm.loc, ITEquipmentTable[Storage Location],
COUNTIFS(ITSecondTable[Tag], ITSecondTable[[#This Row],[Tag]], _xlpm.loc, "Missing")
)</f>
        <v>0</v>
      </c>
      <c r="E723" s="168">
        <f>_xlfn.LET(_xlpm.loc, ITEquipmentTable[Storage Location],
COUNTIFS(ITSecondTable[Tag], ITSecondTable[[#This Row],[Tag]], _xlpm.loc, "In Use") + COUNTIFS(ITSecondTable[Tag], ITSecondTable[[#This Row],[Tag]], _xlpm.loc, "Assigned to Employee")
)</f>
        <v>29</v>
      </c>
      <c r="F723" s="168">
        <f>_xlfn.LET(_xlpm.loc, ITEquipmentTable[Storage Location],
COUNTIFS(ITSecondTable[Tag], ITSecondTable[[#This Row],[Tag]], _xlpm.loc, "")
)</f>
        <v>3</v>
      </c>
      <c r="G723" s="168">
        <f>MAX(ITSecondTable[[#This Row],[SQty]] - ITSecondTable[[#This Row],[IQty]], 0)</f>
        <v>6</v>
      </c>
      <c r="H723" s="168">
        <f>MAX(ITSecondTable[[#This Row],[IQty]]-ITSecondTable[[#This Row],[SQty]], 0)</f>
        <v>0</v>
      </c>
      <c r="I723" s="151" t="str">
        <f>IFERROR(_xlfn.TEXTJOIN("~", TRUE, ITEquipmentTable[[#This Row],[Type]],ITEquipmentTable[[#This Row],[Brand]],ITEquipmentTable[[#This Row],[Model]]), "")</f>
        <v>Desktop~HP~HP ProDesk 600 G5 DM</v>
      </c>
      <c r="J723" s="151" t="b">
        <f xml:space="preserve"> _xlfn.IFNA(MATCH( ITSecondTable[[#This Row],[Tag]], StorageTable[Tag], 0)  &gt; -1, FALSE)</f>
        <v>0</v>
      </c>
      <c r="K723" s="168" t="b">
        <f>COUNTIFS(ITEquipmentTable[Serial], ITEquipmentTable[[#This Row],[Serial]], ITEquipmentTable[Serial], "&lt;&gt;N/A") &gt; 1</f>
        <v>0</v>
      </c>
      <c r="L723" s="168" t="b">
        <f>COUNTIFS(ITEquipmentTable[Name], ITEquipmentTable[[#This Row],[Name]], ITEquipmentTable[Name], "&lt;&gt;&lt;Unassigned&gt;",  ITEquipmentTable[Name], "&lt;&gt;N/A") &gt; 1</f>
        <v>0</v>
      </c>
      <c r="M723" s="168" t="b">
        <f>AND(COUNTIFS(ITEquipmentTable[IPv4 Address], ITEquipmentTable[[#This Row],[IPv4 Address]]) &gt; 1, ITEquipmentTable[[#This Row],[IPv4 Address]] &lt;&gt; "DHCP",  ITEquipmentTable[[#This Row],[IPv4 Address]] &lt;&gt; "N/A")</f>
        <v>0</v>
      </c>
    </row>
    <row r="724" spans="1:13" x14ac:dyDescent="0.2">
      <c r="A724" s="168">
        <f>IF(LEN(ITSecondTable[[#This Row],[Tag]]) &gt; 0, _xlfn.XLOOKUP(ITSecondTable[[#This Row],[Tag]],StorageTable[Tag], StorageTable[In Storage - Count Total], "Err", 0, 1), 0)</f>
        <v>0</v>
      </c>
      <c r="B724" s="168">
        <f>_xlfn.LET(_xlpm.loc, ITEquipmentTable[Storage Location],
COUNTIFS(ITSecondTable[Tag], ITSecondTable[[#This Row],[Tag]], _xlpm.loc, "&lt;&gt;In Use", _xlpm.loc, "&lt;&gt;",  _xlpm.loc, "&lt;&gt;E-Waste", _xlpm.loc, "&lt;&gt;Virtual",  _xlpm.loc, "&lt;&gt;Assigned to Employee", _xlpm.loc, "&lt;&gt;Decommisioned", _xlpm.loc, "&lt;&gt;Missing")
)</f>
        <v>1</v>
      </c>
      <c r="C724" s="168">
        <f>_xlfn.LET(_xlpm.loc, ITEquipmentTable[Storage Location],
COUNTIFS(ITSecondTable[Tag], ITSecondTable[[#This Row],[Tag]], _xlpm.loc, "&lt;&gt;E-Waste", _xlpm.loc, "&lt;&gt;Virtual", _xlpm.loc, "&lt;&gt;Decommisioned")
)</f>
        <v>1</v>
      </c>
      <c r="D724" s="168">
        <f>_xlfn.LET(_xlpm.loc, ITEquipmentTable[Storage Location],
COUNTIFS(ITSecondTable[Tag], ITSecondTable[[#This Row],[Tag]], _xlpm.loc, "Missing")
)</f>
        <v>0</v>
      </c>
      <c r="E724" s="168">
        <f>_xlfn.LET(_xlpm.loc, ITEquipmentTable[Storage Location],
COUNTIFS(ITSecondTable[Tag], ITSecondTable[[#This Row],[Tag]], _xlpm.loc, "In Use") + COUNTIFS(ITSecondTable[Tag], ITSecondTable[[#This Row],[Tag]], _xlpm.loc, "Assigned to Employee")
)</f>
        <v>0</v>
      </c>
      <c r="F724" s="168">
        <f>_xlfn.LET(_xlpm.loc, ITEquipmentTable[Storage Location],
COUNTIFS(ITSecondTable[Tag], ITSecondTable[[#This Row],[Tag]], _xlpm.loc, "")
)</f>
        <v>0</v>
      </c>
      <c r="G724" s="168">
        <f>MAX(ITSecondTable[[#This Row],[SQty]] - ITSecondTable[[#This Row],[IQty]], 0)</f>
        <v>1</v>
      </c>
      <c r="H724" s="168">
        <f>MAX(ITSecondTable[[#This Row],[IQty]]-ITSecondTable[[#This Row],[SQty]], 0)</f>
        <v>0</v>
      </c>
      <c r="I724" s="151" t="str">
        <f>IFERROR(_xlfn.TEXTJOIN("~", TRUE, ITEquipmentTable[[#This Row],[Type]],ITEquipmentTable[[#This Row],[Brand]],ITEquipmentTable[[#This Row],[Model]]), "")</f>
        <v>Desktop~HP~HP ProDesk 400 G4 DM</v>
      </c>
      <c r="J724" s="151" t="b">
        <f xml:space="preserve"> _xlfn.IFNA(MATCH( ITSecondTable[[#This Row],[Tag]], StorageTable[Tag], 0)  &gt; -1, FALSE)</f>
        <v>0</v>
      </c>
      <c r="K724" s="168" t="b">
        <f>COUNTIFS(ITEquipmentTable[Serial], ITEquipmentTable[[#This Row],[Serial]], ITEquipmentTable[Serial], "&lt;&gt;N/A") &gt; 1</f>
        <v>0</v>
      </c>
      <c r="L724" s="168" t="b">
        <f>COUNTIFS(ITEquipmentTable[Name], ITEquipmentTable[[#This Row],[Name]], ITEquipmentTable[Name], "&lt;&gt;&lt;Unassigned&gt;",  ITEquipmentTable[Name], "&lt;&gt;N/A") &gt; 1</f>
        <v>0</v>
      </c>
      <c r="M724" s="168" t="b">
        <f>AND(COUNTIFS(ITEquipmentTable[IPv4 Address], ITEquipmentTable[[#This Row],[IPv4 Address]]) &gt; 1, ITEquipmentTable[[#This Row],[IPv4 Address]] &lt;&gt; "DHCP",  ITEquipmentTable[[#This Row],[IPv4 Address]] &lt;&gt; "N/A")</f>
        <v>0</v>
      </c>
    </row>
    <row r="725" spans="1:13" x14ac:dyDescent="0.2">
      <c r="A725" s="168">
        <f>IF(LEN(ITSecondTable[[#This Row],[Tag]]) &gt; 0, _xlfn.XLOOKUP(ITSecondTable[[#This Row],[Tag]],StorageTable[Tag], StorageTable[In Storage - Count Total], "Err", 0, 1), 0)</f>
        <v>10</v>
      </c>
      <c r="B725" s="168">
        <f>_xlfn.LET(_xlpm.loc, ITEquipmentTable[Storage Location],
COUNTIFS(ITSecondTable[Tag], ITSecondTable[[#This Row],[Tag]], _xlpm.loc, "&lt;&gt;In Use", _xlpm.loc, "&lt;&gt;",  _xlpm.loc, "&lt;&gt;E-Waste", _xlpm.loc, "&lt;&gt;Virtual",  _xlpm.loc, "&lt;&gt;Assigned to Employee", _xlpm.loc, "&lt;&gt;Decommisioned", _xlpm.loc, "&lt;&gt;Missing")
)</f>
        <v>16</v>
      </c>
      <c r="C725" s="168">
        <f>_xlfn.LET(_xlpm.loc, ITEquipmentTable[Storage Location],
COUNTIFS(ITSecondTable[Tag], ITSecondTable[[#This Row],[Tag]], _xlpm.loc, "&lt;&gt;E-Waste", _xlpm.loc, "&lt;&gt;Virtual", _xlpm.loc, "&lt;&gt;Decommisioned")
)</f>
        <v>48</v>
      </c>
      <c r="D725" s="168">
        <f>_xlfn.LET(_xlpm.loc, ITEquipmentTable[Storage Location],
COUNTIFS(ITSecondTable[Tag], ITSecondTable[[#This Row],[Tag]], _xlpm.loc, "Missing")
)</f>
        <v>0</v>
      </c>
      <c r="E725" s="168">
        <f>_xlfn.LET(_xlpm.loc, ITEquipmentTable[Storage Location],
COUNTIFS(ITSecondTable[Tag], ITSecondTable[[#This Row],[Tag]], _xlpm.loc, "In Use") + COUNTIFS(ITSecondTable[Tag], ITSecondTable[[#This Row],[Tag]], _xlpm.loc, "Assigned to Employee")
)</f>
        <v>29</v>
      </c>
      <c r="F725" s="168">
        <f>_xlfn.LET(_xlpm.loc, ITEquipmentTable[Storage Location],
COUNTIFS(ITSecondTable[Tag], ITSecondTable[[#This Row],[Tag]], _xlpm.loc, "")
)</f>
        <v>3</v>
      </c>
      <c r="G725" s="168">
        <f>MAX(ITSecondTable[[#This Row],[SQty]] - ITSecondTable[[#This Row],[IQty]], 0)</f>
        <v>6</v>
      </c>
      <c r="H725" s="168">
        <f>MAX(ITSecondTable[[#This Row],[IQty]]-ITSecondTable[[#This Row],[SQty]], 0)</f>
        <v>0</v>
      </c>
      <c r="I725" s="151" t="str">
        <f>IFERROR(_xlfn.TEXTJOIN("~", TRUE, ITEquipmentTable[[#This Row],[Type]],ITEquipmentTable[[#This Row],[Brand]],ITEquipmentTable[[#This Row],[Model]]), "")</f>
        <v>Desktop~HP~HP ProDesk 600 G5 DM</v>
      </c>
      <c r="J725" s="151" t="b">
        <f xml:space="preserve"> _xlfn.IFNA(MATCH( ITSecondTable[[#This Row],[Tag]], StorageTable[Tag], 0)  &gt; -1, FALSE)</f>
        <v>0</v>
      </c>
      <c r="K725" s="168" t="b">
        <f>COUNTIFS(ITEquipmentTable[Serial], ITEquipmentTable[[#This Row],[Serial]], ITEquipmentTable[Serial], "&lt;&gt;N/A") &gt; 1</f>
        <v>0</v>
      </c>
      <c r="L725" s="168" t="b">
        <f>COUNTIFS(ITEquipmentTable[Name], ITEquipmentTable[[#This Row],[Name]], ITEquipmentTable[Name], "&lt;&gt;&lt;Unassigned&gt;",  ITEquipmentTable[Name], "&lt;&gt;N/A") &gt; 1</f>
        <v>0</v>
      </c>
      <c r="M725" s="168" t="b">
        <f>AND(COUNTIFS(ITEquipmentTable[IPv4 Address], ITEquipmentTable[[#This Row],[IPv4 Address]]) &gt; 1, ITEquipmentTable[[#This Row],[IPv4 Address]] &lt;&gt; "DHCP",  ITEquipmentTable[[#This Row],[IPv4 Address]] &lt;&gt; "N/A")</f>
        <v>0</v>
      </c>
    </row>
    <row r="726" spans="1:13" x14ac:dyDescent="0.2">
      <c r="A726" s="168">
        <f>IF(LEN(ITSecondTable[[#This Row],[Tag]]) &gt; 0, _xlfn.XLOOKUP(ITSecondTable[[#This Row],[Tag]],StorageTable[Tag], StorageTable[In Storage - Count Total], "Err", 0, 1), 0)</f>
        <v>3</v>
      </c>
      <c r="B726" s="168">
        <f>_xlfn.LET(_xlpm.loc, ITEquipmentTable[Storage Location],
COUNTIFS(ITSecondTable[Tag], ITSecondTable[[#This Row],[Tag]], _xlpm.loc, "&lt;&gt;In Use", _xlpm.loc, "&lt;&gt;",  _xlpm.loc, "&lt;&gt;E-Waste", _xlpm.loc, "&lt;&gt;Virtual",  _xlpm.loc, "&lt;&gt;Assigned to Employee", _xlpm.loc, "&lt;&gt;Decommisioned", _xlpm.loc, "&lt;&gt;Missing")
)</f>
        <v>1</v>
      </c>
      <c r="C726" s="168">
        <f>_xlfn.LET(_xlpm.loc, ITEquipmentTable[Storage Location],
COUNTIFS(ITSecondTable[Tag], ITSecondTable[[#This Row],[Tag]], _xlpm.loc, "&lt;&gt;E-Waste", _xlpm.loc, "&lt;&gt;Virtual", _xlpm.loc, "&lt;&gt;Decommisioned")
)</f>
        <v>3</v>
      </c>
      <c r="D726" s="168">
        <f>_xlfn.LET(_xlpm.loc, ITEquipmentTable[Storage Location],
COUNTIFS(ITSecondTable[Tag], ITSecondTable[[#This Row],[Tag]], _xlpm.loc, "Missing")
)</f>
        <v>0</v>
      </c>
      <c r="E726" s="168">
        <f>_xlfn.LET(_xlpm.loc, ITEquipmentTable[Storage Location],
COUNTIFS(ITSecondTable[Tag], ITSecondTable[[#This Row],[Tag]], _xlpm.loc, "In Use") + COUNTIFS(ITSecondTable[Tag], ITSecondTable[[#This Row],[Tag]], _xlpm.loc, "Assigned to Employee")
)</f>
        <v>2</v>
      </c>
      <c r="F726" s="168">
        <f>_xlfn.LET(_xlpm.loc, ITEquipmentTable[Storage Location],
COUNTIFS(ITSecondTable[Tag], ITSecondTable[[#This Row],[Tag]], _xlpm.loc, "")
)</f>
        <v>0</v>
      </c>
      <c r="G726" s="168">
        <f>MAX(ITSecondTable[[#This Row],[SQty]] - ITSecondTable[[#This Row],[IQty]], 0)</f>
        <v>0</v>
      </c>
      <c r="H726" s="168">
        <f>MAX(ITSecondTable[[#This Row],[IQty]]-ITSecondTable[[#This Row],[SQty]], 0)</f>
        <v>2</v>
      </c>
      <c r="I726" s="151" t="str">
        <f>IFERROR(_xlfn.TEXTJOIN("~", TRUE, ITEquipmentTable[[#This Row],[Type]],ITEquipmentTable[[#This Row],[Brand]],ITEquipmentTable[[#This Row],[Model]]), "")</f>
        <v>Printer~Honeywell~PX940</v>
      </c>
      <c r="J726" s="151" t="b">
        <f xml:space="preserve"> _xlfn.IFNA(MATCH( ITSecondTable[[#This Row],[Tag]], StorageTable[Tag], 0)  &gt; -1, FALSE)</f>
        <v>0</v>
      </c>
      <c r="K726" s="168" t="b">
        <f>COUNTIFS(ITEquipmentTable[Serial], ITEquipmentTable[[#This Row],[Serial]], ITEquipmentTable[Serial], "&lt;&gt;N/A") &gt; 1</f>
        <v>0</v>
      </c>
      <c r="L726" s="168" t="b">
        <f>COUNTIFS(ITEquipmentTable[Name], ITEquipmentTable[[#This Row],[Name]], ITEquipmentTable[Name], "&lt;&gt;&lt;Unassigned&gt;",  ITEquipmentTable[Name], "&lt;&gt;N/A") &gt; 1</f>
        <v>0</v>
      </c>
      <c r="M726" s="168" t="b">
        <f>AND(COUNTIFS(ITEquipmentTable[IPv4 Address], ITEquipmentTable[[#This Row],[IPv4 Address]]) &gt; 1, ITEquipmentTable[[#This Row],[IPv4 Address]] &lt;&gt; "DHCP",  ITEquipmentTable[[#This Row],[IPv4 Address]] &lt;&gt; "N/A")</f>
        <v>0</v>
      </c>
    </row>
    <row r="727" spans="1:13" x14ac:dyDescent="0.2">
      <c r="A727" s="168">
        <f>IF(LEN(ITSecondTable[[#This Row],[Tag]]) &gt; 0, _xlfn.XLOOKUP(ITSecondTable[[#This Row],[Tag]],StorageTable[Tag], StorageTable[In Storage - Count Total], "Err", 0, 1), 0)</f>
        <v>8</v>
      </c>
      <c r="B727" s="168">
        <f>_xlfn.LET(_xlpm.loc, ITEquipmentTable[Storage Location],
COUNTIFS(ITSecondTable[Tag], ITSecondTable[[#This Row],[Tag]], _xlpm.loc, "&lt;&gt;In Use", _xlpm.loc, "&lt;&gt;",  _xlpm.loc, "&lt;&gt;E-Waste", _xlpm.loc, "&lt;&gt;Virtual",  _xlpm.loc, "&lt;&gt;Assigned to Employee", _xlpm.loc, "&lt;&gt;Decommisioned", _xlpm.loc, "&lt;&gt;Missing")
)</f>
        <v>9</v>
      </c>
      <c r="C727" s="168">
        <f>_xlfn.LET(_xlpm.loc, ITEquipmentTable[Storage Location],
COUNTIFS(ITSecondTable[Tag], ITSecondTable[[#This Row],[Tag]], _xlpm.loc, "&lt;&gt;E-Waste", _xlpm.loc, "&lt;&gt;Virtual", _xlpm.loc, "&lt;&gt;Decommisioned")
)</f>
        <v>40</v>
      </c>
      <c r="D727" s="168">
        <f>_xlfn.LET(_xlpm.loc, ITEquipmentTable[Storage Location],
COUNTIFS(ITSecondTable[Tag], ITSecondTable[[#This Row],[Tag]], _xlpm.loc, "Missing")
)</f>
        <v>0</v>
      </c>
      <c r="E727" s="168">
        <f>_xlfn.LET(_xlpm.loc, ITEquipmentTable[Storage Location],
COUNTIFS(ITSecondTable[Tag], ITSecondTable[[#This Row],[Tag]], _xlpm.loc, "In Use") + COUNTIFS(ITSecondTable[Tag], ITSecondTable[[#This Row],[Tag]], _xlpm.loc, "Assigned to Employee")
)</f>
        <v>23</v>
      </c>
      <c r="F727" s="168">
        <f>_xlfn.LET(_xlpm.loc, ITEquipmentTable[Storage Location],
COUNTIFS(ITSecondTable[Tag], ITSecondTable[[#This Row],[Tag]], _xlpm.loc, "")
)</f>
        <v>8</v>
      </c>
      <c r="G727" s="168">
        <f>MAX(ITSecondTable[[#This Row],[SQty]] - ITSecondTable[[#This Row],[IQty]], 0)</f>
        <v>1</v>
      </c>
      <c r="H727" s="168">
        <f>MAX(ITSecondTable[[#This Row],[IQty]]-ITSecondTable[[#This Row],[SQty]], 0)</f>
        <v>0</v>
      </c>
      <c r="I727" s="151" t="str">
        <f>IFERROR(_xlfn.TEXTJOIN("~", TRUE, ITEquipmentTable[[#This Row],[Type]],ITEquipmentTable[[#This Row],[Brand]],ITEquipmentTable[[#This Row],[Model]]), "")</f>
        <v>Printer~Sato~CL4NX</v>
      </c>
      <c r="J727" s="151" t="b">
        <f xml:space="preserve"> _xlfn.IFNA(MATCH( ITSecondTable[[#This Row],[Tag]], StorageTable[Tag], 0)  &gt; -1, FALSE)</f>
        <v>0</v>
      </c>
      <c r="K727" s="168" t="b">
        <f>COUNTIFS(ITEquipmentTable[Serial], ITEquipmentTable[[#This Row],[Serial]], ITEquipmentTable[Serial], "&lt;&gt;N/A") &gt; 1</f>
        <v>0</v>
      </c>
      <c r="L727" s="168" t="b">
        <f>COUNTIFS(ITEquipmentTable[Name], ITEquipmentTable[[#This Row],[Name]], ITEquipmentTable[Name], "&lt;&gt;&lt;Unassigned&gt;",  ITEquipmentTable[Name], "&lt;&gt;N/A") &gt; 1</f>
        <v>0</v>
      </c>
      <c r="M727" s="168" t="b">
        <f>AND(COUNTIFS(ITEquipmentTable[IPv4 Address], ITEquipmentTable[[#This Row],[IPv4 Address]]) &gt; 1, ITEquipmentTable[[#This Row],[IPv4 Address]] &lt;&gt; "DHCP",  ITEquipmentTable[[#This Row],[IPv4 Address]] &lt;&gt; "N/A")</f>
        <v>0</v>
      </c>
    </row>
    <row r="728" spans="1:13" x14ac:dyDescent="0.2">
      <c r="A728" s="168">
        <f>IF(LEN(ITSecondTable[[#This Row],[Tag]]) &gt; 0, _xlfn.XLOOKUP(ITSecondTable[[#This Row],[Tag]],StorageTable[Tag], StorageTable[In Storage - Count Total], "Err", 0, 1), 0)</f>
        <v>8</v>
      </c>
      <c r="B728" s="168">
        <f>_xlfn.LET(_xlpm.loc, ITEquipmentTable[Storage Location],
COUNTIFS(ITSecondTable[Tag], ITSecondTable[[#This Row],[Tag]], _xlpm.loc, "&lt;&gt;In Use", _xlpm.loc, "&lt;&gt;",  _xlpm.loc, "&lt;&gt;E-Waste", _xlpm.loc, "&lt;&gt;Virtual",  _xlpm.loc, "&lt;&gt;Assigned to Employee", _xlpm.loc, "&lt;&gt;Decommisioned", _xlpm.loc, "&lt;&gt;Missing")
)</f>
        <v>9</v>
      </c>
      <c r="C728" s="168">
        <f>_xlfn.LET(_xlpm.loc, ITEquipmentTable[Storage Location],
COUNTIFS(ITSecondTable[Tag], ITSecondTable[[#This Row],[Tag]], _xlpm.loc, "&lt;&gt;E-Waste", _xlpm.loc, "&lt;&gt;Virtual", _xlpm.loc, "&lt;&gt;Decommisioned")
)</f>
        <v>40</v>
      </c>
      <c r="D728" s="168">
        <f>_xlfn.LET(_xlpm.loc, ITEquipmentTable[Storage Location],
COUNTIFS(ITSecondTable[Tag], ITSecondTable[[#This Row],[Tag]], _xlpm.loc, "Missing")
)</f>
        <v>0</v>
      </c>
      <c r="E728" s="168">
        <f>_xlfn.LET(_xlpm.loc, ITEquipmentTable[Storage Location],
COUNTIFS(ITSecondTable[Tag], ITSecondTable[[#This Row],[Tag]], _xlpm.loc, "In Use") + COUNTIFS(ITSecondTable[Tag], ITSecondTable[[#This Row],[Tag]], _xlpm.loc, "Assigned to Employee")
)</f>
        <v>23</v>
      </c>
      <c r="F728" s="168">
        <f>_xlfn.LET(_xlpm.loc, ITEquipmentTable[Storage Location],
COUNTIFS(ITSecondTable[Tag], ITSecondTable[[#This Row],[Tag]], _xlpm.loc, "")
)</f>
        <v>8</v>
      </c>
      <c r="G728" s="168">
        <f>MAX(ITSecondTable[[#This Row],[SQty]] - ITSecondTable[[#This Row],[IQty]], 0)</f>
        <v>1</v>
      </c>
      <c r="H728" s="168">
        <f>MAX(ITSecondTable[[#This Row],[IQty]]-ITSecondTable[[#This Row],[SQty]], 0)</f>
        <v>0</v>
      </c>
      <c r="I728" s="151" t="str">
        <f>IFERROR(_xlfn.TEXTJOIN("~", TRUE, ITEquipmentTable[[#This Row],[Type]],ITEquipmentTable[[#This Row],[Brand]],ITEquipmentTable[[#This Row],[Model]]), "")</f>
        <v>Printer~Sato~CL4NX</v>
      </c>
      <c r="J728" s="151" t="b">
        <f xml:space="preserve"> _xlfn.IFNA(MATCH( ITSecondTable[[#This Row],[Tag]], StorageTable[Tag], 0)  &gt; -1, FALSE)</f>
        <v>0</v>
      </c>
      <c r="K728" s="168" t="b">
        <f>COUNTIFS(ITEquipmentTable[Serial], ITEquipmentTable[[#This Row],[Serial]], ITEquipmentTable[Serial], "&lt;&gt;N/A") &gt; 1</f>
        <v>0</v>
      </c>
      <c r="L728" s="168" t="b">
        <f>COUNTIFS(ITEquipmentTable[Name], ITEquipmentTable[[#This Row],[Name]], ITEquipmentTable[Name], "&lt;&gt;&lt;Unassigned&gt;",  ITEquipmentTable[Name], "&lt;&gt;N/A") &gt; 1</f>
        <v>0</v>
      </c>
      <c r="M728" s="168" t="b">
        <f>AND(COUNTIFS(ITEquipmentTable[IPv4 Address], ITEquipmentTable[[#This Row],[IPv4 Address]]) &gt; 1, ITEquipmentTable[[#This Row],[IPv4 Address]] &lt;&gt; "DHCP",  ITEquipmentTable[[#This Row],[IPv4 Address]] &lt;&gt; "N/A")</f>
        <v>0</v>
      </c>
    </row>
    <row r="729" spans="1:13" x14ac:dyDescent="0.2">
      <c r="A729" s="168">
        <f>IF(LEN(ITSecondTable[[#This Row],[Tag]]) &gt; 0, _xlfn.XLOOKUP(ITSecondTable[[#This Row],[Tag]],StorageTable[Tag], StorageTable[In Storage - Count Total], "Err", 0, 1), 0)</f>
        <v>8</v>
      </c>
      <c r="B729" s="168">
        <f>_xlfn.LET(_xlpm.loc, ITEquipmentTable[Storage Location],
COUNTIFS(ITSecondTable[Tag], ITSecondTable[[#This Row],[Tag]], _xlpm.loc, "&lt;&gt;In Use", _xlpm.loc, "&lt;&gt;",  _xlpm.loc, "&lt;&gt;E-Waste", _xlpm.loc, "&lt;&gt;Virtual",  _xlpm.loc, "&lt;&gt;Assigned to Employee", _xlpm.loc, "&lt;&gt;Decommisioned", _xlpm.loc, "&lt;&gt;Missing")
)</f>
        <v>9</v>
      </c>
      <c r="C729" s="168">
        <f>_xlfn.LET(_xlpm.loc, ITEquipmentTable[Storage Location],
COUNTIFS(ITSecondTable[Tag], ITSecondTable[[#This Row],[Tag]], _xlpm.loc, "&lt;&gt;E-Waste", _xlpm.loc, "&lt;&gt;Virtual", _xlpm.loc, "&lt;&gt;Decommisioned")
)</f>
        <v>40</v>
      </c>
      <c r="D729" s="168">
        <f>_xlfn.LET(_xlpm.loc, ITEquipmentTable[Storage Location],
COUNTIFS(ITSecondTable[Tag], ITSecondTable[[#This Row],[Tag]], _xlpm.loc, "Missing")
)</f>
        <v>0</v>
      </c>
      <c r="E729" s="168">
        <f>_xlfn.LET(_xlpm.loc, ITEquipmentTable[Storage Location],
COUNTIFS(ITSecondTable[Tag], ITSecondTable[[#This Row],[Tag]], _xlpm.loc, "In Use") + COUNTIFS(ITSecondTable[Tag], ITSecondTable[[#This Row],[Tag]], _xlpm.loc, "Assigned to Employee")
)</f>
        <v>23</v>
      </c>
      <c r="F729" s="168">
        <f>_xlfn.LET(_xlpm.loc, ITEquipmentTable[Storage Location],
COUNTIFS(ITSecondTable[Tag], ITSecondTable[[#This Row],[Tag]], _xlpm.loc, "")
)</f>
        <v>8</v>
      </c>
      <c r="G729" s="168">
        <f>MAX(ITSecondTable[[#This Row],[SQty]] - ITSecondTable[[#This Row],[IQty]], 0)</f>
        <v>1</v>
      </c>
      <c r="H729" s="168">
        <f>MAX(ITSecondTable[[#This Row],[IQty]]-ITSecondTable[[#This Row],[SQty]], 0)</f>
        <v>0</v>
      </c>
      <c r="I729" s="151" t="str">
        <f>IFERROR(_xlfn.TEXTJOIN("~", TRUE, ITEquipmentTable[[#This Row],[Type]],ITEquipmentTable[[#This Row],[Brand]],ITEquipmentTable[[#This Row],[Model]]), "")</f>
        <v>Printer~Sato~CL4NX</v>
      </c>
      <c r="J729" s="151" t="b">
        <f xml:space="preserve"> _xlfn.IFNA(MATCH( ITSecondTable[[#This Row],[Tag]], StorageTable[Tag], 0)  &gt; -1, FALSE)</f>
        <v>0</v>
      </c>
      <c r="K729" s="168" t="b">
        <f>COUNTIFS(ITEquipmentTable[Serial], ITEquipmentTable[[#This Row],[Serial]], ITEquipmentTable[Serial], "&lt;&gt;N/A") &gt; 1</f>
        <v>0</v>
      </c>
      <c r="L729" s="168" t="b">
        <f>COUNTIFS(ITEquipmentTable[Name], ITEquipmentTable[[#This Row],[Name]], ITEquipmentTable[Name], "&lt;&gt;&lt;Unassigned&gt;",  ITEquipmentTable[Name], "&lt;&gt;N/A") &gt; 1</f>
        <v>0</v>
      </c>
      <c r="M729" s="168" t="b">
        <f>AND(COUNTIFS(ITEquipmentTable[IPv4 Address], ITEquipmentTable[[#This Row],[IPv4 Address]]) &gt; 1, ITEquipmentTable[[#This Row],[IPv4 Address]] &lt;&gt; "DHCP",  ITEquipmentTable[[#This Row],[IPv4 Address]] &lt;&gt; "N/A")</f>
        <v>0</v>
      </c>
    </row>
    <row r="730" spans="1:13" x14ac:dyDescent="0.2">
      <c r="A730" s="168">
        <f>IF(LEN(ITSecondTable[[#This Row],[Tag]]) &gt; 0, _xlfn.XLOOKUP(ITSecondTable[[#This Row],[Tag]],StorageTable[Tag], StorageTable[In Storage - Count Total], "Err", 0, 1), 0)</f>
        <v>8</v>
      </c>
      <c r="B730" s="168">
        <f>_xlfn.LET(_xlpm.loc, ITEquipmentTable[Storage Location],
COUNTIFS(ITSecondTable[Tag], ITSecondTable[[#This Row],[Tag]], _xlpm.loc, "&lt;&gt;In Use", _xlpm.loc, "&lt;&gt;",  _xlpm.loc, "&lt;&gt;E-Waste", _xlpm.loc, "&lt;&gt;Virtual",  _xlpm.loc, "&lt;&gt;Assigned to Employee", _xlpm.loc, "&lt;&gt;Decommisioned", _xlpm.loc, "&lt;&gt;Missing")
)</f>
        <v>9</v>
      </c>
      <c r="C730" s="168">
        <f>_xlfn.LET(_xlpm.loc, ITEquipmentTable[Storage Location],
COUNTIFS(ITSecondTable[Tag], ITSecondTable[[#This Row],[Tag]], _xlpm.loc, "&lt;&gt;E-Waste", _xlpm.loc, "&lt;&gt;Virtual", _xlpm.loc, "&lt;&gt;Decommisioned")
)</f>
        <v>40</v>
      </c>
      <c r="D730" s="168">
        <f>_xlfn.LET(_xlpm.loc, ITEquipmentTable[Storage Location],
COUNTIFS(ITSecondTable[Tag], ITSecondTable[[#This Row],[Tag]], _xlpm.loc, "Missing")
)</f>
        <v>0</v>
      </c>
      <c r="E730" s="168">
        <f>_xlfn.LET(_xlpm.loc, ITEquipmentTable[Storage Location],
COUNTIFS(ITSecondTable[Tag], ITSecondTable[[#This Row],[Tag]], _xlpm.loc, "In Use") + COUNTIFS(ITSecondTable[Tag], ITSecondTable[[#This Row],[Tag]], _xlpm.loc, "Assigned to Employee")
)</f>
        <v>23</v>
      </c>
      <c r="F730" s="168">
        <f>_xlfn.LET(_xlpm.loc, ITEquipmentTable[Storage Location],
COUNTIFS(ITSecondTable[Tag], ITSecondTable[[#This Row],[Tag]], _xlpm.loc, "")
)</f>
        <v>8</v>
      </c>
      <c r="G730" s="168">
        <f>MAX(ITSecondTable[[#This Row],[SQty]] - ITSecondTable[[#This Row],[IQty]], 0)</f>
        <v>1</v>
      </c>
      <c r="H730" s="168">
        <f>MAX(ITSecondTable[[#This Row],[IQty]]-ITSecondTable[[#This Row],[SQty]], 0)</f>
        <v>0</v>
      </c>
      <c r="I730" s="151" t="str">
        <f>IFERROR(_xlfn.TEXTJOIN("~", TRUE, ITEquipmentTable[[#This Row],[Type]],ITEquipmentTable[[#This Row],[Brand]],ITEquipmentTable[[#This Row],[Model]]), "")</f>
        <v>Printer~Sato~CL4NX</v>
      </c>
      <c r="J730" s="151" t="b">
        <f xml:space="preserve"> _xlfn.IFNA(MATCH( ITSecondTable[[#This Row],[Tag]], StorageTable[Tag], 0)  &gt; -1, FALSE)</f>
        <v>0</v>
      </c>
      <c r="K730" s="168" t="b">
        <f>COUNTIFS(ITEquipmentTable[Serial], ITEquipmentTable[[#This Row],[Serial]], ITEquipmentTable[Serial], "&lt;&gt;N/A") &gt; 1</f>
        <v>0</v>
      </c>
      <c r="L730" s="168" t="b">
        <f>COUNTIFS(ITEquipmentTable[Name], ITEquipmentTable[[#This Row],[Name]], ITEquipmentTable[Name], "&lt;&gt;&lt;Unassigned&gt;",  ITEquipmentTable[Name], "&lt;&gt;N/A") &gt; 1</f>
        <v>0</v>
      </c>
      <c r="M730" s="168" t="b">
        <f>AND(COUNTIFS(ITEquipmentTable[IPv4 Address], ITEquipmentTable[[#This Row],[IPv4 Address]]) &gt; 1, ITEquipmentTable[[#This Row],[IPv4 Address]] &lt;&gt; "DHCP",  ITEquipmentTable[[#This Row],[IPv4 Address]] &lt;&gt; "N/A")</f>
        <v>0</v>
      </c>
    </row>
    <row r="731" spans="1:13" x14ac:dyDescent="0.2">
      <c r="A731" s="168">
        <f>IF(LEN(ITSecondTable[[#This Row],[Tag]]) &gt; 0, _xlfn.XLOOKUP(ITSecondTable[[#This Row],[Tag]],StorageTable[Tag], StorageTable[In Storage - Count Total], "Err", 0, 1), 0)</f>
        <v>8</v>
      </c>
      <c r="B731" s="168">
        <f>_xlfn.LET(_xlpm.loc, ITEquipmentTable[Storage Location],
COUNTIFS(ITSecondTable[Tag], ITSecondTable[[#This Row],[Tag]], _xlpm.loc, "&lt;&gt;In Use", _xlpm.loc, "&lt;&gt;",  _xlpm.loc, "&lt;&gt;E-Waste", _xlpm.loc, "&lt;&gt;Virtual",  _xlpm.loc, "&lt;&gt;Assigned to Employee", _xlpm.loc, "&lt;&gt;Decommisioned", _xlpm.loc, "&lt;&gt;Missing")
)</f>
        <v>9</v>
      </c>
      <c r="C731" s="168">
        <f>_xlfn.LET(_xlpm.loc, ITEquipmentTable[Storage Location],
COUNTIFS(ITSecondTable[Tag], ITSecondTable[[#This Row],[Tag]], _xlpm.loc, "&lt;&gt;E-Waste", _xlpm.loc, "&lt;&gt;Virtual", _xlpm.loc, "&lt;&gt;Decommisioned")
)</f>
        <v>40</v>
      </c>
      <c r="D731" s="168">
        <f>_xlfn.LET(_xlpm.loc, ITEquipmentTable[Storage Location],
COUNTIFS(ITSecondTable[Tag], ITSecondTable[[#This Row],[Tag]], _xlpm.loc, "Missing")
)</f>
        <v>0</v>
      </c>
      <c r="E731" s="168">
        <f>_xlfn.LET(_xlpm.loc, ITEquipmentTable[Storage Location],
COUNTIFS(ITSecondTable[Tag], ITSecondTable[[#This Row],[Tag]], _xlpm.loc, "In Use") + COUNTIFS(ITSecondTable[Tag], ITSecondTable[[#This Row],[Tag]], _xlpm.loc, "Assigned to Employee")
)</f>
        <v>23</v>
      </c>
      <c r="F731" s="168">
        <f>_xlfn.LET(_xlpm.loc, ITEquipmentTable[Storage Location],
COUNTIFS(ITSecondTable[Tag], ITSecondTable[[#This Row],[Tag]], _xlpm.loc, "")
)</f>
        <v>8</v>
      </c>
      <c r="G731" s="168">
        <f>MAX(ITSecondTable[[#This Row],[SQty]] - ITSecondTable[[#This Row],[IQty]], 0)</f>
        <v>1</v>
      </c>
      <c r="H731" s="168">
        <f>MAX(ITSecondTable[[#This Row],[IQty]]-ITSecondTable[[#This Row],[SQty]], 0)</f>
        <v>0</v>
      </c>
      <c r="I731" s="151" t="str">
        <f>IFERROR(_xlfn.TEXTJOIN("~", TRUE, ITEquipmentTable[[#This Row],[Type]],ITEquipmentTable[[#This Row],[Brand]],ITEquipmentTable[[#This Row],[Model]]), "")</f>
        <v>Printer~Sato~CL4NX</v>
      </c>
      <c r="J731" s="151" t="b">
        <f xml:space="preserve"> _xlfn.IFNA(MATCH( ITSecondTable[[#This Row],[Tag]], StorageTable[Tag], 0)  &gt; -1, FALSE)</f>
        <v>0</v>
      </c>
      <c r="K731" s="168" t="b">
        <f>COUNTIFS(ITEquipmentTable[Serial], ITEquipmentTable[[#This Row],[Serial]], ITEquipmentTable[Serial], "&lt;&gt;N/A") &gt; 1</f>
        <v>0</v>
      </c>
      <c r="L731" s="168" t="b">
        <f>COUNTIFS(ITEquipmentTable[Name], ITEquipmentTable[[#This Row],[Name]], ITEquipmentTable[Name], "&lt;&gt;&lt;Unassigned&gt;",  ITEquipmentTable[Name], "&lt;&gt;N/A") &gt; 1</f>
        <v>0</v>
      </c>
      <c r="M731" s="168" t="b">
        <f>AND(COUNTIFS(ITEquipmentTable[IPv4 Address], ITEquipmentTable[[#This Row],[IPv4 Address]]) &gt; 1, ITEquipmentTable[[#This Row],[IPv4 Address]] &lt;&gt; "DHCP",  ITEquipmentTable[[#This Row],[IPv4 Address]] &lt;&gt; "N/A")</f>
        <v>0</v>
      </c>
    </row>
    <row r="732" spans="1:13" x14ac:dyDescent="0.2">
      <c r="A732" s="168">
        <f>IF(LEN(ITSecondTable[[#This Row],[Tag]]) &gt; 0, _xlfn.XLOOKUP(ITSecondTable[[#This Row],[Tag]],StorageTable[Tag], StorageTable[In Storage - Count Total], "Err", 0, 1), 0)</f>
        <v>8</v>
      </c>
      <c r="B732" s="168">
        <f>_xlfn.LET(_xlpm.loc, ITEquipmentTable[Storage Location],
COUNTIFS(ITSecondTable[Tag], ITSecondTable[[#This Row],[Tag]], _xlpm.loc, "&lt;&gt;In Use", _xlpm.loc, "&lt;&gt;",  _xlpm.loc, "&lt;&gt;E-Waste", _xlpm.loc, "&lt;&gt;Virtual",  _xlpm.loc, "&lt;&gt;Assigned to Employee", _xlpm.loc, "&lt;&gt;Decommisioned", _xlpm.loc, "&lt;&gt;Missing")
)</f>
        <v>9</v>
      </c>
      <c r="C732" s="168">
        <f>_xlfn.LET(_xlpm.loc, ITEquipmentTable[Storage Location],
COUNTIFS(ITSecondTable[Tag], ITSecondTable[[#This Row],[Tag]], _xlpm.loc, "&lt;&gt;E-Waste", _xlpm.loc, "&lt;&gt;Virtual", _xlpm.loc, "&lt;&gt;Decommisioned")
)</f>
        <v>40</v>
      </c>
      <c r="D732" s="168">
        <f>_xlfn.LET(_xlpm.loc, ITEquipmentTable[Storage Location],
COUNTIFS(ITSecondTable[Tag], ITSecondTable[[#This Row],[Tag]], _xlpm.loc, "Missing")
)</f>
        <v>0</v>
      </c>
      <c r="E732" s="168">
        <f>_xlfn.LET(_xlpm.loc, ITEquipmentTable[Storage Location],
COUNTIFS(ITSecondTable[Tag], ITSecondTable[[#This Row],[Tag]], _xlpm.loc, "In Use") + COUNTIFS(ITSecondTable[Tag], ITSecondTable[[#This Row],[Tag]], _xlpm.loc, "Assigned to Employee")
)</f>
        <v>23</v>
      </c>
      <c r="F732" s="168">
        <f>_xlfn.LET(_xlpm.loc, ITEquipmentTable[Storage Location],
COUNTIFS(ITSecondTable[Tag], ITSecondTable[[#This Row],[Tag]], _xlpm.loc, "")
)</f>
        <v>8</v>
      </c>
      <c r="G732" s="168">
        <f>MAX(ITSecondTable[[#This Row],[SQty]] - ITSecondTable[[#This Row],[IQty]], 0)</f>
        <v>1</v>
      </c>
      <c r="H732" s="168">
        <f>MAX(ITSecondTable[[#This Row],[IQty]]-ITSecondTable[[#This Row],[SQty]], 0)</f>
        <v>0</v>
      </c>
      <c r="I732" s="151" t="str">
        <f>IFERROR(_xlfn.TEXTJOIN("~", TRUE, ITEquipmentTable[[#This Row],[Type]],ITEquipmentTable[[#This Row],[Brand]],ITEquipmentTable[[#This Row],[Model]]), "")</f>
        <v>Printer~Sato~CL4NX</v>
      </c>
      <c r="J732" s="151" t="b">
        <f xml:space="preserve"> _xlfn.IFNA(MATCH( ITSecondTable[[#This Row],[Tag]], StorageTable[Tag], 0)  &gt; -1, FALSE)</f>
        <v>0</v>
      </c>
      <c r="K732" s="168" t="b">
        <f>COUNTIFS(ITEquipmentTable[Serial], ITEquipmentTable[[#This Row],[Serial]], ITEquipmentTable[Serial], "&lt;&gt;N/A") &gt; 1</f>
        <v>0</v>
      </c>
      <c r="L732" s="168" t="b">
        <f>COUNTIFS(ITEquipmentTable[Name], ITEquipmentTable[[#This Row],[Name]], ITEquipmentTable[Name], "&lt;&gt;&lt;Unassigned&gt;",  ITEquipmentTable[Name], "&lt;&gt;N/A") &gt; 1</f>
        <v>0</v>
      </c>
      <c r="M732" s="168" t="b">
        <f>AND(COUNTIFS(ITEquipmentTable[IPv4 Address], ITEquipmentTable[[#This Row],[IPv4 Address]]) &gt; 1, ITEquipmentTable[[#This Row],[IPv4 Address]] &lt;&gt; "DHCP",  ITEquipmentTable[[#This Row],[IPv4 Address]] &lt;&gt; "N/A")</f>
        <v>0</v>
      </c>
    </row>
    <row r="733" spans="1:13" x14ac:dyDescent="0.2">
      <c r="A733" s="168">
        <f>IF(LEN(ITSecondTable[[#This Row],[Tag]]) &gt; 0, _xlfn.XLOOKUP(ITSecondTable[[#This Row],[Tag]],StorageTable[Tag], StorageTable[In Storage - Count Total], "Err", 0, 1), 0)</f>
        <v>10</v>
      </c>
      <c r="B733" s="168">
        <f>_xlfn.LET(_xlpm.loc, ITEquipmentTable[Storage Location],
COUNTIFS(ITSecondTable[Tag], ITSecondTable[[#This Row],[Tag]], _xlpm.loc, "&lt;&gt;In Use", _xlpm.loc, "&lt;&gt;",  _xlpm.loc, "&lt;&gt;E-Waste", _xlpm.loc, "&lt;&gt;Virtual",  _xlpm.loc, "&lt;&gt;Assigned to Employee", _xlpm.loc, "&lt;&gt;Decommisioned", _xlpm.loc, "&lt;&gt;Missing")
)</f>
        <v>16</v>
      </c>
      <c r="C733" s="168">
        <f>_xlfn.LET(_xlpm.loc, ITEquipmentTable[Storage Location],
COUNTIFS(ITSecondTable[Tag], ITSecondTable[[#This Row],[Tag]], _xlpm.loc, "&lt;&gt;E-Waste", _xlpm.loc, "&lt;&gt;Virtual", _xlpm.loc, "&lt;&gt;Decommisioned")
)</f>
        <v>48</v>
      </c>
      <c r="D733" s="168">
        <f>_xlfn.LET(_xlpm.loc, ITEquipmentTable[Storage Location],
COUNTIFS(ITSecondTable[Tag], ITSecondTable[[#This Row],[Tag]], _xlpm.loc, "Missing")
)</f>
        <v>0</v>
      </c>
      <c r="E733" s="168">
        <f>_xlfn.LET(_xlpm.loc, ITEquipmentTable[Storage Location],
COUNTIFS(ITSecondTable[Tag], ITSecondTable[[#This Row],[Tag]], _xlpm.loc, "In Use") + COUNTIFS(ITSecondTable[Tag], ITSecondTable[[#This Row],[Tag]], _xlpm.loc, "Assigned to Employee")
)</f>
        <v>29</v>
      </c>
      <c r="F733" s="168">
        <f>_xlfn.LET(_xlpm.loc, ITEquipmentTable[Storage Location],
COUNTIFS(ITSecondTable[Tag], ITSecondTable[[#This Row],[Tag]], _xlpm.loc, "")
)</f>
        <v>3</v>
      </c>
      <c r="G733" s="168">
        <f>MAX(ITSecondTable[[#This Row],[SQty]] - ITSecondTable[[#This Row],[IQty]], 0)</f>
        <v>6</v>
      </c>
      <c r="H733" s="168">
        <f>MAX(ITSecondTable[[#This Row],[IQty]]-ITSecondTable[[#This Row],[SQty]], 0)</f>
        <v>0</v>
      </c>
      <c r="I733" s="151" t="str">
        <f>IFERROR(_xlfn.TEXTJOIN("~", TRUE, ITEquipmentTable[[#This Row],[Type]],ITEquipmentTable[[#This Row],[Brand]],ITEquipmentTable[[#This Row],[Model]]), "")</f>
        <v>Desktop~HP~HP ProDesk 600 G5 DM</v>
      </c>
      <c r="J733" s="151" t="b">
        <f xml:space="preserve"> _xlfn.IFNA(MATCH( ITSecondTable[[#This Row],[Tag]], StorageTable[Tag], 0)  &gt; -1, FALSE)</f>
        <v>0</v>
      </c>
      <c r="K733" s="168" t="b">
        <f>COUNTIFS(ITEquipmentTable[Serial], ITEquipmentTable[[#This Row],[Serial]], ITEquipmentTable[Serial], "&lt;&gt;N/A") &gt; 1</f>
        <v>0</v>
      </c>
      <c r="L733" s="168" t="b">
        <f>COUNTIFS(ITEquipmentTable[Name], ITEquipmentTable[[#This Row],[Name]], ITEquipmentTable[Name], "&lt;&gt;&lt;Unassigned&gt;",  ITEquipmentTable[Name], "&lt;&gt;N/A") &gt; 1</f>
        <v>0</v>
      </c>
      <c r="M733" s="168" t="b">
        <f>AND(COUNTIFS(ITEquipmentTable[IPv4 Address], ITEquipmentTable[[#This Row],[IPv4 Address]]) &gt; 1, ITEquipmentTable[[#This Row],[IPv4 Address]] &lt;&gt; "DHCP",  ITEquipmentTable[[#This Row],[IPv4 Address]] &lt;&gt; "N/A")</f>
        <v>0</v>
      </c>
    </row>
    <row r="734" spans="1:13" x14ac:dyDescent="0.2">
      <c r="A734" s="168">
        <f>IF(LEN(ITSecondTable[[#This Row],[Tag]]) &gt; 0, _xlfn.XLOOKUP(ITSecondTable[[#This Row],[Tag]],StorageTable[Tag], StorageTable[In Storage - Count Total], "Err", 0, 1), 0)</f>
        <v>6</v>
      </c>
      <c r="B734" s="168">
        <f>_xlfn.LET(_xlpm.loc, ITEquipmentTable[Storage Location],
COUNTIFS(ITSecondTable[Tag], ITSecondTable[[#This Row],[Tag]], _xlpm.loc, "&lt;&gt;In Use", _xlpm.loc, "&lt;&gt;",  _xlpm.loc, "&lt;&gt;E-Waste", _xlpm.loc, "&lt;&gt;Virtual",  _xlpm.loc, "&lt;&gt;Assigned to Employee", _xlpm.loc, "&lt;&gt;Decommisioned", _xlpm.loc, "&lt;&gt;Missing")
)</f>
        <v>17</v>
      </c>
      <c r="C734" s="168">
        <f>_xlfn.LET(_xlpm.loc, ITEquipmentTable[Storage Location],
COUNTIFS(ITSecondTable[Tag], ITSecondTable[[#This Row],[Tag]], _xlpm.loc, "&lt;&gt;E-Waste", _xlpm.loc, "&lt;&gt;Virtual", _xlpm.loc, "&lt;&gt;Decommisioned")
)</f>
        <v>64</v>
      </c>
      <c r="D734" s="168">
        <f>_xlfn.LET(_xlpm.loc, ITEquipmentTable[Storage Location],
COUNTIFS(ITSecondTable[Tag], ITSecondTable[[#This Row],[Tag]], _xlpm.loc, "Missing")
)</f>
        <v>0</v>
      </c>
      <c r="E734" s="168">
        <f>_xlfn.LET(_xlpm.loc, ITEquipmentTable[Storage Location],
COUNTIFS(ITSecondTable[Tag], ITSecondTable[[#This Row],[Tag]], _xlpm.loc, "In Use") + COUNTIFS(ITSecondTable[Tag], ITSecondTable[[#This Row],[Tag]], _xlpm.loc, "Assigned to Employee")
)</f>
        <v>30</v>
      </c>
      <c r="F734" s="168">
        <f>_xlfn.LET(_xlpm.loc, ITEquipmentTable[Storage Location],
COUNTIFS(ITSecondTable[Tag], ITSecondTable[[#This Row],[Tag]], _xlpm.loc, "")
)</f>
        <v>17</v>
      </c>
      <c r="G734" s="168">
        <f>MAX(ITSecondTable[[#This Row],[SQty]] - ITSecondTable[[#This Row],[IQty]], 0)</f>
        <v>11</v>
      </c>
      <c r="H734" s="168">
        <f>MAX(ITSecondTable[[#This Row],[IQty]]-ITSecondTable[[#This Row],[SQty]], 0)</f>
        <v>0</v>
      </c>
      <c r="I734" s="151" t="str">
        <f>IFERROR(_xlfn.TEXTJOIN("~", TRUE, ITEquipmentTable[[#This Row],[Type]],ITEquipmentTable[[#This Row],[Brand]],ITEquipmentTable[[#This Row],[Model]]), "")</f>
        <v>Desktop~Dell~OptiPlex 3040</v>
      </c>
      <c r="J734" s="151" t="b">
        <f xml:space="preserve"> _xlfn.IFNA(MATCH( ITSecondTable[[#This Row],[Tag]], StorageTable[Tag], 0)  &gt; -1, FALSE)</f>
        <v>0</v>
      </c>
      <c r="K734" s="168" t="b">
        <f>COUNTIFS(ITEquipmentTable[Serial], ITEquipmentTable[[#This Row],[Serial]], ITEquipmentTable[Serial], "&lt;&gt;N/A") &gt; 1</f>
        <v>0</v>
      </c>
      <c r="L734" s="168" t="b">
        <f>COUNTIFS(ITEquipmentTable[Name], ITEquipmentTable[[#This Row],[Name]], ITEquipmentTable[Name], "&lt;&gt;&lt;Unassigned&gt;",  ITEquipmentTable[Name], "&lt;&gt;N/A") &gt; 1</f>
        <v>0</v>
      </c>
      <c r="M734" s="168" t="b">
        <f>AND(COUNTIFS(ITEquipmentTable[IPv4 Address], ITEquipmentTable[[#This Row],[IPv4 Address]]) &gt; 1, ITEquipmentTable[[#This Row],[IPv4 Address]] &lt;&gt; "DHCP",  ITEquipmentTable[[#This Row],[IPv4 Address]] &lt;&gt; "N/A")</f>
        <v>0</v>
      </c>
    </row>
    <row r="735" spans="1:13" x14ac:dyDescent="0.2">
      <c r="A735" s="168">
        <f>IF(LEN(ITSecondTable[[#This Row],[Tag]]) &gt; 0, _xlfn.XLOOKUP(ITSecondTable[[#This Row],[Tag]],StorageTable[Tag], StorageTable[In Storage - Count Total], "Err", 0, 1), 0)</f>
        <v>6</v>
      </c>
      <c r="B735" s="168">
        <f>_xlfn.LET(_xlpm.loc, ITEquipmentTable[Storage Location],
COUNTIFS(ITSecondTable[Tag], ITSecondTable[[#This Row],[Tag]], _xlpm.loc, "&lt;&gt;In Use", _xlpm.loc, "&lt;&gt;",  _xlpm.loc, "&lt;&gt;E-Waste", _xlpm.loc, "&lt;&gt;Virtual",  _xlpm.loc, "&lt;&gt;Assigned to Employee", _xlpm.loc, "&lt;&gt;Decommisioned", _xlpm.loc, "&lt;&gt;Missing")
)</f>
        <v>17</v>
      </c>
      <c r="C735" s="168">
        <f>_xlfn.LET(_xlpm.loc, ITEquipmentTable[Storage Location],
COUNTIFS(ITSecondTable[Tag], ITSecondTable[[#This Row],[Tag]], _xlpm.loc, "&lt;&gt;E-Waste", _xlpm.loc, "&lt;&gt;Virtual", _xlpm.loc, "&lt;&gt;Decommisioned")
)</f>
        <v>64</v>
      </c>
      <c r="D735" s="168">
        <f>_xlfn.LET(_xlpm.loc, ITEquipmentTable[Storage Location],
COUNTIFS(ITSecondTable[Tag], ITSecondTable[[#This Row],[Tag]], _xlpm.loc, "Missing")
)</f>
        <v>0</v>
      </c>
      <c r="E735" s="168">
        <f>_xlfn.LET(_xlpm.loc, ITEquipmentTable[Storage Location],
COUNTIFS(ITSecondTable[Tag], ITSecondTable[[#This Row],[Tag]], _xlpm.loc, "In Use") + COUNTIFS(ITSecondTable[Tag], ITSecondTable[[#This Row],[Tag]], _xlpm.loc, "Assigned to Employee")
)</f>
        <v>30</v>
      </c>
      <c r="F735" s="168">
        <f>_xlfn.LET(_xlpm.loc, ITEquipmentTable[Storage Location],
COUNTIFS(ITSecondTable[Tag], ITSecondTable[[#This Row],[Tag]], _xlpm.loc, "")
)</f>
        <v>17</v>
      </c>
      <c r="G735" s="168">
        <f>MAX(ITSecondTable[[#This Row],[SQty]] - ITSecondTable[[#This Row],[IQty]], 0)</f>
        <v>11</v>
      </c>
      <c r="H735" s="168">
        <f>MAX(ITSecondTable[[#This Row],[IQty]]-ITSecondTable[[#This Row],[SQty]], 0)</f>
        <v>0</v>
      </c>
      <c r="I735" s="151" t="str">
        <f>IFERROR(_xlfn.TEXTJOIN("~", TRUE, ITEquipmentTable[[#This Row],[Type]],ITEquipmentTable[[#This Row],[Brand]],ITEquipmentTable[[#This Row],[Model]]), "")</f>
        <v>Desktop~Dell~OptiPlex 3040</v>
      </c>
      <c r="J735" s="151" t="b">
        <f xml:space="preserve"> _xlfn.IFNA(MATCH( ITSecondTable[[#This Row],[Tag]], StorageTable[Tag], 0)  &gt; -1, FALSE)</f>
        <v>0</v>
      </c>
      <c r="K735" s="168" t="b">
        <f>COUNTIFS(ITEquipmentTable[Serial], ITEquipmentTable[[#This Row],[Serial]], ITEquipmentTable[Serial], "&lt;&gt;N/A") &gt; 1</f>
        <v>0</v>
      </c>
      <c r="L735" s="168" t="b">
        <f>COUNTIFS(ITEquipmentTable[Name], ITEquipmentTable[[#This Row],[Name]], ITEquipmentTable[Name], "&lt;&gt;&lt;Unassigned&gt;",  ITEquipmentTable[Name], "&lt;&gt;N/A") &gt; 1</f>
        <v>0</v>
      </c>
      <c r="M735" s="168" t="b">
        <f>AND(COUNTIFS(ITEquipmentTable[IPv4 Address], ITEquipmentTable[[#This Row],[IPv4 Address]]) &gt; 1, ITEquipmentTable[[#This Row],[IPv4 Address]] &lt;&gt; "DHCP",  ITEquipmentTable[[#This Row],[IPv4 Address]] &lt;&gt; "N/A")</f>
        <v>0</v>
      </c>
    </row>
    <row r="736" spans="1:13" x14ac:dyDescent="0.2">
      <c r="A736" s="168">
        <f>IF(LEN(ITSecondTable[[#This Row],[Tag]]) &gt; 0, _xlfn.XLOOKUP(ITSecondTable[[#This Row],[Tag]],StorageTable[Tag], StorageTable[In Storage - Count Total], "Err", 0, 1), 0)</f>
        <v>0</v>
      </c>
      <c r="B736" s="168">
        <f>_xlfn.LET(_xlpm.loc, ITEquipmentTable[Storage Location],
COUNTIFS(ITSecondTable[Tag], ITSecondTable[[#This Row],[Tag]], _xlpm.loc, "&lt;&gt;In Use", _xlpm.loc, "&lt;&gt;",  _xlpm.loc, "&lt;&gt;E-Waste", _xlpm.loc, "&lt;&gt;Virtual",  _xlpm.loc, "&lt;&gt;Assigned to Employee", _xlpm.loc, "&lt;&gt;Decommisioned", _xlpm.loc, "&lt;&gt;Missing")
)</f>
        <v>8</v>
      </c>
      <c r="C736" s="168">
        <f>_xlfn.LET(_xlpm.loc, ITEquipmentTable[Storage Location],
COUNTIFS(ITSecondTable[Tag], ITSecondTable[[#This Row],[Tag]], _xlpm.loc, "&lt;&gt;E-Waste", _xlpm.loc, "&lt;&gt;Virtual", _xlpm.loc, "&lt;&gt;Decommisioned")
)</f>
        <v>27</v>
      </c>
      <c r="D736" s="168">
        <f>_xlfn.LET(_xlpm.loc, ITEquipmentTable[Storage Location],
COUNTIFS(ITSecondTable[Tag], ITSecondTable[[#This Row],[Tag]], _xlpm.loc, "Missing")
)</f>
        <v>0</v>
      </c>
      <c r="E736" s="168">
        <f>_xlfn.LET(_xlpm.loc, ITEquipmentTable[Storage Location],
COUNTIFS(ITSecondTable[Tag], ITSecondTable[[#This Row],[Tag]], _xlpm.loc, "In Use") + COUNTIFS(ITSecondTable[Tag], ITSecondTable[[#This Row],[Tag]], _xlpm.loc, "Assigned to Employee")
)</f>
        <v>12</v>
      </c>
      <c r="F736" s="168">
        <f>_xlfn.LET(_xlpm.loc, ITEquipmentTable[Storage Location],
COUNTIFS(ITSecondTable[Tag], ITSecondTable[[#This Row],[Tag]], _xlpm.loc, "")
)</f>
        <v>7</v>
      </c>
      <c r="G736" s="168">
        <f>MAX(ITSecondTable[[#This Row],[SQty]] - ITSecondTable[[#This Row],[IQty]], 0)</f>
        <v>8</v>
      </c>
      <c r="H736" s="168">
        <f>MAX(ITSecondTable[[#This Row],[IQty]]-ITSecondTable[[#This Row],[SQty]], 0)</f>
        <v>0</v>
      </c>
      <c r="I736" s="151" t="str">
        <f>IFERROR(_xlfn.TEXTJOIN("~", TRUE, ITEquipmentTable[[#This Row],[Type]],ITEquipmentTable[[#This Row],[Brand]],ITEquipmentTable[[#This Row],[Model]]), "")</f>
        <v>Desktop~Dell~OptiPlex 3050</v>
      </c>
      <c r="J736" s="151" t="b">
        <f xml:space="preserve"> _xlfn.IFNA(MATCH( ITSecondTable[[#This Row],[Tag]], StorageTable[Tag], 0)  &gt; -1, FALSE)</f>
        <v>0</v>
      </c>
      <c r="K736" s="168" t="b">
        <f>COUNTIFS(ITEquipmentTable[Serial], ITEquipmentTable[[#This Row],[Serial]], ITEquipmentTable[Serial], "&lt;&gt;N/A") &gt; 1</f>
        <v>0</v>
      </c>
      <c r="L736" s="168" t="b">
        <f>COUNTIFS(ITEquipmentTable[Name], ITEquipmentTable[[#This Row],[Name]], ITEquipmentTable[Name], "&lt;&gt;&lt;Unassigned&gt;",  ITEquipmentTable[Name], "&lt;&gt;N/A") &gt; 1</f>
        <v>0</v>
      </c>
      <c r="M736" s="168" t="b">
        <f>AND(COUNTIFS(ITEquipmentTable[IPv4 Address], ITEquipmentTable[[#This Row],[IPv4 Address]]) &gt; 1, ITEquipmentTable[[#This Row],[IPv4 Address]] &lt;&gt; "DHCP",  ITEquipmentTable[[#This Row],[IPv4 Address]] &lt;&gt; "N/A")</f>
        <v>0</v>
      </c>
    </row>
    <row r="737" spans="1:13" x14ac:dyDescent="0.2">
      <c r="A737" s="168">
        <f>IF(LEN(ITSecondTable[[#This Row],[Tag]]) &gt; 0, _xlfn.XLOOKUP(ITSecondTable[[#This Row],[Tag]],StorageTable[Tag], StorageTable[In Storage - Count Total], "Err", 0, 1), 0)</f>
        <v>0</v>
      </c>
      <c r="B737" s="168">
        <f>_xlfn.LET(_xlpm.loc, ITEquipmentTable[Storage Location],
COUNTIFS(ITSecondTable[Tag], ITSecondTable[[#This Row],[Tag]], _xlpm.loc, "&lt;&gt;In Use", _xlpm.loc, "&lt;&gt;",  _xlpm.loc, "&lt;&gt;E-Waste", _xlpm.loc, "&lt;&gt;Virtual",  _xlpm.loc, "&lt;&gt;Assigned to Employee", _xlpm.loc, "&lt;&gt;Decommisioned", _xlpm.loc, "&lt;&gt;Missing")
)</f>
        <v>2</v>
      </c>
      <c r="C737" s="168">
        <f>_xlfn.LET(_xlpm.loc, ITEquipmentTable[Storage Location],
COUNTIFS(ITSecondTable[Tag], ITSecondTable[[#This Row],[Tag]], _xlpm.loc, "&lt;&gt;E-Waste", _xlpm.loc, "&lt;&gt;Virtual", _xlpm.loc, "&lt;&gt;Decommisioned")
)</f>
        <v>11</v>
      </c>
      <c r="D737" s="168">
        <f>_xlfn.LET(_xlpm.loc, ITEquipmentTable[Storage Location],
COUNTIFS(ITSecondTable[Tag], ITSecondTable[[#This Row],[Tag]], _xlpm.loc, "Missing")
)</f>
        <v>0</v>
      </c>
      <c r="E737" s="168">
        <f>_xlfn.LET(_xlpm.loc, ITEquipmentTable[Storage Location],
COUNTIFS(ITSecondTable[Tag], ITSecondTable[[#This Row],[Tag]], _xlpm.loc, "In Use") + COUNTIFS(ITSecondTable[Tag], ITSecondTable[[#This Row],[Tag]], _xlpm.loc, "Assigned to Employee")
)</f>
        <v>6</v>
      </c>
      <c r="F737" s="168">
        <f>_xlfn.LET(_xlpm.loc, ITEquipmentTable[Storage Location],
COUNTIFS(ITSecondTable[Tag], ITSecondTable[[#This Row],[Tag]], _xlpm.loc, "")
)</f>
        <v>3</v>
      </c>
      <c r="G737" s="168">
        <f>MAX(ITSecondTable[[#This Row],[SQty]] - ITSecondTable[[#This Row],[IQty]], 0)</f>
        <v>2</v>
      </c>
      <c r="H737" s="168">
        <f>MAX(ITSecondTable[[#This Row],[IQty]]-ITSecondTable[[#This Row],[SQty]], 0)</f>
        <v>0</v>
      </c>
      <c r="I737" s="151" t="str">
        <f>IFERROR(_xlfn.TEXTJOIN("~", TRUE, ITEquipmentTable[[#This Row],[Type]],ITEquipmentTable[[#This Row],[Brand]],ITEquipmentTable[[#This Row],[Model]]), "")</f>
        <v>Desktop~Dell</v>
      </c>
      <c r="J737" s="151" t="b">
        <f xml:space="preserve"> _xlfn.IFNA(MATCH( ITSecondTable[[#This Row],[Tag]], StorageTable[Tag], 0)  &gt; -1, FALSE)</f>
        <v>0</v>
      </c>
      <c r="K737" s="168" t="b">
        <f>COUNTIFS(ITEquipmentTable[Serial], ITEquipmentTable[[#This Row],[Serial]], ITEquipmentTable[Serial], "&lt;&gt;N/A") &gt; 1</f>
        <v>0</v>
      </c>
      <c r="L737" s="168" t="b">
        <f>COUNTIFS(ITEquipmentTable[Name], ITEquipmentTable[[#This Row],[Name]], ITEquipmentTable[Name], "&lt;&gt;&lt;Unassigned&gt;",  ITEquipmentTable[Name], "&lt;&gt;N/A") &gt; 1</f>
        <v>0</v>
      </c>
      <c r="M737" s="168" t="b">
        <f>AND(COUNTIFS(ITEquipmentTable[IPv4 Address], ITEquipmentTable[[#This Row],[IPv4 Address]]) &gt; 1, ITEquipmentTable[[#This Row],[IPv4 Address]] &lt;&gt; "DHCP",  ITEquipmentTable[[#This Row],[IPv4 Address]] &lt;&gt; "N/A")</f>
        <v>0</v>
      </c>
    </row>
    <row r="738" spans="1:13" x14ac:dyDescent="0.2">
      <c r="A738" s="168">
        <f>IF(LEN(ITSecondTable[[#This Row],[Tag]]) &gt; 0, _xlfn.XLOOKUP(ITSecondTable[[#This Row],[Tag]],StorageTable[Tag], StorageTable[In Storage - Count Total], "Err", 0, 1), 0)</f>
        <v>0</v>
      </c>
      <c r="B738" s="168">
        <f>_xlfn.LET(_xlpm.loc, ITEquipmentTable[Storage Location],
COUNTIFS(ITSecondTable[Tag], ITSecondTable[[#This Row],[Tag]], _xlpm.loc, "&lt;&gt;In Use", _xlpm.loc, "&lt;&gt;",  _xlpm.loc, "&lt;&gt;E-Waste", _xlpm.loc, "&lt;&gt;Virtual",  _xlpm.loc, "&lt;&gt;Assigned to Employee", _xlpm.loc, "&lt;&gt;Decommisioned", _xlpm.loc, "&lt;&gt;Missing")
)</f>
        <v>2</v>
      </c>
      <c r="C738" s="168">
        <f>_xlfn.LET(_xlpm.loc, ITEquipmentTable[Storage Location],
COUNTIFS(ITSecondTable[Tag], ITSecondTable[[#This Row],[Tag]], _xlpm.loc, "&lt;&gt;E-Waste", _xlpm.loc, "&lt;&gt;Virtual", _xlpm.loc, "&lt;&gt;Decommisioned")
)</f>
        <v>11</v>
      </c>
      <c r="D738" s="168">
        <f>_xlfn.LET(_xlpm.loc, ITEquipmentTable[Storage Location],
COUNTIFS(ITSecondTable[Tag], ITSecondTable[[#This Row],[Tag]], _xlpm.loc, "Missing")
)</f>
        <v>0</v>
      </c>
      <c r="E738" s="168">
        <f>_xlfn.LET(_xlpm.loc, ITEquipmentTable[Storage Location],
COUNTIFS(ITSecondTable[Tag], ITSecondTable[[#This Row],[Tag]], _xlpm.loc, "In Use") + COUNTIFS(ITSecondTable[Tag], ITSecondTable[[#This Row],[Tag]], _xlpm.loc, "Assigned to Employee")
)</f>
        <v>6</v>
      </c>
      <c r="F738" s="168">
        <f>_xlfn.LET(_xlpm.loc, ITEquipmentTable[Storage Location],
COUNTIFS(ITSecondTable[Tag], ITSecondTable[[#This Row],[Tag]], _xlpm.loc, "")
)</f>
        <v>3</v>
      </c>
      <c r="G738" s="168">
        <f>MAX(ITSecondTable[[#This Row],[SQty]] - ITSecondTable[[#This Row],[IQty]], 0)</f>
        <v>2</v>
      </c>
      <c r="H738" s="168">
        <f>MAX(ITSecondTable[[#This Row],[IQty]]-ITSecondTable[[#This Row],[SQty]], 0)</f>
        <v>0</v>
      </c>
      <c r="I738" s="151" t="str">
        <f>IFERROR(_xlfn.TEXTJOIN("~", TRUE, ITEquipmentTable[[#This Row],[Type]],ITEquipmentTable[[#This Row],[Brand]],ITEquipmentTable[[#This Row],[Model]]), "")</f>
        <v>Desktop~Dell</v>
      </c>
      <c r="J738" s="151" t="b">
        <f xml:space="preserve"> _xlfn.IFNA(MATCH( ITSecondTable[[#This Row],[Tag]], StorageTable[Tag], 0)  &gt; -1, FALSE)</f>
        <v>0</v>
      </c>
      <c r="K738" s="168" t="b">
        <f>COUNTIFS(ITEquipmentTable[Serial], ITEquipmentTable[[#This Row],[Serial]], ITEquipmentTable[Serial], "&lt;&gt;N/A") &gt; 1</f>
        <v>0</v>
      </c>
      <c r="L738" s="168" t="b">
        <f>COUNTIFS(ITEquipmentTable[Name], ITEquipmentTable[[#This Row],[Name]], ITEquipmentTable[Name], "&lt;&gt;&lt;Unassigned&gt;",  ITEquipmentTable[Name], "&lt;&gt;N/A") &gt; 1</f>
        <v>0</v>
      </c>
      <c r="M738" s="168" t="b">
        <f>AND(COUNTIFS(ITEquipmentTable[IPv4 Address], ITEquipmentTable[[#This Row],[IPv4 Address]]) &gt; 1, ITEquipmentTable[[#This Row],[IPv4 Address]] &lt;&gt; "DHCP",  ITEquipmentTable[[#This Row],[IPv4 Address]] &lt;&gt; "N/A")</f>
        <v>0</v>
      </c>
    </row>
    <row r="739" spans="1:13" x14ac:dyDescent="0.2">
      <c r="A739" s="168">
        <f>IF(LEN(ITSecondTable[[#This Row],[Tag]]) &gt; 0, _xlfn.XLOOKUP(ITSecondTable[[#This Row],[Tag]],StorageTable[Tag], StorageTable[In Storage - Count Total], "Err", 0, 1), 0)</f>
        <v>0</v>
      </c>
      <c r="B739" s="168">
        <f>_xlfn.LET(_xlpm.loc, ITEquipmentTable[Storage Location],
COUNTIFS(ITSecondTable[Tag], ITSecondTable[[#This Row],[Tag]], _xlpm.loc, "&lt;&gt;In Use", _xlpm.loc, "&lt;&gt;",  _xlpm.loc, "&lt;&gt;E-Waste", _xlpm.loc, "&lt;&gt;Virtual",  _xlpm.loc, "&lt;&gt;Assigned to Employee", _xlpm.loc, "&lt;&gt;Decommisioned", _xlpm.loc, "&lt;&gt;Missing")
)</f>
        <v>2</v>
      </c>
      <c r="C739" s="168">
        <f>_xlfn.LET(_xlpm.loc, ITEquipmentTable[Storage Location],
COUNTIFS(ITSecondTable[Tag], ITSecondTable[[#This Row],[Tag]], _xlpm.loc, "&lt;&gt;E-Waste", _xlpm.loc, "&lt;&gt;Virtual", _xlpm.loc, "&lt;&gt;Decommisioned")
)</f>
        <v>11</v>
      </c>
      <c r="D739" s="168">
        <f>_xlfn.LET(_xlpm.loc, ITEquipmentTable[Storage Location],
COUNTIFS(ITSecondTable[Tag], ITSecondTable[[#This Row],[Tag]], _xlpm.loc, "Missing")
)</f>
        <v>0</v>
      </c>
      <c r="E739" s="168">
        <f>_xlfn.LET(_xlpm.loc, ITEquipmentTable[Storage Location],
COUNTIFS(ITSecondTable[Tag], ITSecondTable[[#This Row],[Tag]], _xlpm.loc, "In Use") + COUNTIFS(ITSecondTable[Tag], ITSecondTable[[#This Row],[Tag]], _xlpm.loc, "Assigned to Employee")
)</f>
        <v>6</v>
      </c>
      <c r="F739" s="168">
        <f>_xlfn.LET(_xlpm.loc, ITEquipmentTable[Storage Location],
COUNTIFS(ITSecondTable[Tag], ITSecondTable[[#This Row],[Tag]], _xlpm.loc, "")
)</f>
        <v>3</v>
      </c>
      <c r="G739" s="168">
        <f>MAX(ITSecondTable[[#This Row],[SQty]] - ITSecondTable[[#This Row],[IQty]], 0)</f>
        <v>2</v>
      </c>
      <c r="H739" s="168">
        <f>MAX(ITSecondTable[[#This Row],[IQty]]-ITSecondTable[[#This Row],[SQty]], 0)</f>
        <v>0</v>
      </c>
      <c r="I739" s="151" t="str">
        <f>IFERROR(_xlfn.TEXTJOIN("~", TRUE, ITEquipmentTable[[#This Row],[Type]],ITEquipmentTable[[#This Row],[Brand]],ITEquipmentTable[[#This Row],[Model]]), "")</f>
        <v>Desktop~Dell</v>
      </c>
      <c r="J739" s="151" t="b">
        <f xml:space="preserve"> _xlfn.IFNA(MATCH( ITSecondTable[[#This Row],[Tag]], StorageTable[Tag], 0)  &gt; -1, FALSE)</f>
        <v>0</v>
      </c>
      <c r="K739" s="168" t="b">
        <f>COUNTIFS(ITEquipmentTable[Serial], ITEquipmentTable[[#This Row],[Serial]], ITEquipmentTable[Serial], "&lt;&gt;N/A") &gt; 1</f>
        <v>0</v>
      </c>
      <c r="L739" s="168" t="b">
        <f>COUNTIFS(ITEquipmentTable[Name], ITEquipmentTable[[#This Row],[Name]], ITEquipmentTable[Name], "&lt;&gt;&lt;Unassigned&gt;",  ITEquipmentTable[Name], "&lt;&gt;N/A") &gt; 1</f>
        <v>0</v>
      </c>
      <c r="M739" s="168" t="b">
        <f>AND(COUNTIFS(ITEquipmentTable[IPv4 Address], ITEquipmentTable[[#This Row],[IPv4 Address]]) &gt; 1, ITEquipmentTable[[#This Row],[IPv4 Address]] &lt;&gt; "DHCP",  ITEquipmentTable[[#This Row],[IPv4 Address]] &lt;&gt; "N/A")</f>
        <v>0</v>
      </c>
    </row>
    <row r="740" spans="1:13" x14ac:dyDescent="0.2">
      <c r="A740" s="168">
        <f>IF(LEN(ITSecondTable[[#This Row],[Tag]]) &gt; 0, _xlfn.XLOOKUP(ITSecondTable[[#This Row],[Tag]],StorageTable[Tag], StorageTable[In Storage - Count Total], "Err", 0, 1), 0)</f>
        <v>0</v>
      </c>
      <c r="B740" s="168">
        <f>_xlfn.LET(_xlpm.loc, ITEquipmentTable[Storage Location],
COUNTIFS(ITSecondTable[Tag], ITSecondTable[[#This Row],[Tag]], _xlpm.loc, "&lt;&gt;In Use", _xlpm.loc, "&lt;&gt;",  _xlpm.loc, "&lt;&gt;E-Waste", _xlpm.loc, "&lt;&gt;Virtual",  _xlpm.loc, "&lt;&gt;Assigned to Employee", _xlpm.loc, "&lt;&gt;Decommisioned", _xlpm.loc, "&lt;&gt;Missing")
)</f>
        <v>2</v>
      </c>
      <c r="C740" s="168">
        <f>_xlfn.LET(_xlpm.loc, ITEquipmentTable[Storage Location],
COUNTIFS(ITSecondTable[Tag], ITSecondTable[[#This Row],[Tag]], _xlpm.loc, "&lt;&gt;E-Waste", _xlpm.loc, "&lt;&gt;Virtual", _xlpm.loc, "&lt;&gt;Decommisioned")
)</f>
        <v>11</v>
      </c>
      <c r="D740" s="168">
        <f>_xlfn.LET(_xlpm.loc, ITEquipmentTable[Storage Location],
COUNTIFS(ITSecondTable[Tag], ITSecondTable[[#This Row],[Tag]], _xlpm.loc, "Missing")
)</f>
        <v>0</v>
      </c>
      <c r="E740" s="168">
        <f>_xlfn.LET(_xlpm.loc, ITEquipmentTable[Storage Location],
COUNTIFS(ITSecondTable[Tag], ITSecondTable[[#This Row],[Tag]], _xlpm.loc, "In Use") + COUNTIFS(ITSecondTable[Tag], ITSecondTable[[#This Row],[Tag]], _xlpm.loc, "Assigned to Employee")
)</f>
        <v>6</v>
      </c>
      <c r="F740" s="168">
        <f>_xlfn.LET(_xlpm.loc, ITEquipmentTable[Storage Location],
COUNTIFS(ITSecondTable[Tag], ITSecondTable[[#This Row],[Tag]], _xlpm.loc, "")
)</f>
        <v>3</v>
      </c>
      <c r="G740" s="168">
        <f>MAX(ITSecondTable[[#This Row],[SQty]] - ITSecondTable[[#This Row],[IQty]], 0)</f>
        <v>2</v>
      </c>
      <c r="H740" s="168">
        <f>MAX(ITSecondTable[[#This Row],[IQty]]-ITSecondTable[[#This Row],[SQty]], 0)</f>
        <v>0</v>
      </c>
      <c r="I740" s="151" t="str">
        <f>IFERROR(_xlfn.TEXTJOIN("~", TRUE, ITEquipmentTable[[#This Row],[Type]],ITEquipmentTable[[#This Row],[Brand]],ITEquipmentTable[[#This Row],[Model]]), "")</f>
        <v>Desktop~Dell</v>
      </c>
      <c r="J740" s="151" t="b">
        <f xml:space="preserve"> _xlfn.IFNA(MATCH( ITSecondTable[[#This Row],[Tag]], StorageTable[Tag], 0)  &gt; -1, FALSE)</f>
        <v>0</v>
      </c>
      <c r="K740" s="168" t="b">
        <f>COUNTIFS(ITEquipmentTable[Serial], ITEquipmentTable[[#This Row],[Serial]], ITEquipmentTable[Serial], "&lt;&gt;N/A") &gt; 1</f>
        <v>0</v>
      </c>
      <c r="L740" s="168" t="b">
        <f>COUNTIFS(ITEquipmentTable[Name], ITEquipmentTable[[#This Row],[Name]], ITEquipmentTable[Name], "&lt;&gt;&lt;Unassigned&gt;",  ITEquipmentTable[Name], "&lt;&gt;N/A") &gt; 1</f>
        <v>0</v>
      </c>
      <c r="M740" s="168" t="b">
        <f>AND(COUNTIFS(ITEquipmentTable[IPv4 Address], ITEquipmentTable[[#This Row],[IPv4 Address]]) &gt; 1, ITEquipmentTable[[#This Row],[IPv4 Address]] &lt;&gt; "DHCP",  ITEquipmentTable[[#This Row],[IPv4 Address]] &lt;&gt; "N/A")</f>
        <v>0</v>
      </c>
    </row>
    <row r="741" spans="1:13" x14ac:dyDescent="0.2">
      <c r="A741" s="168">
        <f>IF(LEN(ITSecondTable[[#This Row],[Tag]]) &gt; 0, _xlfn.XLOOKUP(ITSecondTable[[#This Row],[Tag]],StorageTable[Tag], StorageTable[In Storage - Count Total], "Err", 0, 1), 0)</f>
        <v>0</v>
      </c>
      <c r="B741" s="168">
        <f>_xlfn.LET(_xlpm.loc, ITEquipmentTable[Storage Location],
COUNTIFS(ITSecondTable[Tag], ITSecondTable[[#This Row],[Tag]], _xlpm.loc, "&lt;&gt;In Use", _xlpm.loc, "&lt;&gt;",  _xlpm.loc, "&lt;&gt;E-Waste", _xlpm.loc, "&lt;&gt;Virtual",  _xlpm.loc, "&lt;&gt;Assigned to Employee", _xlpm.loc, "&lt;&gt;Decommisioned", _xlpm.loc, "&lt;&gt;Missing")
)</f>
        <v>2</v>
      </c>
      <c r="C741" s="168">
        <f>_xlfn.LET(_xlpm.loc, ITEquipmentTable[Storage Location],
COUNTIFS(ITSecondTable[Tag], ITSecondTable[[#This Row],[Tag]], _xlpm.loc, "&lt;&gt;E-Waste", _xlpm.loc, "&lt;&gt;Virtual", _xlpm.loc, "&lt;&gt;Decommisioned")
)</f>
        <v>11</v>
      </c>
      <c r="D741" s="168">
        <f>_xlfn.LET(_xlpm.loc, ITEquipmentTable[Storage Location],
COUNTIFS(ITSecondTable[Tag], ITSecondTable[[#This Row],[Tag]], _xlpm.loc, "Missing")
)</f>
        <v>0</v>
      </c>
      <c r="E741" s="168">
        <f>_xlfn.LET(_xlpm.loc, ITEquipmentTable[Storage Location],
COUNTIFS(ITSecondTable[Tag], ITSecondTable[[#This Row],[Tag]], _xlpm.loc, "In Use") + COUNTIFS(ITSecondTable[Tag], ITSecondTable[[#This Row],[Tag]], _xlpm.loc, "Assigned to Employee")
)</f>
        <v>6</v>
      </c>
      <c r="F741" s="168">
        <f>_xlfn.LET(_xlpm.loc, ITEquipmentTable[Storage Location],
COUNTIFS(ITSecondTable[Tag], ITSecondTable[[#This Row],[Tag]], _xlpm.loc, "")
)</f>
        <v>3</v>
      </c>
      <c r="G741" s="168">
        <f>MAX(ITSecondTable[[#This Row],[SQty]] - ITSecondTable[[#This Row],[IQty]], 0)</f>
        <v>2</v>
      </c>
      <c r="H741" s="168">
        <f>MAX(ITSecondTable[[#This Row],[IQty]]-ITSecondTable[[#This Row],[SQty]], 0)</f>
        <v>0</v>
      </c>
      <c r="I741" s="151" t="str">
        <f>IFERROR(_xlfn.TEXTJOIN("~", TRUE, ITEquipmentTable[[#This Row],[Type]],ITEquipmentTable[[#This Row],[Brand]],ITEquipmentTable[[#This Row],[Model]]), "")</f>
        <v>Desktop~Dell</v>
      </c>
      <c r="J741" s="151" t="b">
        <f xml:space="preserve"> _xlfn.IFNA(MATCH( ITSecondTable[[#This Row],[Tag]], StorageTable[Tag], 0)  &gt; -1, FALSE)</f>
        <v>0</v>
      </c>
      <c r="K741" s="168" t="b">
        <f>COUNTIFS(ITEquipmentTable[Serial], ITEquipmentTable[[#This Row],[Serial]], ITEquipmentTable[Serial], "&lt;&gt;N/A") &gt; 1</f>
        <v>0</v>
      </c>
      <c r="L741" s="168" t="b">
        <f>COUNTIFS(ITEquipmentTable[Name], ITEquipmentTable[[#This Row],[Name]], ITEquipmentTable[Name], "&lt;&gt;&lt;Unassigned&gt;",  ITEquipmentTable[Name], "&lt;&gt;N/A") &gt; 1</f>
        <v>0</v>
      </c>
      <c r="M741" s="168" t="b">
        <f>AND(COUNTIFS(ITEquipmentTable[IPv4 Address], ITEquipmentTable[[#This Row],[IPv4 Address]]) &gt; 1, ITEquipmentTable[[#This Row],[IPv4 Address]] &lt;&gt; "DHCP",  ITEquipmentTable[[#This Row],[IPv4 Address]] &lt;&gt; "N/A")</f>
        <v>0</v>
      </c>
    </row>
    <row r="742" spans="1:13" x14ac:dyDescent="0.2">
      <c r="A742" s="168">
        <f>IF(LEN(ITSecondTable[[#This Row],[Tag]]) &gt; 0, _xlfn.XLOOKUP(ITSecondTable[[#This Row],[Tag]],StorageTable[Tag], StorageTable[In Storage - Count Total], "Err", 0, 1), 0)</f>
        <v>4</v>
      </c>
      <c r="B742" s="168">
        <f>_xlfn.LET(_xlpm.loc, ITEquipmentTable[Storage Location],
COUNTIFS(ITSecondTable[Tag], ITSecondTable[[#This Row],[Tag]], _xlpm.loc, "&lt;&gt;In Use", _xlpm.loc, "&lt;&gt;",  _xlpm.loc, "&lt;&gt;E-Waste", _xlpm.loc, "&lt;&gt;Virtual",  _xlpm.loc, "&lt;&gt;Assigned to Employee", _xlpm.loc, "&lt;&gt;Decommisioned", _xlpm.loc, "&lt;&gt;Missing")
)</f>
        <v>3</v>
      </c>
      <c r="C742" s="168">
        <f>_xlfn.LET(_xlpm.loc, ITEquipmentTable[Storage Location],
COUNTIFS(ITSecondTable[Tag], ITSecondTable[[#This Row],[Tag]], _xlpm.loc, "&lt;&gt;E-Waste", _xlpm.loc, "&lt;&gt;Virtual", _xlpm.loc, "&lt;&gt;Decommisioned")
)</f>
        <v>6</v>
      </c>
      <c r="D742" s="168">
        <f>_xlfn.LET(_xlpm.loc, ITEquipmentTable[Storage Location],
COUNTIFS(ITSecondTable[Tag], ITSecondTable[[#This Row],[Tag]], _xlpm.loc, "Missing")
)</f>
        <v>0</v>
      </c>
      <c r="E742" s="168">
        <f>_xlfn.LET(_xlpm.loc, ITEquipmentTable[Storage Location],
COUNTIFS(ITSecondTable[Tag], ITSecondTable[[#This Row],[Tag]], _xlpm.loc, "In Use") + COUNTIFS(ITSecondTable[Tag], ITSecondTable[[#This Row],[Tag]], _xlpm.loc, "Assigned to Employee")
)</f>
        <v>2</v>
      </c>
      <c r="F742" s="168">
        <f>_xlfn.LET(_xlpm.loc, ITEquipmentTable[Storage Location],
COUNTIFS(ITSecondTable[Tag], ITSecondTable[[#This Row],[Tag]], _xlpm.loc, "")
)</f>
        <v>1</v>
      </c>
      <c r="G742" s="168">
        <f>MAX(ITSecondTable[[#This Row],[SQty]] - ITSecondTable[[#This Row],[IQty]], 0)</f>
        <v>0</v>
      </c>
      <c r="H742" s="168">
        <f>MAX(ITSecondTable[[#This Row],[IQty]]-ITSecondTable[[#This Row],[SQty]], 0)</f>
        <v>1</v>
      </c>
      <c r="I742" s="151" t="str">
        <f>IFERROR(_xlfn.TEXTJOIN("~", TRUE, ITEquipmentTable[[#This Row],[Type]],ITEquipmentTable[[#This Row],[Brand]],ITEquipmentTable[[#This Row],[Model]]), "")</f>
        <v>Printer~Intermec~PM43</v>
      </c>
      <c r="J742" s="151" t="b">
        <f xml:space="preserve"> _xlfn.IFNA(MATCH( ITSecondTable[[#This Row],[Tag]], StorageTable[Tag], 0)  &gt; -1, FALSE)</f>
        <v>0</v>
      </c>
      <c r="K742" s="168" t="b">
        <f>COUNTIFS(ITEquipmentTable[Serial], ITEquipmentTable[[#This Row],[Serial]], ITEquipmentTable[Serial], "&lt;&gt;N/A") &gt; 1</f>
        <v>0</v>
      </c>
      <c r="L742" s="168" t="b">
        <f>COUNTIFS(ITEquipmentTable[Name], ITEquipmentTable[[#This Row],[Name]], ITEquipmentTable[Name], "&lt;&gt;&lt;Unassigned&gt;",  ITEquipmentTable[Name], "&lt;&gt;N/A") &gt; 1</f>
        <v>0</v>
      </c>
      <c r="M742" s="168" t="b">
        <f>AND(COUNTIFS(ITEquipmentTable[IPv4 Address], ITEquipmentTable[[#This Row],[IPv4 Address]]) &gt; 1, ITEquipmentTable[[#This Row],[IPv4 Address]] &lt;&gt; "DHCP",  ITEquipmentTable[[#This Row],[IPv4 Address]] &lt;&gt; "N/A")</f>
        <v>0</v>
      </c>
    </row>
    <row r="743" spans="1:13" x14ac:dyDescent="0.2">
      <c r="A743" s="168">
        <f>IF(LEN(ITSecondTable[[#This Row],[Tag]]) &gt; 0, _xlfn.XLOOKUP(ITSecondTable[[#This Row],[Tag]],StorageTable[Tag], StorageTable[In Storage - Count Total], "Err", 0, 1), 0)</f>
        <v>0</v>
      </c>
      <c r="B743" s="168">
        <f>_xlfn.LET(_xlpm.loc, ITEquipmentTable[Storage Location],
COUNTIFS(ITSecondTable[Tag], ITSecondTable[[#This Row],[Tag]], _xlpm.loc, "&lt;&gt;In Use", _xlpm.loc, "&lt;&gt;",  _xlpm.loc, "&lt;&gt;E-Waste", _xlpm.loc, "&lt;&gt;Virtual",  _xlpm.loc, "&lt;&gt;Assigned to Employee", _xlpm.loc, "&lt;&gt;Decommisioned", _xlpm.loc, "&lt;&gt;Missing")
)</f>
        <v>2</v>
      </c>
      <c r="C743" s="168">
        <f>_xlfn.LET(_xlpm.loc, ITEquipmentTable[Storage Location],
COUNTIFS(ITSecondTable[Tag], ITSecondTable[[#This Row],[Tag]], _xlpm.loc, "&lt;&gt;E-Waste", _xlpm.loc, "&lt;&gt;Virtual", _xlpm.loc, "&lt;&gt;Decommisioned")
)</f>
        <v>27</v>
      </c>
      <c r="D743" s="168">
        <f>_xlfn.LET(_xlpm.loc, ITEquipmentTable[Storage Location],
COUNTIFS(ITSecondTable[Tag], ITSecondTable[[#This Row],[Tag]], _xlpm.loc, "Missing")
)</f>
        <v>0</v>
      </c>
      <c r="E743" s="168">
        <f>_xlfn.LET(_xlpm.loc, ITEquipmentTable[Storage Location],
COUNTIFS(ITSecondTable[Tag], ITSecondTable[[#This Row],[Tag]], _xlpm.loc, "In Use") + COUNTIFS(ITSecondTable[Tag], ITSecondTable[[#This Row],[Tag]], _xlpm.loc, "Assigned to Employee")
)</f>
        <v>20</v>
      </c>
      <c r="F743" s="168">
        <f>_xlfn.LET(_xlpm.loc, ITEquipmentTable[Storage Location],
COUNTIFS(ITSecondTable[Tag], ITSecondTable[[#This Row],[Tag]], _xlpm.loc, "")
)</f>
        <v>5</v>
      </c>
      <c r="G743" s="168">
        <f>MAX(ITSecondTable[[#This Row],[SQty]] - ITSecondTable[[#This Row],[IQty]], 0)</f>
        <v>2</v>
      </c>
      <c r="H743" s="168">
        <f>MAX(ITSecondTable[[#This Row],[IQty]]-ITSecondTable[[#This Row],[SQty]], 0)</f>
        <v>0</v>
      </c>
      <c r="I743" s="151" t="str">
        <f>IFERROR(_xlfn.TEXTJOIN("~", TRUE, ITEquipmentTable[[#This Row],[Type]],ITEquipmentTable[[#This Row],[Brand]],ITEquipmentTable[[#This Row],[Model]]), "")</f>
        <v>Desktop~HP</v>
      </c>
      <c r="J743" s="151" t="b">
        <f xml:space="preserve"> _xlfn.IFNA(MATCH( ITSecondTable[[#This Row],[Tag]], StorageTable[Tag], 0)  &gt; -1, FALSE)</f>
        <v>0</v>
      </c>
      <c r="K743" s="168" t="b">
        <f>COUNTIFS(ITEquipmentTable[Serial], ITEquipmentTable[[#This Row],[Serial]], ITEquipmentTable[Serial], "&lt;&gt;N/A") &gt; 1</f>
        <v>0</v>
      </c>
      <c r="L743" s="168" t="b">
        <f>COUNTIFS(ITEquipmentTable[Name], ITEquipmentTable[[#This Row],[Name]], ITEquipmentTable[Name], "&lt;&gt;&lt;Unassigned&gt;",  ITEquipmentTable[Name], "&lt;&gt;N/A") &gt; 1</f>
        <v>0</v>
      </c>
      <c r="M743" s="168" t="b">
        <f>AND(COUNTIFS(ITEquipmentTable[IPv4 Address], ITEquipmentTable[[#This Row],[IPv4 Address]]) &gt; 1, ITEquipmentTable[[#This Row],[IPv4 Address]] &lt;&gt; "DHCP",  ITEquipmentTable[[#This Row],[IPv4 Address]] &lt;&gt; "N/A")</f>
        <v>0</v>
      </c>
    </row>
    <row r="744" spans="1:13" x14ac:dyDescent="0.2">
      <c r="A744" s="168">
        <f>IF(LEN(ITSecondTable[[#This Row],[Tag]]) &gt; 0, _xlfn.XLOOKUP(ITSecondTable[[#This Row],[Tag]],StorageTable[Tag], StorageTable[In Storage - Count Total], "Err", 0, 1), 0)</f>
        <v>0</v>
      </c>
      <c r="B744" s="168">
        <f>_xlfn.LET(_xlpm.loc, ITEquipmentTable[Storage Location],
COUNTIFS(ITSecondTable[Tag], ITSecondTable[[#This Row],[Tag]], _xlpm.loc, "&lt;&gt;In Use", _xlpm.loc, "&lt;&gt;",  _xlpm.loc, "&lt;&gt;E-Waste", _xlpm.loc, "&lt;&gt;Virtual",  _xlpm.loc, "&lt;&gt;Assigned to Employee", _xlpm.loc, "&lt;&gt;Decommisioned", _xlpm.loc, "&lt;&gt;Missing")
)</f>
        <v>0</v>
      </c>
      <c r="C744" s="168">
        <f>_xlfn.LET(_xlpm.loc, ITEquipmentTable[Storage Location],
COUNTIFS(ITSecondTable[Tag], ITSecondTable[[#This Row],[Tag]], _xlpm.loc, "&lt;&gt;E-Waste", _xlpm.loc, "&lt;&gt;Virtual", _xlpm.loc, "&lt;&gt;Decommisioned")
)</f>
        <v>1</v>
      </c>
      <c r="D744" s="168">
        <f>_xlfn.LET(_xlpm.loc, ITEquipmentTable[Storage Location],
COUNTIFS(ITSecondTable[Tag], ITSecondTable[[#This Row],[Tag]], _xlpm.loc, "Missing")
)</f>
        <v>0</v>
      </c>
      <c r="E744" s="168">
        <f>_xlfn.LET(_xlpm.loc, ITEquipmentTable[Storage Location],
COUNTIFS(ITSecondTable[Tag], ITSecondTable[[#This Row],[Tag]], _xlpm.loc, "In Use") + COUNTIFS(ITSecondTable[Tag], ITSecondTable[[#This Row],[Tag]], _xlpm.loc, "Assigned to Employee")
)</f>
        <v>1</v>
      </c>
      <c r="F744" s="168">
        <f>_xlfn.LET(_xlpm.loc, ITEquipmentTable[Storage Location],
COUNTIFS(ITSecondTable[Tag], ITSecondTable[[#This Row],[Tag]], _xlpm.loc, "")
)</f>
        <v>0</v>
      </c>
      <c r="G744" s="168">
        <f>MAX(ITSecondTable[[#This Row],[SQty]] - ITSecondTable[[#This Row],[IQty]], 0)</f>
        <v>0</v>
      </c>
      <c r="H744" s="168">
        <f>MAX(ITSecondTable[[#This Row],[IQty]]-ITSecondTable[[#This Row],[SQty]], 0)</f>
        <v>0</v>
      </c>
      <c r="I744" s="151" t="str">
        <f>IFERROR(_xlfn.TEXTJOIN("~", TRUE, ITEquipmentTable[[#This Row],[Type]],ITEquipmentTable[[#This Row],[Brand]],ITEquipmentTable[[#This Row],[Model]]), "")</f>
        <v>Network Switch</v>
      </c>
      <c r="J744" s="151" t="b">
        <f xml:space="preserve"> _xlfn.IFNA(MATCH( ITSecondTable[[#This Row],[Tag]], StorageTable[Tag], 0)  &gt; -1, FALSE)</f>
        <v>1</v>
      </c>
      <c r="K744" s="168" t="b">
        <f>COUNTIFS(ITEquipmentTable[Serial], ITEquipmentTable[[#This Row],[Serial]], ITEquipmentTable[Serial], "&lt;&gt;N/A") &gt; 1</f>
        <v>0</v>
      </c>
      <c r="L744" s="168" t="b">
        <f>COUNTIFS(ITEquipmentTable[Name], ITEquipmentTable[[#This Row],[Name]], ITEquipmentTable[Name], "&lt;&gt;&lt;Unassigned&gt;",  ITEquipmentTable[Name], "&lt;&gt;N/A") &gt; 1</f>
        <v>0</v>
      </c>
      <c r="M744" s="168" t="b">
        <f>AND(COUNTIFS(ITEquipmentTable[IPv4 Address], ITEquipmentTable[[#This Row],[IPv4 Address]]) &gt; 1, ITEquipmentTable[[#This Row],[IPv4 Address]] &lt;&gt; "DHCP",  ITEquipmentTable[[#This Row],[IPv4 Address]] &lt;&gt; "N/A")</f>
        <v>0</v>
      </c>
    </row>
    <row r="745" spans="1:13" x14ac:dyDescent="0.2">
      <c r="A745" s="168">
        <f>IF(LEN(ITSecondTable[[#This Row],[Tag]]) &gt; 0, _xlfn.XLOOKUP(ITSecondTable[[#This Row],[Tag]],StorageTable[Tag], StorageTable[In Storage - Count Total], "Err", 0, 1), 0)</f>
        <v>6</v>
      </c>
      <c r="B745" s="168">
        <f>_xlfn.LET(_xlpm.loc, ITEquipmentTable[Storage Location],
COUNTIFS(ITSecondTable[Tag], ITSecondTable[[#This Row],[Tag]], _xlpm.loc, "&lt;&gt;In Use", _xlpm.loc, "&lt;&gt;",  _xlpm.loc, "&lt;&gt;E-Waste", _xlpm.loc, "&lt;&gt;Virtual",  _xlpm.loc, "&lt;&gt;Assigned to Employee", _xlpm.loc, "&lt;&gt;Decommisioned", _xlpm.loc, "&lt;&gt;Missing")
)</f>
        <v>17</v>
      </c>
      <c r="C745" s="168">
        <f>_xlfn.LET(_xlpm.loc, ITEquipmentTable[Storage Location],
COUNTIFS(ITSecondTable[Tag], ITSecondTable[[#This Row],[Tag]], _xlpm.loc, "&lt;&gt;E-Waste", _xlpm.loc, "&lt;&gt;Virtual", _xlpm.loc, "&lt;&gt;Decommisioned")
)</f>
        <v>64</v>
      </c>
      <c r="D745" s="168">
        <f>_xlfn.LET(_xlpm.loc, ITEquipmentTable[Storage Location],
COUNTIFS(ITSecondTable[Tag], ITSecondTable[[#This Row],[Tag]], _xlpm.loc, "Missing")
)</f>
        <v>0</v>
      </c>
      <c r="E745" s="168">
        <f>_xlfn.LET(_xlpm.loc, ITEquipmentTable[Storage Location],
COUNTIFS(ITSecondTable[Tag], ITSecondTable[[#This Row],[Tag]], _xlpm.loc, "In Use") + COUNTIFS(ITSecondTable[Tag], ITSecondTable[[#This Row],[Tag]], _xlpm.loc, "Assigned to Employee")
)</f>
        <v>30</v>
      </c>
      <c r="F745" s="168">
        <f>_xlfn.LET(_xlpm.loc, ITEquipmentTable[Storage Location],
COUNTIFS(ITSecondTable[Tag], ITSecondTable[[#This Row],[Tag]], _xlpm.loc, "")
)</f>
        <v>17</v>
      </c>
      <c r="G745" s="168">
        <f>MAX(ITSecondTable[[#This Row],[SQty]] - ITSecondTable[[#This Row],[IQty]], 0)</f>
        <v>11</v>
      </c>
      <c r="H745" s="168">
        <f>MAX(ITSecondTable[[#This Row],[IQty]]-ITSecondTable[[#This Row],[SQty]], 0)</f>
        <v>0</v>
      </c>
      <c r="I745" s="151" t="str">
        <f>IFERROR(_xlfn.TEXTJOIN("~", TRUE, ITEquipmentTable[[#This Row],[Type]],ITEquipmentTable[[#This Row],[Brand]],ITEquipmentTable[[#This Row],[Model]]), "")</f>
        <v>Desktop~Dell~OptiPlex 3040</v>
      </c>
      <c r="J745" s="151" t="b">
        <f xml:space="preserve"> _xlfn.IFNA(MATCH( ITSecondTable[[#This Row],[Tag]], StorageTable[Tag], 0)  &gt; -1, FALSE)</f>
        <v>0</v>
      </c>
      <c r="K745" s="168" t="b">
        <f>COUNTIFS(ITEquipmentTable[Serial], ITEquipmentTable[[#This Row],[Serial]], ITEquipmentTable[Serial], "&lt;&gt;N/A") &gt; 1</f>
        <v>0</v>
      </c>
      <c r="L745" s="168" t="b">
        <f>COUNTIFS(ITEquipmentTable[Name], ITEquipmentTable[[#This Row],[Name]], ITEquipmentTable[Name], "&lt;&gt;&lt;Unassigned&gt;",  ITEquipmentTable[Name], "&lt;&gt;N/A") &gt; 1</f>
        <v>0</v>
      </c>
      <c r="M745" s="168" t="b">
        <f>AND(COUNTIFS(ITEquipmentTable[IPv4 Address], ITEquipmentTable[[#This Row],[IPv4 Address]]) &gt; 1, ITEquipmentTable[[#This Row],[IPv4 Address]] &lt;&gt; "DHCP",  ITEquipmentTable[[#This Row],[IPv4 Address]] &lt;&gt; "N/A")</f>
        <v>0</v>
      </c>
    </row>
    <row r="746" spans="1:13" x14ac:dyDescent="0.2">
      <c r="A746" s="168">
        <f>IF(LEN(ITSecondTable[[#This Row],[Tag]]) &gt; 0, _xlfn.XLOOKUP(ITSecondTable[[#This Row],[Tag]],StorageTable[Tag], StorageTable[In Storage - Count Total], "Err", 0, 1), 0)</f>
        <v>8</v>
      </c>
      <c r="B746" s="168">
        <f>_xlfn.LET(_xlpm.loc, ITEquipmentTable[Storage Location],
COUNTIFS(ITSecondTable[Tag], ITSecondTable[[#This Row],[Tag]], _xlpm.loc, "&lt;&gt;In Use", _xlpm.loc, "&lt;&gt;",  _xlpm.loc, "&lt;&gt;E-Waste", _xlpm.loc, "&lt;&gt;Virtual",  _xlpm.loc, "&lt;&gt;Assigned to Employee", _xlpm.loc, "&lt;&gt;Decommisioned", _xlpm.loc, "&lt;&gt;Missing")
)</f>
        <v>9</v>
      </c>
      <c r="C746" s="168">
        <f>_xlfn.LET(_xlpm.loc, ITEquipmentTable[Storage Location],
COUNTIFS(ITSecondTable[Tag], ITSecondTable[[#This Row],[Tag]], _xlpm.loc, "&lt;&gt;E-Waste", _xlpm.loc, "&lt;&gt;Virtual", _xlpm.loc, "&lt;&gt;Decommisioned")
)</f>
        <v>40</v>
      </c>
      <c r="D746" s="168">
        <f>_xlfn.LET(_xlpm.loc, ITEquipmentTable[Storage Location],
COUNTIFS(ITSecondTable[Tag], ITSecondTable[[#This Row],[Tag]], _xlpm.loc, "Missing")
)</f>
        <v>0</v>
      </c>
      <c r="E746" s="168">
        <f>_xlfn.LET(_xlpm.loc, ITEquipmentTable[Storage Location],
COUNTIFS(ITSecondTable[Tag], ITSecondTable[[#This Row],[Tag]], _xlpm.loc, "In Use") + COUNTIFS(ITSecondTable[Tag], ITSecondTable[[#This Row],[Tag]], _xlpm.loc, "Assigned to Employee")
)</f>
        <v>23</v>
      </c>
      <c r="F746" s="168">
        <f>_xlfn.LET(_xlpm.loc, ITEquipmentTable[Storage Location],
COUNTIFS(ITSecondTable[Tag], ITSecondTable[[#This Row],[Tag]], _xlpm.loc, "")
)</f>
        <v>8</v>
      </c>
      <c r="G746" s="168">
        <f>MAX(ITSecondTable[[#This Row],[SQty]] - ITSecondTable[[#This Row],[IQty]], 0)</f>
        <v>1</v>
      </c>
      <c r="H746" s="168">
        <f>MAX(ITSecondTable[[#This Row],[IQty]]-ITSecondTable[[#This Row],[SQty]], 0)</f>
        <v>0</v>
      </c>
      <c r="I746" s="151" t="str">
        <f>IFERROR(_xlfn.TEXTJOIN("~", TRUE, ITEquipmentTable[[#This Row],[Type]],ITEquipmentTable[[#This Row],[Brand]],ITEquipmentTable[[#This Row],[Model]]), "")</f>
        <v>Printer~Sato~CL4NX</v>
      </c>
      <c r="J746" s="151" t="b">
        <f xml:space="preserve"> _xlfn.IFNA(MATCH( ITSecondTable[[#This Row],[Tag]], StorageTable[Tag], 0)  &gt; -1, FALSE)</f>
        <v>0</v>
      </c>
      <c r="K746" s="168" t="b">
        <f>COUNTIFS(ITEquipmentTable[Serial], ITEquipmentTable[[#This Row],[Serial]], ITEquipmentTable[Serial], "&lt;&gt;N/A") &gt; 1</f>
        <v>0</v>
      </c>
      <c r="L746" s="168" t="b">
        <f>COUNTIFS(ITEquipmentTable[Name], ITEquipmentTable[[#This Row],[Name]], ITEquipmentTable[Name], "&lt;&gt;&lt;Unassigned&gt;",  ITEquipmentTable[Name], "&lt;&gt;N/A") &gt; 1</f>
        <v>0</v>
      </c>
      <c r="M746" s="168" t="b">
        <f>AND(COUNTIFS(ITEquipmentTable[IPv4 Address], ITEquipmentTable[[#This Row],[IPv4 Address]]) &gt; 1, ITEquipmentTable[[#This Row],[IPv4 Address]] &lt;&gt; "DHCP",  ITEquipmentTable[[#This Row],[IPv4 Address]] &lt;&gt; "N/A")</f>
        <v>1</v>
      </c>
    </row>
    <row r="747" spans="1:13" x14ac:dyDescent="0.2">
      <c r="A747" s="168">
        <f>IF(LEN(ITSecondTable[[#This Row],[Tag]]) &gt; 0, _xlfn.XLOOKUP(ITSecondTable[[#This Row],[Tag]],StorageTable[Tag], StorageTable[In Storage - Count Total], "Err", 0, 1), 0)</f>
        <v>8</v>
      </c>
      <c r="B747" s="168">
        <f>_xlfn.LET(_xlpm.loc, ITEquipmentTable[Storage Location],
COUNTIFS(ITSecondTable[Tag], ITSecondTable[[#This Row],[Tag]], _xlpm.loc, "&lt;&gt;In Use", _xlpm.loc, "&lt;&gt;",  _xlpm.loc, "&lt;&gt;E-Waste", _xlpm.loc, "&lt;&gt;Virtual",  _xlpm.loc, "&lt;&gt;Assigned to Employee", _xlpm.loc, "&lt;&gt;Decommisioned", _xlpm.loc, "&lt;&gt;Missing")
)</f>
        <v>9</v>
      </c>
      <c r="C747" s="168">
        <f>_xlfn.LET(_xlpm.loc, ITEquipmentTable[Storage Location],
COUNTIFS(ITSecondTable[Tag], ITSecondTable[[#This Row],[Tag]], _xlpm.loc, "&lt;&gt;E-Waste", _xlpm.loc, "&lt;&gt;Virtual", _xlpm.loc, "&lt;&gt;Decommisioned")
)</f>
        <v>40</v>
      </c>
      <c r="D747" s="168">
        <f>_xlfn.LET(_xlpm.loc, ITEquipmentTable[Storage Location],
COUNTIFS(ITSecondTable[Tag], ITSecondTable[[#This Row],[Tag]], _xlpm.loc, "Missing")
)</f>
        <v>0</v>
      </c>
      <c r="E747" s="168">
        <f>_xlfn.LET(_xlpm.loc, ITEquipmentTable[Storage Location],
COUNTIFS(ITSecondTable[Tag], ITSecondTable[[#This Row],[Tag]], _xlpm.loc, "In Use") + COUNTIFS(ITSecondTable[Tag], ITSecondTable[[#This Row],[Tag]], _xlpm.loc, "Assigned to Employee")
)</f>
        <v>23</v>
      </c>
      <c r="F747" s="168">
        <f>_xlfn.LET(_xlpm.loc, ITEquipmentTable[Storage Location],
COUNTIFS(ITSecondTable[Tag], ITSecondTable[[#This Row],[Tag]], _xlpm.loc, "")
)</f>
        <v>8</v>
      </c>
      <c r="G747" s="168">
        <f>MAX(ITSecondTable[[#This Row],[SQty]] - ITSecondTable[[#This Row],[IQty]], 0)</f>
        <v>1</v>
      </c>
      <c r="H747" s="168">
        <f>MAX(ITSecondTable[[#This Row],[IQty]]-ITSecondTable[[#This Row],[SQty]], 0)</f>
        <v>0</v>
      </c>
      <c r="I747" s="151" t="str">
        <f>IFERROR(_xlfn.TEXTJOIN("~", TRUE, ITEquipmentTable[[#This Row],[Type]],ITEquipmentTable[[#This Row],[Brand]],ITEquipmentTable[[#This Row],[Model]]), "")</f>
        <v>Printer~Sato~CL4NX</v>
      </c>
      <c r="J747" s="151" t="b">
        <f xml:space="preserve"> _xlfn.IFNA(MATCH( ITSecondTable[[#This Row],[Tag]], StorageTable[Tag], 0)  &gt; -1, FALSE)</f>
        <v>0</v>
      </c>
      <c r="K747" s="168" t="b">
        <f>COUNTIFS(ITEquipmentTable[Serial], ITEquipmentTable[[#This Row],[Serial]], ITEquipmentTable[Serial], "&lt;&gt;N/A") &gt; 1</f>
        <v>0</v>
      </c>
      <c r="L747" s="168" t="b">
        <f>COUNTIFS(ITEquipmentTable[Name], ITEquipmentTable[[#This Row],[Name]], ITEquipmentTable[Name], "&lt;&gt;&lt;Unassigned&gt;",  ITEquipmentTable[Name], "&lt;&gt;N/A") &gt; 1</f>
        <v>0</v>
      </c>
      <c r="M747" s="168" t="b">
        <f>AND(COUNTIFS(ITEquipmentTable[IPv4 Address], ITEquipmentTable[[#This Row],[IPv4 Address]]) &gt; 1, ITEquipmentTable[[#This Row],[IPv4 Address]] &lt;&gt; "DHCP",  ITEquipmentTable[[#This Row],[IPv4 Address]] &lt;&gt; "N/A")</f>
        <v>1</v>
      </c>
    </row>
    <row r="748" spans="1:13" x14ac:dyDescent="0.2">
      <c r="A748" s="168">
        <f>IF(LEN(ITSecondTable[[#This Row],[Tag]]) &gt; 0, _xlfn.XLOOKUP(ITSecondTable[[#This Row],[Tag]],StorageTable[Tag], StorageTable[In Storage - Count Total], "Err", 0, 1), 0)</f>
        <v>8</v>
      </c>
      <c r="B748" s="168">
        <f>_xlfn.LET(_xlpm.loc, ITEquipmentTable[Storage Location],
COUNTIFS(ITSecondTable[Tag], ITSecondTable[[#This Row],[Tag]], _xlpm.loc, "&lt;&gt;In Use", _xlpm.loc, "&lt;&gt;",  _xlpm.loc, "&lt;&gt;E-Waste", _xlpm.loc, "&lt;&gt;Virtual",  _xlpm.loc, "&lt;&gt;Assigned to Employee", _xlpm.loc, "&lt;&gt;Decommisioned", _xlpm.loc, "&lt;&gt;Missing")
)</f>
        <v>9</v>
      </c>
      <c r="C748" s="168">
        <f>_xlfn.LET(_xlpm.loc, ITEquipmentTable[Storage Location],
COUNTIFS(ITSecondTable[Tag], ITSecondTable[[#This Row],[Tag]], _xlpm.loc, "&lt;&gt;E-Waste", _xlpm.loc, "&lt;&gt;Virtual", _xlpm.loc, "&lt;&gt;Decommisioned")
)</f>
        <v>40</v>
      </c>
      <c r="D748" s="168">
        <f>_xlfn.LET(_xlpm.loc, ITEquipmentTable[Storage Location],
COUNTIFS(ITSecondTable[Tag], ITSecondTable[[#This Row],[Tag]], _xlpm.loc, "Missing")
)</f>
        <v>0</v>
      </c>
      <c r="E748" s="168">
        <f>_xlfn.LET(_xlpm.loc, ITEquipmentTable[Storage Location],
COUNTIFS(ITSecondTable[Tag], ITSecondTable[[#This Row],[Tag]], _xlpm.loc, "In Use") + COUNTIFS(ITSecondTable[Tag], ITSecondTable[[#This Row],[Tag]], _xlpm.loc, "Assigned to Employee")
)</f>
        <v>23</v>
      </c>
      <c r="F748" s="168">
        <f>_xlfn.LET(_xlpm.loc, ITEquipmentTable[Storage Location],
COUNTIFS(ITSecondTable[Tag], ITSecondTable[[#This Row],[Tag]], _xlpm.loc, "")
)</f>
        <v>8</v>
      </c>
      <c r="G748" s="168">
        <f>MAX(ITSecondTable[[#This Row],[SQty]] - ITSecondTable[[#This Row],[IQty]], 0)</f>
        <v>1</v>
      </c>
      <c r="H748" s="168">
        <f>MAX(ITSecondTable[[#This Row],[IQty]]-ITSecondTable[[#This Row],[SQty]], 0)</f>
        <v>0</v>
      </c>
      <c r="I748" s="151" t="str">
        <f>IFERROR(_xlfn.TEXTJOIN("~", TRUE, ITEquipmentTable[[#This Row],[Type]],ITEquipmentTable[[#This Row],[Brand]],ITEquipmentTable[[#This Row],[Model]]), "")</f>
        <v>Printer~Sato~CL4NX</v>
      </c>
      <c r="J748" s="151" t="b">
        <f xml:space="preserve"> _xlfn.IFNA(MATCH( ITSecondTable[[#This Row],[Tag]], StorageTable[Tag], 0)  &gt; -1, FALSE)</f>
        <v>0</v>
      </c>
      <c r="K748" s="168" t="b">
        <f>COUNTIFS(ITEquipmentTable[Serial], ITEquipmentTable[[#This Row],[Serial]], ITEquipmentTable[Serial], "&lt;&gt;N/A") &gt; 1</f>
        <v>0</v>
      </c>
      <c r="L748" s="168" t="b">
        <f>COUNTIFS(ITEquipmentTable[Name], ITEquipmentTable[[#This Row],[Name]], ITEquipmentTable[Name], "&lt;&gt;&lt;Unassigned&gt;",  ITEquipmentTable[Name], "&lt;&gt;N/A") &gt; 1</f>
        <v>0</v>
      </c>
      <c r="M748" s="168" t="b">
        <f>AND(COUNTIFS(ITEquipmentTable[IPv4 Address], ITEquipmentTable[[#This Row],[IPv4 Address]]) &gt; 1, ITEquipmentTable[[#This Row],[IPv4 Address]] &lt;&gt; "DHCP",  ITEquipmentTable[[#This Row],[IPv4 Address]] &lt;&gt; "N/A")</f>
        <v>1</v>
      </c>
    </row>
    <row r="749" spans="1:13" x14ac:dyDescent="0.2">
      <c r="A749" s="168">
        <f>IF(LEN(ITSecondTable[[#This Row],[Tag]]) &gt; 0, _xlfn.XLOOKUP(ITSecondTable[[#This Row],[Tag]],StorageTable[Tag], StorageTable[In Storage - Count Total], "Err", 0, 1), 0)</f>
        <v>8</v>
      </c>
      <c r="B749" s="168">
        <f>_xlfn.LET(_xlpm.loc, ITEquipmentTable[Storage Location],
COUNTIFS(ITSecondTable[Tag], ITSecondTable[[#This Row],[Tag]], _xlpm.loc, "&lt;&gt;In Use", _xlpm.loc, "&lt;&gt;",  _xlpm.loc, "&lt;&gt;E-Waste", _xlpm.loc, "&lt;&gt;Virtual",  _xlpm.loc, "&lt;&gt;Assigned to Employee", _xlpm.loc, "&lt;&gt;Decommisioned", _xlpm.loc, "&lt;&gt;Missing")
)</f>
        <v>9</v>
      </c>
      <c r="C749" s="168">
        <f>_xlfn.LET(_xlpm.loc, ITEquipmentTable[Storage Location],
COUNTIFS(ITSecondTable[Tag], ITSecondTable[[#This Row],[Tag]], _xlpm.loc, "&lt;&gt;E-Waste", _xlpm.loc, "&lt;&gt;Virtual", _xlpm.loc, "&lt;&gt;Decommisioned")
)</f>
        <v>40</v>
      </c>
      <c r="D749" s="168">
        <f>_xlfn.LET(_xlpm.loc, ITEquipmentTable[Storage Location],
COUNTIFS(ITSecondTable[Tag], ITSecondTable[[#This Row],[Tag]], _xlpm.loc, "Missing")
)</f>
        <v>0</v>
      </c>
      <c r="E749" s="168">
        <f>_xlfn.LET(_xlpm.loc, ITEquipmentTable[Storage Location],
COUNTIFS(ITSecondTable[Tag], ITSecondTable[[#This Row],[Tag]], _xlpm.loc, "In Use") + COUNTIFS(ITSecondTable[Tag], ITSecondTable[[#This Row],[Tag]], _xlpm.loc, "Assigned to Employee")
)</f>
        <v>23</v>
      </c>
      <c r="F749" s="168">
        <f>_xlfn.LET(_xlpm.loc, ITEquipmentTable[Storage Location],
COUNTIFS(ITSecondTable[Tag], ITSecondTable[[#This Row],[Tag]], _xlpm.loc, "")
)</f>
        <v>8</v>
      </c>
      <c r="G749" s="168">
        <f>MAX(ITSecondTable[[#This Row],[SQty]] - ITSecondTable[[#This Row],[IQty]], 0)</f>
        <v>1</v>
      </c>
      <c r="H749" s="168">
        <f>MAX(ITSecondTable[[#This Row],[IQty]]-ITSecondTable[[#This Row],[SQty]], 0)</f>
        <v>0</v>
      </c>
      <c r="I749" s="151" t="str">
        <f>IFERROR(_xlfn.TEXTJOIN("~", TRUE, ITEquipmentTable[[#This Row],[Type]],ITEquipmentTable[[#This Row],[Brand]],ITEquipmentTable[[#This Row],[Model]]), "")</f>
        <v>Printer~Sato~CL4NX</v>
      </c>
      <c r="J749" s="151" t="b">
        <f xml:space="preserve"> _xlfn.IFNA(MATCH( ITSecondTable[[#This Row],[Tag]], StorageTable[Tag], 0)  &gt; -1, FALSE)</f>
        <v>0</v>
      </c>
      <c r="K749" s="168" t="b">
        <f>COUNTIFS(ITEquipmentTable[Serial], ITEquipmentTable[[#This Row],[Serial]], ITEquipmentTable[Serial], "&lt;&gt;N/A") &gt; 1</f>
        <v>0</v>
      </c>
      <c r="L749" s="168" t="b">
        <f>COUNTIFS(ITEquipmentTable[Name], ITEquipmentTable[[#This Row],[Name]], ITEquipmentTable[Name], "&lt;&gt;&lt;Unassigned&gt;",  ITEquipmentTable[Name], "&lt;&gt;N/A") &gt; 1</f>
        <v>0</v>
      </c>
      <c r="M749" s="168" t="b">
        <f>AND(COUNTIFS(ITEquipmentTable[IPv4 Address], ITEquipmentTable[[#This Row],[IPv4 Address]]) &gt; 1, ITEquipmentTable[[#This Row],[IPv4 Address]] &lt;&gt; "DHCP",  ITEquipmentTable[[#This Row],[IPv4 Address]] &lt;&gt; "N/A")</f>
        <v>1</v>
      </c>
    </row>
    <row r="750" spans="1:13" x14ac:dyDescent="0.2">
      <c r="A750" s="168">
        <f>IF(LEN(ITSecondTable[[#This Row],[Tag]]) &gt; 0, _xlfn.XLOOKUP(ITSecondTable[[#This Row],[Tag]],StorageTable[Tag], StorageTable[In Storage - Count Total], "Err", 0, 1), 0)</f>
        <v>8</v>
      </c>
      <c r="B750" s="168">
        <f>_xlfn.LET(_xlpm.loc, ITEquipmentTable[Storage Location],
COUNTIFS(ITSecondTable[Tag], ITSecondTable[[#This Row],[Tag]], _xlpm.loc, "&lt;&gt;In Use", _xlpm.loc, "&lt;&gt;",  _xlpm.loc, "&lt;&gt;E-Waste", _xlpm.loc, "&lt;&gt;Virtual",  _xlpm.loc, "&lt;&gt;Assigned to Employee", _xlpm.loc, "&lt;&gt;Decommisioned", _xlpm.loc, "&lt;&gt;Missing")
)</f>
        <v>9</v>
      </c>
      <c r="C750" s="168">
        <f>_xlfn.LET(_xlpm.loc, ITEquipmentTable[Storage Location],
COUNTIFS(ITSecondTable[Tag], ITSecondTable[[#This Row],[Tag]], _xlpm.loc, "&lt;&gt;E-Waste", _xlpm.loc, "&lt;&gt;Virtual", _xlpm.loc, "&lt;&gt;Decommisioned")
)</f>
        <v>40</v>
      </c>
      <c r="D750" s="168">
        <f>_xlfn.LET(_xlpm.loc, ITEquipmentTable[Storage Location],
COUNTIFS(ITSecondTable[Tag], ITSecondTable[[#This Row],[Tag]], _xlpm.loc, "Missing")
)</f>
        <v>0</v>
      </c>
      <c r="E750" s="168">
        <f>_xlfn.LET(_xlpm.loc, ITEquipmentTable[Storage Location],
COUNTIFS(ITSecondTable[Tag], ITSecondTable[[#This Row],[Tag]], _xlpm.loc, "In Use") + COUNTIFS(ITSecondTable[Tag], ITSecondTable[[#This Row],[Tag]], _xlpm.loc, "Assigned to Employee")
)</f>
        <v>23</v>
      </c>
      <c r="F750" s="168">
        <f>_xlfn.LET(_xlpm.loc, ITEquipmentTable[Storage Location],
COUNTIFS(ITSecondTable[Tag], ITSecondTable[[#This Row],[Tag]], _xlpm.loc, "")
)</f>
        <v>8</v>
      </c>
      <c r="G750" s="168">
        <f>MAX(ITSecondTable[[#This Row],[SQty]] - ITSecondTable[[#This Row],[IQty]], 0)</f>
        <v>1</v>
      </c>
      <c r="H750" s="168">
        <f>MAX(ITSecondTable[[#This Row],[IQty]]-ITSecondTable[[#This Row],[SQty]], 0)</f>
        <v>0</v>
      </c>
      <c r="I750" s="151" t="str">
        <f>IFERROR(_xlfn.TEXTJOIN("~", TRUE, ITEquipmentTable[[#This Row],[Type]],ITEquipmentTable[[#This Row],[Brand]],ITEquipmentTable[[#This Row],[Model]]), "")</f>
        <v>Printer~Sato~CL4NX</v>
      </c>
      <c r="J750" s="151" t="b">
        <f xml:space="preserve"> _xlfn.IFNA(MATCH( ITSecondTable[[#This Row],[Tag]], StorageTable[Tag], 0)  &gt; -1, FALSE)</f>
        <v>0</v>
      </c>
      <c r="K750" s="168" t="b">
        <f>COUNTIFS(ITEquipmentTable[Serial], ITEquipmentTable[[#This Row],[Serial]], ITEquipmentTable[Serial], "&lt;&gt;N/A") &gt; 1</f>
        <v>0</v>
      </c>
      <c r="L750" s="168" t="b">
        <f>COUNTIFS(ITEquipmentTable[Name], ITEquipmentTable[[#This Row],[Name]], ITEquipmentTable[Name], "&lt;&gt;&lt;Unassigned&gt;",  ITEquipmentTable[Name], "&lt;&gt;N/A") &gt; 1</f>
        <v>0</v>
      </c>
      <c r="M750" s="168" t="b">
        <f>AND(COUNTIFS(ITEquipmentTable[IPv4 Address], ITEquipmentTable[[#This Row],[IPv4 Address]]) &gt; 1, ITEquipmentTable[[#This Row],[IPv4 Address]] &lt;&gt; "DHCP",  ITEquipmentTable[[#This Row],[IPv4 Address]] &lt;&gt; "N/A")</f>
        <v>0</v>
      </c>
    </row>
    <row r="751" spans="1:13" x14ac:dyDescent="0.2">
      <c r="A751" s="168">
        <f>IF(LEN(ITSecondTable[[#This Row],[Tag]]) &gt; 0, _xlfn.XLOOKUP(ITSecondTable[[#This Row],[Tag]],StorageTable[Tag], StorageTable[In Storage - Count Total], "Err", 0, 1), 0)</f>
        <v>8</v>
      </c>
      <c r="B751" s="168">
        <f>_xlfn.LET(_xlpm.loc, ITEquipmentTable[Storage Location],
COUNTIFS(ITSecondTable[Tag], ITSecondTable[[#This Row],[Tag]], _xlpm.loc, "&lt;&gt;In Use", _xlpm.loc, "&lt;&gt;",  _xlpm.loc, "&lt;&gt;E-Waste", _xlpm.loc, "&lt;&gt;Virtual",  _xlpm.loc, "&lt;&gt;Assigned to Employee", _xlpm.loc, "&lt;&gt;Decommisioned", _xlpm.loc, "&lt;&gt;Missing")
)</f>
        <v>9</v>
      </c>
      <c r="C751" s="168">
        <f>_xlfn.LET(_xlpm.loc, ITEquipmentTable[Storage Location],
COUNTIFS(ITSecondTable[Tag], ITSecondTable[[#This Row],[Tag]], _xlpm.loc, "&lt;&gt;E-Waste", _xlpm.loc, "&lt;&gt;Virtual", _xlpm.loc, "&lt;&gt;Decommisioned")
)</f>
        <v>40</v>
      </c>
      <c r="D751" s="168">
        <f>_xlfn.LET(_xlpm.loc, ITEquipmentTable[Storage Location],
COUNTIFS(ITSecondTable[Tag], ITSecondTable[[#This Row],[Tag]], _xlpm.loc, "Missing")
)</f>
        <v>0</v>
      </c>
      <c r="E751" s="168">
        <f>_xlfn.LET(_xlpm.loc, ITEquipmentTable[Storage Location],
COUNTIFS(ITSecondTable[Tag], ITSecondTable[[#This Row],[Tag]], _xlpm.loc, "In Use") + COUNTIFS(ITSecondTable[Tag], ITSecondTable[[#This Row],[Tag]], _xlpm.loc, "Assigned to Employee")
)</f>
        <v>23</v>
      </c>
      <c r="F751" s="168">
        <f>_xlfn.LET(_xlpm.loc, ITEquipmentTable[Storage Location],
COUNTIFS(ITSecondTable[Tag], ITSecondTable[[#This Row],[Tag]], _xlpm.loc, "")
)</f>
        <v>8</v>
      </c>
      <c r="G751" s="168">
        <f>MAX(ITSecondTable[[#This Row],[SQty]] - ITSecondTable[[#This Row],[IQty]], 0)</f>
        <v>1</v>
      </c>
      <c r="H751" s="168">
        <f>MAX(ITSecondTable[[#This Row],[IQty]]-ITSecondTable[[#This Row],[SQty]], 0)</f>
        <v>0</v>
      </c>
      <c r="I751" s="151" t="str">
        <f>IFERROR(_xlfn.TEXTJOIN("~", TRUE, ITEquipmentTable[[#This Row],[Type]],ITEquipmentTable[[#This Row],[Brand]],ITEquipmentTable[[#This Row],[Model]]), "")</f>
        <v>Printer~Sato~CL4NX</v>
      </c>
      <c r="J751" s="151" t="b">
        <f xml:space="preserve"> _xlfn.IFNA(MATCH( ITSecondTable[[#This Row],[Tag]], StorageTable[Tag], 0)  &gt; -1, FALSE)</f>
        <v>0</v>
      </c>
      <c r="K751" s="168" t="b">
        <f>COUNTIFS(ITEquipmentTable[Serial], ITEquipmentTable[[#This Row],[Serial]], ITEquipmentTable[Serial], "&lt;&gt;N/A") &gt; 1</f>
        <v>0</v>
      </c>
      <c r="L751" s="168" t="b">
        <f>COUNTIFS(ITEquipmentTable[Name], ITEquipmentTable[[#This Row],[Name]], ITEquipmentTable[Name], "&lt;&gt;&lt;Unassigned&gt;",  ITEquipmentTable[Name], "&lt;&gt;N/A") &gt; 1</f>
        <v>0</v>
      </c>
      <c r="M751" s="168" t="b">
        <f>AND(COUNTIFS(ITEquipmentTable[IPv4 Address], ITEquipmentTable[[#This Row],[IPv4 Address]]) &gt; 1, ITEquipmentTable[[#This Row],[IPv4 Address]] &lt;&gt; "DHCP",  ITEquipmentTable[[#This Row],[IPv4 Address]] &lt;&gt; "N/A")</f>
        <v>0</v>
      </c>
    </row>
    <row r="752" spans="1:13" x14ac:dyDescent="0.2">
      <c r="A752" s="168">
        <f>IF(LEN(ITSecondTable[[#This Row],[Tag]]) &gt; 0, _xlfn.XLOOKUP(ITSecondTable[[#This Row],[Tag]],StorageTable[Tag], StorageTable[In Storage - Count Total], "Err", 0, 1), 0)</f>
        <v>8</v>
      </c>
      <c r="B752" s="168">
        <f>_xlfn.LET(_xlpm.loc, ITEquipmentTable[Storage Location],
COUNTIFS(ITSecondTable[Tag], ITSecondTable[[#This Row],[Tag]], _xlpm.loc, "&lt;&gt;In Use", _xlpm.loc, "&lt;&gt;",  _xlpm.loc, "&lt;&gt;E-Waste", _xlpm.loc, "&lt;&gt;Virtual",  _xlpm.loc, "&lt;&gt;Assigned to Employee", _xlpm.loc, "&lt;&gt;Decommisioned", _xlpm.loc, "&lt;&gt;Missing")
)</f>
        <v>9</v>
      </c>
      <c r="C752" s="168">
        <f>_xlfn.LET(_xlpm.loc, ITEquipmentTable[Storage Location],
COUNTIFS(ITSecondTable[Tag], ITSecondTable[[#This Row],[Tag]], _xlpm.loc, "&lt;&gt;E-Waste", _xlpm.loc, "&lt;&gt;Virtual", _xlpm.loc, "&lt;&gt;Decommisioned")
)</f>
        <v>40</v>
      </c>
      <c r="D752" s="168">
        <f>_xlfn.LET(_xlpm.loc, ITEquipmentTable[Storage Location],
COUNTIFS(ITSecondTable[Tag], ITSecondTable[[#This Row],[Tag]], _xlpm.loc, "Missing")
)</f>
        <v>0</v>
      </c>
      <c r="E752" s="168">
        <f>_xlfn.LET(_xlpm.loc, ITEquipmentTable[Storage Location],
COUNTIFS(ITSecondTable[Tag], ITSecondTable[[#This Row],[Tag]], _xlpm.loc, "In Use") + COUNTIFS(ITSecondTable[Tag], ITSecondTable[[#This Row],[Tag]], _xlpm.loc, "Assigned to Employee")
)</f>
        <v>23</v>
      </c>
      <c r="F752" s="168">
        <f>_xlfn.LET(_xlpm.loc, ITEquipmentTable[Storage Location],
COUNTIFS(ITSecondTable[Tag], ITSecondTable[[#This Row],[Tag]], _xlpm.loc, "")
)</f>
        <v>8</v>
      </c>
      <c r="G752" s="168">
        <f>MAX(ITSecondTable[[#This Row],[SQty]] - ITSecondTable[[#This Row],[IQty]], 0)</f>
        <v>1</v>
      </c>
      <c r="H752" s="168">
        <f>MAX(ITSecondTable[[#This Row],[IQty]]-ITSecondTable[[#This Row],[SQty]], 0)</f>
        <v>0</v>
      </c>
      <c r="I752" s="151" t="str">
        <f>IFERROR(_xlfn.TEXTJOIN("~", TRUE, ITEquipmentTable[[#This Row],[Type]],ITEquipmentTable[[#This Row],[Brand]],ITEquipmentTable[[#This Row],[Model]]), "")</f>
        <v>Printer~Sato~CL4NX</v>
      </c>
      <c r="J752" s="151" t="b">
        <f xml:space="preserve"> _xlfn.IFNA(MATCH( ITSecondTable[[#This Row],[Tag]], StorageTable[Tag], 0)  &gt; -1, FALSE)</f>
        <v>0</v>
      </c>
      <c r="K752" s="168" t="b">
        <f>COUNTIFS(ITEquipmentTable[Serial], ITEquipmentTable[[#This Row],[Serial]], ITEquipmentTable[Serial], "&lt;&gt;N/A") &gt; 1</f>
        <v>0</v>
      </c>
      <c r="L752" s="168" t="b">
        <f>COUNTIFS(ITEquipmentTable[Name], ITEquipmentTable[[#This Row],[Name]], ITEquipmentTable[Name], "&lt;&gt;&lt;Unassigned&gt;",  ITEquipmentTable[Name], "&lt;&gt;N/A") &gt; 1</f>
        <v>0</v>
      </c>
      <c r="M752" s="168" t="b">
        <f>AND(COUNTIFS(ITEquipmentTable[IPv4 Address], ITEquipmentTable[[#This Row],[IPv4 Address]]) &gt; 1, ITEquipmentTable[[#This Row],[IPv4 Address]] &lt;&gt; "DHCP",  ITEquipmentTable[[#This Row],[IPv4 Address]] &lt;&gt; "N/A")</f>
        <v>0</v>
      </c>
    </row>
    <row r="753" spans="1:13" x14ac:dyDescent="0.2">
      <c r="A753" s="168">
        <f>IF(LEN(ITSecondTable[[#This Row],[Tag]]) &gt; 0, _xlfn.XLOOKUP(ITSecondTable[[#This Row],[Tag]],StorageTable[Tag], StorageTable[In Storage - Count Total], "Err", 0, 1), 0)</f>
        <v>8</v>
      </c>
      <c r="B753" s="168">
        <f>_xlfn.LET(_xlpm.loc, ITEquipmentTable[Storage Location],
COUNTIFS(ITSecondTable[Tag], ITSecondTable[[#This Row],[Tag]], _xlpm.loc, "&lt;&gt;In Use", _xlpm.loc, "&lt;&gt;",  _xlpm.loc, "&lt;&gt;E-Waste", _xlpm.loc, "&lt;&gt;Virtual",  _xlpm.loc, "&lt;&gt;Assigned to Employee", _xlpm.loc, "&lt;&gt;Decommisioned", _xlpm.loc, "&lt;&gt;Missing")
)</f>
        <v>9</v>
      </c>
      <c r="C753" s="168">
        <f>_xlfn.LET(_xlpm.loc, ITEquipmentTable[Storage Location],
COUNTIFS(ITSecondTable[Tag], ITSecondTable[[#This Row],[Tag]], _xlpm.loc, "&lt;&gt;E-Waste", _xlpm.loc, "&lt;&gt;Virtual", _xlpm.loc, "&lt;&gt;Decommisioned")
)</f>
        <v>40</v>
      </c>
      <c r="D753" s="168">
        <f>_xlfn.LET(_xlpm.loc, ITEquipmentTable[Storage Location],
COUNTIFS(ITSecondTable[Tag], ITSecondTable[[#This Row],[Tag]], _xlpm.loc, "Missing")
)</f>
        <v>0</v>
      </c>
      <c r="E753" s="168">
        <f>_xlfn.LET(_xlpm.loc, ITEquipmentTable[Storage Location],
COUNTIFS(ITSecondTable[Tag], ITSecondTable[[#This Row],[Tag]], _xlpm.loc, "In Use") + COUNTIFS(ITSecondTable[Tag], ITSecondTable[[#This Row],[Tag]], _xlpm.loc, "Assigned to Employee")
)</f>
        <v>23</v>
      </c>
      <c r="F753" s="168">
        <f>_xlfn.LET(_xlpm.loc, ITEquipmentTable[Storage Location],
COUNTIFS(ITSecondTable[Tag], ITSecondTable[[#This Row],[Tag]], _xlpm.loc, "")
)</f>
        <v>8</v>
      </c>
      <c r="G753" s="168">
        <f>MAX(ITSecondTable[[#This Row],[SQty]] - ITSecondTable[[#This Row],[IQty]], 0)</f>
        <v>1</v>
      </c>
      <c r="H753" s="168">
        <f>MAX(ITSecondTable[[#This Row],[IQty]]-ITSecondTable[[#This Row],[SQty]], 0)</f>
        <v>0</v>
      </c>
      <c r="I753" s="151" t="str">
        <f>IFERROR(_xlfn.TEXTJOIN("~", TRUE, ITEquipmentTable[[#This Row],[Type]],ITEquipmentTable[[#This Row],[Brand]],ITEquipmentTable[[#This Row],[Model]]), "")</f>
        <v>Printer~Sato~CL4NX</v>
      </c>
      <c r="J753" s="151" t="b">
        <f xml:space="preserve"> _xlfn.IFNA(MATCH( ITSecondTable[[#This Row],[Tag]], StorageTable[Tag], 0)  &gt; -1, FALSE)</f>
        <v>0</v>
      </c>
      <c r="K753" s="168" t="b">
        <f>COUNTIFS(ITEquipmentTable[Serial], ITEquipmentTable[[#This Row],[Serial]], ITEquipmentTable[Serial], "&lt;&gt;N/A") &gt; 1</f>
        <v>0</v>
      </c>
      <c r="L753" s="168" t="b">
        <f>COUNTIFS(ITEquipmentTable[Name], ITEquipmentTable[[#This Row],[Name]], ITEquipmentTable[Name], "&lt;&gt;&lt;Unassigned&gt;",  ITEquipmentTable[Name], "&lt;&gt;N/A") &gt; 1</f>
        <v>0</v>
      </c>
      <c r="M753" s="168" t="b">
        <f>AND(COUNTIFS(ITEquipmentTable[IPv4 Address], ITEquipmentTable[[#This Row],[IPv4 Address]]) &gt; 1, ITEquipmentTable[[#This Row],[IPv4 Address]] &lt;&gt; "DHCP",  ITEquipmentTable[[#This Row],[IPv4 Address]] &lt;&gt; "N/A")</f>
        <v>0</v>
      </c>
    </row>
    <row r="754" spans="1:13" x14ac:dyDescent="0.2">
      <c r="A754" s="168">
        <f>IF(LEN(ITSecondTable[[#This Row],[Tag]]) &gt; 0, _xlfn.XLOOKUP(ITSecondTable[[#This Row],[Tag]],StorageTable[Tag], StorageTable[In Storage - Count Total], "Err", 0, 1), 0)</f>
        <v>8</v>
      </c>
      <c r="B754" s="168">
        <f>_xlfn.LET(_xlpm.loc, ITEquipmentTable[Storage Location],
COUNTIFS(ITSecondTable[Tag], ITSecondTable[[#This Row],[Tag]], _xlpm.loc, "&lt;&gt;In Use", _xlpm.loc, "&lt;&gt;",  _xlpm.loc, "&lt;&gt;E-Waste", _xlpm.loc, "&lt;&gt;Virtual",  _xlpm.loc, "&lt;&gt;Assigned to Employee", _xlpm.loc, "&lt;&gt;Decommisioned", _xlpm.loc, "&lt;&gt;Missing")
)</f>
        <v>9</v>
      </c>
      <c r="C754" s="168">
        <f>_xlfn.LET(_xlpm.loc, ITEquipmentTable[Storage Location],
COUNTIFS(ITSecondTable[Tag], ITSecondTable[[#This Row],[Tag]], _xlpm.loc, "&lt;&gt;E-Waste", _xlpm.loc, "&lt;&gt;Virtual", _xlpm.loc, "&lt;&gt;Decommisioned")
)</f>
        <v>40</v>
      </c>
      <c r="D754" s="168">
        <f>_xlfn.LET(_xlpm.loc, ITEquipmentTable[Storage Location],
COUNTIFS(ITSecondTable[Tag], ITSecondTable[[#This Row],[Tag]], _xlpm.loc, "Missing")
)</f>
        <v>0</v>
      </c>
      <c r="E754" s="168">
        <f>_xlfn.LET(_xlpm.loc, ITEquipmentTable[Storage Location],
COUNTIFS(ITSecondTable[Tag], ITSecondTable[[#This Row],[Tag]], _xlpm.loc, "In Use") + COUNTIFS(ITSecondTable[Tag], ITSecondTable[[#This Row],[Tag]], _xlpm.loc, "Assigned to Employee")
)</f>
        <v>23</v>
      </c>
      <c r="F754" s="168">
        <f>_xlfn.LET(_xlpm.loc, ITEquipmentTable[Storage Location],
COUNTIFS(ITSecondTable[Tag], ITSecondTable[[#This Row],[Tag]], _xlpm.loc, "")
)</f>
        <v>8</v>
      </c>
      <c r="G754" s="168">
        <f>MAX(ITSecondTable[[#This Row],[SQty]] - ITSecondTable[[#This Row],[IQty]], 0)</f>
        <v>1</v>
      </c>
      <c r="H754" s="168">
        <f>MAX(ITSecondTable[[#This Row],[IQty]]-ITSecondTable[[#This Row],[SQty]], 0)</f>
        <v>0</v>
      </c>
      <c r="I754" s="151" t="str">
        <f>IFERROR(_xlfn.TEXTJOIN("~", TRUE, ITEquipmentTable[[#This Row],[Type]],ITEquipmentTable[[#This Row],[Brand]],ITEquipmentTable[[#This Row],[Model]]), "")</f>
        <v>Printer~Sato~CL4NX</v>
      </c>
      <c r="J754" s="151" t="b">
        <f xml:space="preserve"> _xlfn.IFNA(MATCH( ITSecondTable[[#This Row],[Tag]], StorageTable[Tag], 0)  &gt; -1, FALSE)</f>
        <v>0</v>
      </c>
      <c r="K754" s="168" t="b">
        <f>COUNTIFS(ITEquipmentTable[Serial], ITEquipmentTable[[#This Row],[Serial]], ITEquipmentTable[Serial], "&lt;&gt;N/A") &gt; 1</f>
        <v>0</v>
      </c>
      <c r="L754" s="168" t="b">
        <f>COUNTIFS(ITEquipmentTable[Name], ITEquipmentTable[[#This Row],[Name]], ITEquipmentTable[Name], "&lt;&gt;&lt;Unassigned&gt;",  ITEquipmentTable[Name], "&lt;&gt;N/A") &gt; 1</f>
        <v>0</v>
      </c>
      <c r="M754" s="168" t="b">
        <f>AND(COUNTIFS(ITEquipmentTable[IPv4 Address], ITEquipmentTable[[#This Row],[IPv4 Address]]) &gt; 1, ITEquipmentTable[[#This Row],[IPv4 Address]] &lt;&gt; "DHCP",  ITEquipmentTable[[#This Row],[IPv4 Address]] &lt;&gt; "N/A")</f>
        <v>0</v>
      </c>
    </row>
    <row r="755" spans="1:13" x14ac:dyDescent="0.2">
      <c r="A755" s="168">
        <f>IF(LEN(ITSecondTable[[#This Row],[Tag]]) &gt; 0, _xlfn.XLOOKUP(ITSecondTable[[#This Row],[Tag]],StorageTable[Tag], StorageTable[In Storage - Count Total], "Err", 0, 1), 0)</f>
        <v>8</v>
      </c>
      <c r="B755" s="168">
        <f>_xlfn.LET(_xlpm.loc, ITEquipmentTable[Storage Location],
COUNTIFS(ITSecondTable[Tag], ITSecondTable[[#This Row],[Tag]], _xlpm.loc, "&lt;&gt;In Use", _xlpm.loc, "&lt;&gt;",  _xlpm.loc, "&lt;&gt;E-Waste", _xlpm.loc, "&lt;&gt;Virtual",  _xlpm.loc, "&lt;&gt;Assigned to Employee", _xlpm.loc, "&lt;&gt;Decommisioned", _xlpm.loc, "&lt;&gt;Missing")
)</f>
        <v>9</v>
      </c>
      <c r="C755" s="168">
        <f>_xlfn.LET(_xlpm.loc, ITEquipmentTable[Storage Location],
COUNTIFS(ITSecondTable[Tag], ITSecondTable[[#This Row],[Tag]], _xlpm.loc, "&lt;&gt;E-Waste", _xlpm.loc, "&lt;&gt;Virtual", _xlpm.loc, "&lt;&gt;Decommisioned")
)</f>
        <v>40</v>
      </c>
      <c r="D755" s="168">
        <f>_xlfn.LET(_xlpm.loc, ITEquipmentTable[Storage Location],
COUNTIFS(ITSecondTable[Tag], ITSecondTable[[#This Row],[Tag]], _xlpm.loc, "Missing")
)</f>
        <v>0</v>
      </c>
      <c r="E755" s="168">
        <f>_xlfn.LET(_xlpm.loc, ITEquipmentTable[Storage Location],
COUNTIFS(ITSecondTable[Tag], ITSecondTable[[#This Row],[Tag]], _xlpm.loc, "In Use") + COUNTIFS(ITSecondTable[Tag], ITSecondTable[[#This Row],[Tag]], _xlpm.loc, "Assigned to Employee")
)</f>
        <v>23</v>
      </c>
      <c r="F755" s="168">
        <f>_xlfn.LET(_xlpm.loc, ITEquipmentTable[Storage Location],
COUNTIFS(ITSecondTable[Tag], ITSecondTable[[#This Row],[Tag]], _xlpm.loc, "")
)</f>
        <v>8</v>
      </c>
      <c r="G755" s="168">
        <f>MAX(ITSecondTable[[#This Row],[SQty]] - ITSecondTable[[#This Row],[IQty]], 0)</f>
        <v>1</v>
      </c>
      <c r="H755" s="168">
        <f>MAX(ITSecondTable[[#This Row],[IQty]]-ITSecondTable[[#This Row],[SQty]], 0)</f>
        <v>0</v>
      </c>
      <c r="I755" s="151" t="str">
        <f>IFERROR(_xlfn.TEXTJOIN("~", TRUE, ITEquipmentTable[[#This Row],[Type]],ITEquipmentTable[[#This Row],[Brand]],ITEquipmentTable[[#This Row],[Model]]), "")</f>
        <v>Printer~Sato~CL4NX</v>
      </c>
      <c r="J755" s="151" t="b">
        <f xml:space="preserve"> _xlfn.IFNA(MATCH( ITSecondTable[[#This Row],[Tag]], StorageTable[Tag], 0)  &gt; -1, FALSE)</f>
        <v>0</v>
      </c>
      <c r="K755" s="168" t="b">
        <f>COUNTIFS(ITEquipmentTable[Serial], ITEquipmentTable[[#This Row],[Serial]], ITEquipmentTable[Serial], "&lt;&gt;N/A") &gt; 1</f>
        <v>0</v>
      </c>
      <c r="L755" s="168" t="b">
        <f>COUNTIFS(ITEquipmentTable[Name], ITEquipmentTable[[#This Row],[Name]], ITEquipmentTable[Name], "&lt;&gt;&lt;Unassigned&gt;",  ITEquipmentTable[Name], "&lt;&gt;N/A") &gt; 1</f>
        <v>0</v>
      </c>
      <c r="M755" s="168" t="b">
        <f>AND(COUNTIFS(ITEquipmentTable[IPv4 Address], ITEquipmentTable[[#This Row],[IPv4 Address]]) &gt; 1, ITEquipmentTable[[#This Row],[IPv4 Address]] &lt;&gt; "DHCP",  ITEquipmentTable[[#This Row],[IPv4 Address]] &lt;&gt; "N/A")</f>
        <v>0</v>
      </c>
    </row>
    <row r="756" spans="1:13" x14ac:dyDescent="0.2">
      <c r="A756" s="168">
        <f>IF(LEN(ITSecondTable[[#This Row],[Tag]]) &gt; 0, _xlfn.XLOOKUP(ITSecondTable[[#This Row],[Tag]],StorageTable[Tag], StorageTable[In Storage - Count Total], "Err", 0, 1), 0)</f>
        <v>8</v>
      </c>
      <c r="B756" s="168">
        <f>_xlfn.LET(_xlpm.loc, ITEquipmentTable[Storage Location],
COUNTIFS(ITSecondTable[Tag], ITSecondTable[[#This Row],[Tag]], _xlpm.loc, "&lt;&gt;In Use", _xlpm.loc, "&lt;&gt;",  _xlpm.loc, "&lt;&gt;E-Waste", _xlpm.loc, "&lt;&gt;Virtual",  _xlpm.loc, "&lt;&gt;Assigned to Employee", _xlpm.loc, "&lt;&gt;Decommisioned", _xlpm.loc, "&lt;&gt;Missing")
)</f>
        <v>9</v>
      </c>
      <c r="C756" s="168">
        <f>_xlfn.LET(_xlpm.loc, ITEquipmentTable[Storage Location],
COUNTIFS(ITSecondTable[Tag], ITSecondTable[[#This Row],[Tag]], _xlpm.loc, "&lt;&gt;E-Waste", _xlpm.loc, "&lt;&gt;Virtual", _xlpm.loc, "&lt;&gt;Decommisioned")
)</f>
        <v>40</v>
      </c>
      <c r="D756" s="168">
        <f>_xlfn.LET(_xlpm.loc, ITEquipmentTable[Storage Location],
COUNTIFS(ITSecondTable[Tag], ITSecondTable[[#This Row],[Tag]], _xlpm.loc, "Missing")
)</f>
        <v>0</v>
      </c>
      <c r="E756" s="168">
        <f>_xlfn.LET(_xlpm.loc, ITEquipmentTable[Storage Location],
COUNTIFS(ITSecondTable[Tag], ITSecondTable[[#This Row],[Tag]], _xlpm.loc, "In Use") + COUNTIFS(ITSecondTable[Tag], ITSecondTable[[#This Row],[Tag]], _xlpm.loc, "Assigned to Employee")
)</f>
        <v>23</v>
      </c>
      <c r="F756" s="168">
        <f>_xlfn.LET(_xlpm.loc, ITEquipmentTable[Storage Location],
COUNTIFS(ITSecondTable[Tag], ITSecondTable[[#This Row],[Tag]], _xlpm.loc, "")
)</f>
        <v>8</v>
      </c>
      <c r="G756" s="168">
        <f>MAX(ITSecondTable[[#This Row],[SQty]] - ITSecondTable[[#This Row],[IQty]], 0)</f>
        <v>1</v>
      </c>
      <c r="H756" s="168">
        <f>MAX(ITSecondTable[[#This Row],[IQty]]-ITSecondTable[[#This Row],[SQty]], 0)</f>
        <v>0</v>
      </c>
      <c r="I756" s="151" t="str">
        <f>IFERROR(_xlfn.TEXTJOIN("~", TRUE, ITEquipmentTable[[#This Row],[Type]],ITEquipmentTable[[#This Row],[Brand]],ITEquipmentTable[[#This Row],[Model]]), "")</f>
        <v>Printer~Sato~CL4NX</v>
      </c>
      <c r="J756" s="151" t="b">
        <f xml:space="preserve"> _xlfn.IFNA(MATCH( ITSecondTable[[#This Row],[Tag]], StorageTable[Tag], 0)  &gt; -1, FALSE)</f>
        <v>0</v>
      </c>
      <c r="K756" s="168" t="b">
        <f>COUNTIFS(ITEquipmentTable[Serial], ITEquipmentTable[[#This Row],[Serial]], ITEquipmentTable[Serial], "&lt;&gt;N/A") &gt; 1</f>
        <v>0</v>
      </c>
      <c r="L756" s="168" t="b">
        <f>COUNTIFS(ITEquipmentTable[Name], ITEquipmentTable[[#This Row],[Name]], ITEquipmentTable[Name], "&lt;&gt;&lt;Unassigned&gt;",  ITEquipmentTable[Name], "&lt;&gt;N/A") &gt; 1</f>
        <v>0</v>
      </c>
      <c r="M756" s="168" t="b">
        <f>AND(COUNTIFS(ITEquipmentTable[IPv4 Address], ITEquipmentTable[[#This Row],[IPv4 Address]]) &gt; 1, ITEquipmentTable[[#This Row],[IPv4 Address]] &lt;&gt; "DHCP",  ITEquipmentTable[[#This Row],[IPv4 Address]] &lt;&gt; "N/A")</f>
        <v>0</v>
      </c>
    </row>
    <row r="757" spans="1:13" x14ac:dyDescent="0.2">
      <c r="A757" s="168">
        <f>IF(LEN(ITSecondTable[[#This Row],[Tag]]) &gt; 0, _xlfn.XLOOKUP(ITSecondTable[[#This Row],[Tag]],StorageTable[Tag], StorageTable[In Storage - Count Total], "Err", 0, 1), 0)</f>
        <v>8</v>
      </c>
      <c r="B757" s="168">
        <f>_xlfn.LET(_xlpm.loc, ITEquipmentTable[Storage Location],
COUNTIFS(ITSecondTable[Tag], ITSecondTable[[#This Row],[Tag]], _xlpm.loc, "&lt;&gt;In Use", _xlpm.loc, "&lt;&gt;",  _xlpm.loc, "&lt;&gt;E-Waste", _xlpm.loc, "&lt;&gt;Virtual",  _xlpm.loc, "&lt;&gt;Assigned to Employee", _xlpm.loc, "&lt;&gt;Decommisioned", _xlpm.loc, "&lt;&gt;Missing")
)</f>
        <v>9</v>
      </c>
      <c r="C757" s="168">
        <f>_xlfn.LET(_xlpm.loc, ITEquipmentTable[Storage Location],
COUNTIFS(ITSecondTable[Tag], ITSecondTable[[#This Row],[Tag]], _xlpm.loc, "&lt;&gt;E-Waste", _xlpm.loc, "&lt;&gt;Virtual", _xlpm.loc, "&lt;&gt;Decommisioned")
)</f>
        <v>40</v>
      </c>
      <c r="D757" s="168">
        <f>_xlfn.LET(_xlpm.loc, ITEquipmentTable[Storage Location],
COUNTIFS(ITSecondTable[Tag], ITSecondTable[[#This Row],[Tag]], _xlpm.loc, "Missing")
)</f>
        <v>0</v>
      </c>
      <c r="E757" s="168">
        <f>_xlfn.LET(_xlpm.loc, ITEquipmentTable[Storage Location],
COUNTIFS(ITSecondTable[Tag], ITSecondTable[[#This Row],[Tag]], _xlpm.loc, "In Use") + COUNTIFS(ITSecondTable[Tag], ITSecondTable[[#This Row],[Tag]], _xlpm.loc, "Assigned to Employee")
)</f>
        <v>23</v>
      </c>
      <c r="F757" s="168">
        <f>_xlfn.LET(_xlpm.loc, ITEquipmentTable[Storage Location],
COUNTIFS(ITSecondTable[Tag], ITSecondTable[[#This Row],[Tag]], _xlpm.loc, "")
)</f>
        <v>8</v>
      </c>
      <c r="G757" s="168">
        <f>MAX(ITSecondTable[[#This Row],[SQty]] - ITSecondTable[[#This Row],[IQty]], 0)</f>
        <v>1</v>
      </c>
      <c r="H757" s="168">
        <f>MAX(ITSecondTable[[#This Row],[IQty]]-ITSecondTable[[#This Row],[SQty]], 0)</f>
        <v>0</v>
      </c>
      <c r="I757" s="151" t="str">
        <f>IFERROR(_xlfn.TEXTJOIN("~", TRUE, ITEquipmentTable[[#This Row],[Type]],ITEquipmentTable[[#This Row],[Brand]],ITEquipmentTable[[#This Row],[Model]]), "")</f>
        <v>Printer~Sato~CL4NX</v>
      </c>
      <c r="J757" s="151" t="b">
        <f xml:space="preserve"> _xlfn.IFNA(MATCH( ITSecondTable[[#This Row],[Tag]], StorageTable[Tag], 0)  &gt; -1, FALSE)</f>
        <v>0</v>
      </c>
      <c r="K757" s="168" t="b">
        <f>COUNTIFS(ITEquipmentTable[Serial], ITEquipmentTable[[#This Row],[Serial]], ITEquipmentTable[Serial], "&lt;&gt;N/A") &gt; 1</f>
        <v>0</v>
      </c>
      <c r="L757" s="168" t="b">
        <f>COUNTIFS(ITEquipmentTable[Name], ITEquipmentTable[[#This Row],[Name]], ITEquipmentTable[Name], "&lt;&gt;&lt;Unassigned&gt;",  ITEquipmentTable[Name], "&lt;&gt;N/A") &gt; 1</f>
        <v>0</v>
      </c>
      <c r="M757" s="168" t="b">
        <f>AND(COUNTIFS(ITEquipmentTable[IPv4 Address], ITEquipmentTable[[#This Row],[IPv4 Address]]) &gt; 1, ITEquipmentTable[[#This Row],[IPv4 Address]] &lt;&gt; "DHCP",  ITEquipmentTable[[#This Row],[IPv4 Address]] &lt;&gt; "N/A")</f>
        <v>0</v>
      </c>
    </row>
    <row r="758" spans="1:13" x14ac:dyDescent="0.2">
      <c r="A758" s="168">
        <f>IF(LEN(ITSecondTable[[#This Row],[Tag]]) &gt; 0, _xlfn.XLOOKUP(ITSecondTable[[#This Row],[Tag]],StorageTable[Tag], StorageTable[In Storage - Count Total], "Err", 0, 1), 0)</f>
        <v>8</v>
      </c>
      <c r="B758" s="168">
        <f>_xlfn.LET(_xlpm.loc, ITEquipmentTable[Storage Location],
COUNTIFS(ITSecondTable[Tag], ITSecondTable[[#This Row],[Tag]], _xlpm.loc, "&lt;&gt;In Use", _xlpm.loc, "&lt;&gt;",  _xlpm.loc, "&lt;&gt;E-Waste", _xlpm.loc, "&lt;&gt;Virtual",  _xlpm.loc, "&lt;&gt;Assigned to Employee", _xlpm.loc, "&lt;&gt;Decommisioned", _xlpm.loc, "&lt;&gt;Missing")
)</f>
        <v>9</v>
      </c>
      <c r="C758" s="168">
        <f>_xlfn.LET(_xlpm.loc, ITEquipmentTable[Storage Location],
COUNTIFS(ITSecondTable[Tag], ITSecondTable[[#This Row],[Tag]], _xlpm.loc, "&lt;&gt;E-Waste", _xlpm.loc, "&lt;&gt;Virtual", _xlpm.loc, "&lt;&gt;Decommisioned")
)</f>
        <v>40</v>
      </c>
      <c r="D758" s="168">
        <f>_xlfn.LET(_xlpm.loc, ITEquipmentTable[Storage Location],
COUNTIFS(ITSecondTable[Tag], ITSecondTable[[#This Row],[Tag]], _xlpm.loc, "Missing")
)</f>
        <v>0</v>
      </c>
      <c r="E758" s="168">
        <f>_xlfn.LET(_xlpm.loc, ITEquipmentTable[Storage Location],
COUNTIFS(ITSecondTable[Tag], ITSecondTable[[#This Row],[Tag]], _xlpm.loc, "In Use") + COUNTIFS(ITSecondTable[Tag], ITSecondTable[[#This Row],[Tag]], _xlpm.loc, "Assigned to Employee")
)</f>
        <v>23</v>
      </c>
      <c r="F758" s="168">
        <f>_xlfn.LET(_xlpm.loc, ITEquipmentTable[Storage Location],
COUNTIFS(ITSecondTable[Tag], ITSecondTable[[#This Row],[Tag]], _xlpm.loc, "")
)</f>
        <v>8</v>
      </c>
      <c r="G758" s="168">
        <f>MAX(ITSecondTable[[#This Row],[SQty]] - ITSecondTable[[#This Row],[IQty]], 0)</f>
        <v>1</v>
      </c>
      <c r="H758" s="168">
        <f>MAX(ITSecondTable[[#This Row],[IQty]]-ITSecondTable[[#This Row],[SQty]], 0)</f>
        <v>0</v>
      </c>
      <c r="I758" s="151" t="str">
        <f>IFERROR(_xlfn.TEXTJOIN("~", TRUE, ITEquipmentTable[[#This Row],[Type]],ITEquipmentTable[[#This Row],[Brand]],ITEquipmentTable[[#This Row],[Model]]), "")</f>
        <v>Printer~Sato~CL4NX</v>
      </c>
      <c r="J758" s="151" t="b">
        <f xml:space="preserve"> _xlfn.IFNA(MATCH( ITSecondTable[[#This Row],[Tag]], StorageTable[Tag], 0)  &gt; -1, FALSE)</f>
        <v>0</v>
      </c>
      <c r="K758" s="168" t="b">
        <f>COUNTIFS(ITEquipmentTable[Serial], ITEquipmentTable[[#This Row],[Serial]], ITEquipmentTable[Serial], "&lt;&gt;N/A") &gt; 1</f>
        <v>0</v>
      </c>
      <c r="L758" s="168" t="b">
        <f>COUNTIFS(ITEquipmentTable[Name], ITEquipmentTable[[#This Row],[Name]], ITEquipmentTable[Name], "&lt;&gt;&lt;Unassigned&gt;",  ITEquipmentTable[Name], "&lt;&gt;N/A") &gt; 1</f>
        <v>0</v>
      </c>
      <c r="M758" s="168" t="b">
        <f>AND(COUNTIFS(ITEquipmentTable[IPv4 Address], ITEquipmentTable[[#This Row],[IPv4 Address]]) &gt; 1, ITEquipmentTable[[#This Row],[IPv4 Address]] &lt;&gt; "DHCP",  ITEquipmentTable[[#This Row],[IPv4 Address]] &lt;&gt; "N/A")</f>
        <v>0</v>
      </c>
    </row>
    <row r="759" spans="1:13" x14ac:dyDescent="0.2">
      <c r="A759" s="168">
        <f>IF(LEN(ITSecondTable[[#This Row],[Tag]]) &gt; 0, _xlfn.XLOOKUP(ITSecondTable[[#This Row],[Tag]],StorageTable[Tag], StorageTable[In Storage - Count Total], "Err", 0, 1), 0)</f>
        <v>8</v>
      </c>
      <c r="B759" s="168">
        <f>_xlfn.LET(_xlpm.loc, ITEquipmentTable[Storage Location],
COUNTIFS(ITSecondTable[Tag], ITSecondTable[[#This Row],[Tag]], _xlpm.loc, "&lt;&gt;In Use", _xlpm.loc, "&lt;&gt;",  _xlpm.loc, "&lt;&gt;E-Waste", _xlpm.loc, "&lt;&gt;Virtual",  _xlpm.loc, "&lt;&gt;Assigned to Employee", _xlpm.loc, "&lt;&gt;Decommisioned", _xlpm.loc, "&lt;&gt;Missing")
)</f>
        <v>9</v>
      </c>
      <c r="C759" s="168">
        <f>_xlfn.LET(_xlpm.loc, ITEquipmentTable[Storage Location],
COUNTIFS(ITSecondTable[Tag], ITSecondTable[[#This Row],[Tag]], _xlpm.loc, "&lt;&gt;E-Waste", _xlpm.loc, "&lt;&gt;Virtual", _xlpm.loc, "&lt;&gt;Decommisioned")
)</f>
        <v>40</v>
      </c>
      <c r="D759" s="168">
        <f>_xlfn.LET(_xlpm.loc, ITEquipmentTable[Storage Location],
COUNTIFS(ITSecondTable[Tag], ITSecondTable[[#This Row],[Tag]], _xlpm.loc, "Missing")
)</f>
        <v>0</v>
      </c>
      <c r="E759" s="168">
        <f>_xlfn.LET(_xlpm.loc, ITEquipmentTable[Storage Location],
COUNTIFS(ITSecondTable[Tag], ITSecondTable[[#This Row],[Tag]], _xlpm.loc, "In Use") + COUNTIFS(ITSecondTable[Tag], ITSecondTable[[#This Row],[Tag]], _xlpm.loc, "Assigned to Employee")
)</f>
        <v>23</v>
      </c>
      <c r="F759" s="168">
        <f>_xlfn.LET(_xlpm.loc, ITEquipmentTable[Storage Location],
COUNTIFS(ITSecondTable[Tag], ITSecondTable[[#This Row],[Tag]], _xlpm.loc, "")
)</f>
        <v>8</v>
      </c>
      <c r="G759" s="168">
        <f>MAX(ITSecondTable[[#This Row],[SQty]] - ITSecondTable[[#This Row],[IQty]], 0)</f>
        <v>1</v>
      </c>
      <c r="H759" s="168">
        <f>MAX(ITSecondTable[[#This Row],[IQty]]-ITSecondTable[[#This Row],[SQty]], 0)</f>
        <v>0</v>
      </c>
      <c r="I759" s="151" t="str">
        <f>IFERROR(_xlfn.TEXTJOIN("~", TRUE, ITEquipmentTable[[#This Row],[Type]],ITEquipmentTable[[#This Row],[Brand]],ITEquipmentTable[[#This Row],[Model]]), "")</f>
        <v>Printer~Sato~CL4NX</v>
      </c>
      <c r="J759" s="151" t="b">
        <f xml:space="preserve"> _xlfn.IFNA(MATCH( ITSecondTable[[#This Row],[Tag]], StorageTable[Tag], 0)  &gt; -1, FALSE)</f>
        <v>0</v>
      </c>
      <c r="K759" s="168" t="b">
        <f>COUNTIFS(ITEquipmentTable[Serial], ITEquipmentTable[[#This Row],[Serial]], ITEquipmentTable[Serial], "&lt;&gt;N/A") &gt; 1</f>
        <v>0</v>
      </c>
      <c r="L759" s="168" t="b">
        <f>COUNTIFS(ITEquipmentTable[Name], ITEquipmentTable[[#This Row],[Name]], ITEquipmentTable[Name], "&lt;&gt;&lt;Unassigned&gt;",  ITEquipmentTable[Name], "&lt;&gt;N/A") &gt; 1</f>
        <v>0</v>
      </c>
      <c r="M759" s="168" t="b">
        <f>AND(COUNTIFS(ITEquipmentTable[IPv4 Address], ITEquipmentTable[[#This Row],[IPv4 Address]]) &gt; 1, ITEquipmentTable[[#This Row],[IPv4 Address]] &lt;&gt; "DHCP",  ITEquipmentTable[[#This Row],[IPv4 Address]] &lt;&gt; "N/A")</f>
        <v>0</v>
      </c>
    </row>
    <row r="760" spans="1:13" x14ac:dyDescent="0.2">
      <c r="A760" s="168">
        <f>IF(LEN(ITSecondTable[[#This Row],[Tag]]) &gt; 0, _xlfn.XLOOKUP(ITSecondTable[[#This Row],[Tag]],StorageTable[Tag], StorageTable[In Storage - Count Total], "Err", 0, 1), 0)</f>
        <v>3</v>
      </c>
      <c r="B760" s="168">
        <f>_xlfn.LET(_xlpm.loc, ITEquipmentTable[Storage Location],
COUNTIFS(ITSecondTable[Tag], ITSecondTable[[#This Row],[Tag]], _xlpm.loc, "&lt;&gt;In Use", _xlpm.loc, "&lt;&gt;",  _xlpm.loc, "&lt;&gt;E-Waste", _xlpm.loc, "&lt;&gt;Virtual",  _xlpm.loc, "&lt;&gt;Assigned to Employee", _xlpm.loc, "&lt;&gt;Decommisioned", _xlpm.loc, "&lt;&gt;Missing")
)</f>
        <v>1</v>
      </c>
      <c r="C760" s="168">
        <f>_xlfn.LET(_xlpm.loc, ITEquipmentTable[Storage Location],
COUNTIFS(ITSecondTable[Tag], ITSecondTable[[#This Row],[Tag]], _xlpm.loc, "&lt;&gt;E-Waste", _xlpm.loc, "&lt;&gt;Virtual", _xlpm.loc, "&lt;&gt;Decommisioned")
)</f>
        <v>3</v>
      </c>
      <c r="D760" s="168">
        <f>_xlfn.LET(_xlpm.loc, ITEquipmentTable[Storage Location],
COUNTIFS(ITSecondTable[Tag], ITSecondTable[[#This Row],[Tag]], _xlpm.loc, "Missing")
)</f>
        <v>0</v>
      </c>
      <c r="E760" s="168">
        <f>_xlfn.LET(_xlpm.loc, ITEquipmentTable[Storage Location],
COUNTIFS(ITSecondTable[Tag], ITSecondTable[[#This Row],[Tag]], _xlpm.loc, "In Use") + COUNTIFS(ITSecondTable[Tag], ITSecondTable[[#This Row],[Tag]], _xlpm.loc, "Assigned to Employee")
)</f>
        <v>2</v>
      </c>
      <c r="F760" s="168">
        <f>_xlfn.LET(_xlpm.loc, ITEquipmentTable[Storage Location],
COUNTIFS(ITSecondTable[Tag], ITSecondTable[[#This Row],[Tag]], _xlpm.loc, "")
)</f>
        <v>0</v>
      </c>
      <c r="G760" s="168">
        <f>MAX(ITSecondTable[[#This Row],[SQty]] - ITSecondTable[[#This Row],[IQty]], 0)</f>
        <v>0</v>
      </c>
      <c r="H760" s="168">
        <f>MAX(ITSecondTable[[#This Row],[IQty]]-ITSecondTable[[#This Row],[SQty]], 0)</f>
        <v>2</v>
      </c>
      <c r="I760" s="151" t="str">
        <f>IFERROR(_xlfn.TEXTJOIN("~", TRUE, ITEquipmentTable[[#This Row],[Type]],ITEquipmentTable[[#This Row],[Brand]],ITEquipmentTable[[#This Row],[Model]]), "")</f>
        <v>Printer~Honeywell~PX940</v>
      </c>
      <c r="J760" s="151" t="b">
        <f xml:space="preserve"> _xlfn.IFNA(MATCH( ITSecondTable[[#This Row],[Tag]], StorageTable[Tag], 0)  &gt; -1, FALSE)</f>
        <v>0</v>
      </c>
      <c r="K760" s="168" t="b">
        <f>COUNTIFS(ITEquipmentTable[Serial], ITEquipmentTable[[#This Row],[Serial]], ITEquipmentTable[Serial], "&lt;&gt;N/A") &gt; 1</f>
        <v>0</v>
      </c>
      <c r="L760" s="168" t="b">
        <f>COUNTIFS(ITEquipmentTable[Name], ITEquipmentTable[[#This Row],[Name]], ITEquipmentTable[Name], "&lt;&gt;&lt;Unassigned&gt;",  ITEquipmentTable[Name], "&lt;&gt;N/A") &gt; 1</f>
        <v>0</v>
      </c>
      <c r="M760" s="168" t="b">
        <f>AND(COUNTIFS(ITEquipmentTable[IPv4 Address], ITEquipmentTable[[#This Row],[IPv4 Address]]) &gt; 1, ITEquipmentTable[[#This Row],[IPv4 Address]] &lt;&gt; "DHCP",  ITEquipmentTable[[#This Row],[IPv4 Address]] &lt;&gt; "N/A")</f>
        <v>0</v>
      </c>
    </row>
    <row r="761" spans="1:13" x14ac:dyDescent="0.2">
      <c r="A761" s="168">
        <f>IF(LEN(ITSecondTable[[#This Row],[Tag]]) &gt; 0, _xlfn.XLOOKUP(ITSecondTable[[#This Row],[Tag]],StorageTable[Tag], StorageTable[In Storage - Count Total], "Err", 0, 1), 0)</f>
        <v>0</v>
      </c>
      <c r="B761" s="168">
        <f>_xlfn.LET(_xlpm.loc, ITEquipmentTable[Storage Location],
COUNTIFS(ITSecondTable[Tag], ITSecondTable[[#This Row],[Tag]], _xlpm.loc, "&lt;&gt;In Use", _xlpm.loc, "&lt;&gt;",  _xlpm.loc, "&lt;&gt;E-Waste", _xlpm.loc, "&lt;&gt;Virtual",  _xlpm.loc, "&lt;&gt;Assigned to Employee", _xlpm.loc, "&lt;&gt;Decommisioned", _xlpm.loc, "&lt;&gt;Missing")
)</f>
        <v>0</v>
      </c>
      <c r="C761" s="168">
        <f>_xlfn.LET(_xlpm.loc, ITEquipmentTable[Storage Location],
COUNTIFS(ITSecondTable[Tag], ITSecondTable[[#This Row],[Tag]], _xlpm.loc, "&lt;&gt;E-Waste", _xlpm.loc, "&lt;&gt;Virtual", _xlpm.loc, "&lt;&gt;Decommisioned")
)</f>
        <v>1</v>
      </c>
      <c r="D761" s="168">
        <f>_xlfn.LET(_xlpm.loc, ITEquipmentTable[Storage Location],
COUNTIFS(ITSecondTable[Tag], ITSecondTable[[#This Row],[Tag]], _xlpm.loc, "Missing")
)</f>
        <v>0</v>
      </c>
      <c r="E761" s="168">
        <f>_xlfn.LET(_xlpm.loc, ITEquipmentTable[Storage Location],
COUNTIFS(ITSecondTable[Tag], ITSecondTable[[#This Row],[Tag]], _xlpm.loc, "In Use") + COUNTIFS(ITSecondTable[Tag], ITSecondTable[[#This Row],[Tag]], _xlpm.loc, "Assigned to Employee")
)</f>
        <v>1</v>
      </c>
      <c r="F761" s="168">
        <f>_xlfn.LET(_xlpm.loc, ITEquipmentTable[Storage Location],
COUNTIFS(ITSecondTable[Tag], ITSecondTable[[#This Row],[Tag]], _xlpm.loc, "")
)</f>
        <v>0</v>
      </c>
      <c r="G761" s="168">
        <f>MAX(ITSecondTable[[#This Row],[SQty]] - ITSecondTable[[#This Row],[IQty]], 0)</f>
        <v>0</v>
      </c>
      <c r="H761" s="168">
        <f>MAX(ITSecondTable[[#This Row],[IQty]]-ITSecondTable[[#This Row],[SQty]], 0)</f>
        <v>0</v>
      </c>
      <c r="I761" s="151" t="str">
        <f>IFERROR(_xlfn.TEXTJOIN("~", TRUE, ITEquipmentTable[[#This Row],[Type]],ITEquipmentTable[[#This Row],[Brand]],ITEquipmentTable[[#This Row],[Model]]), "")</f>
        <v>Network Switch~HP~1810-8</v>
      </c>
      <c r="J761" s="151" t="b">
        <f xml:space="preserve"> _xlfn.IFNA(MATCH( ITSecondTable[[#This Row],[Tag]], StorageTable[Tag], 0)  &gt; -1, FALSE)</f>
        <v>0</v>
      </c>
      <c r="K761" s="168" t="b">
        <f>COUNTIFS(ITEquipmentTable[Serial], ITEquipmentTable[[#This Row],[Serial]], ITEquipmentTable[Serial], "&lt;&gt;N/A") &gt; 1</f>
        <v>0</v>
      </c>
      <c r="L761" s="168" t="b">
        <f>COUNTIFS(ITEquipmentTable[Name], ITEquipmentTable[[#This Row],[Name]], ITEquipmentTable[Name], "&lt;&gt;&lt;Unassigned&gt;",  ITEquipmentTable[Name], "&lt;&gt;N/A") &gt; 1</f>
        <v>0</v>
      </c>
      <c r="M761" s="168" t="b">
        <f>AND(COUNTIFS(ITEquipmentTable[IPv4 Address], ITEquipmentTable[[#This Row],[IPv4 Address]]) &gt; 1, ITEquipmentTable[[#This Row],[IPv4 Address]] &lt;&gt; "DHCP",  ITEquipmentTable[[#This Row],[IPv4 Address]] &lt;&gt; "N/A")</f>
        <v>0</v>
      </c>
    </row>
    <row r="762" spans="1:13" x14ac:dyDescent="0.2">
      <c r="A762" s="168">
        <f>IF(LEN(ITSecondTable[[#This Row],[Tag]]) &gt; 0, _xlfn.XLOOKUP(ITSecondTable[[#This Row],[Tag]],StorageTable[Tag], StorageTable[In Storage - Count Total], "Err", 0, 1), 0)</f>
        <v>4</v>
      </c>
      <c r="B762" s="168">
        <f>_xlfn.LET(_xlpm.loc, ITEquipmentTable[Storage Location],
COUNTIFS(ITSecondTable[Tag], ITSecondTable[[#This Row],[Tag]], _xlpm.loc, "&lt;&gt;In Use", _xlpm.loc, "&lt;&gt;",  _xlpm.loc, "&lt;&gt;E-Waste", _xlpm.loc, "&lt;&gt;Virtual",  _xlpm.loc, "&lt;&gt;Assigned to Employee", _xlpm.loc, "&lt;&gt;Decommisioned", _xlpm.loc, "&lt;&gt;Missing")
)</f>
        <v>3</v>
      </c>
      <c r="C762" s="168">
        <f>_xlfn.LET(_xlpm.loc, ITEquipmentTable[Storage Location],
COUNTIFS(ITSecondTable[Tag], ITSecondTable[[#This Row],[Tag]], _xlpm.loc, "&lt;&gt;E-Waste", _xlpm.loc, "&lt;&gt;Virtual", _xlpm.loc, "&lt;&gt;Decommisioned")
)</f>
        <v>6</v>
      </c>
      <c r="D762" s="168">
        <f>_xlfn.LET(_xlpm.loc, ITEquipmentTable[Storage Location],
COUNTIFS(ITSecondTable[Tag], ITSecondTable[[#This Row],[Tag]], _xlpm.loc, "Missing")
)</f>
        <v>0</v>
      </c>
      <c r="E762" s="168">
        <f>_xlfn.LET(_xlpm.loc, ITEquipmentTable[Storage Location],
COUNTIFS(ITSecondTable[Tag], ITSecondTable[[#This Row],[Tag]], _xlpm.loc, "In Use") + COUNTIFS(ITSecondTable[Tag], ITSecondTable[[#This Row],[Tag]], _xlpm.loc, "Assigned to Employee")
)</f>
        <v>2</v>
      </c>
      <c r="F762" s="168">
        <f>_xlfn.LET(_xlpm.loc, ITEquipmentTable[Storage Location],
COUNTIFS(ITSecondTable[Tag], ITSecondTable[[#This Row],[Tag]], _xlpm.loc, "")
)</f>
        <v>1</v>
      </c>
      <c r="G762" s="168">
        <f>MAX(ITSecondTable[[#This Row],[SQty]] - ITSecondTable[[#This Row],[IQty]], 0)</f>
        <v>0</v>
      </c>
      <c r="H762" s="168">
        <f>MAX(ITSecondTable[[#This Row],[IQty]]-ITSecondTable[[#This Row],[SQty]], 0)</f>
        <v>1</v>
      </c>
      <c r="I762" s="151" t="str">
        <f>IFERROR(_xlfn.TEXTJOIN("~", TRUE, ITEquipmentTable[[#This Row],[Type]],ITEquipmentTable[[#This Row],[Brand]],ITEquipmentTable[[#This Row],[Model]]), "")</f>
        <v>Printer~Intermec~PM43</v>
      </c>
      <c r="J762" s="151" t="b">
        <f xml:space="preserve"> _xlfn.IFNA(MATCH( ITSecondTable[[#This Row],[Tag]], StorageTable[Tag], 0)  &gt; -1, FALSE)</f>
        <v>0</v>
      </c>
      <c r="K762" s="168" t="b">
        <f>COUNTIFS(ITEquipmentTable[Serial], ITEquipmentTable[[#This Row],[Serial]], ITEquipmentTable[Serial], "&lt;&gt;N/A") &gt; 1</f>
        <v>0</v>
      </c>
      <c r="L762" s="168" t="b">
        <f>COUNTIFS(ITEquipmentTable[Name], ITEquipmentTable[[#This Row],[Name]], ITEquipmentTable[Name], "&lt;&gt;&lt;Unassigned&gt;",  ITEquipmentTable[Name], "&lt;&gt;N/A") &gt; 1</f>
        <v>0</v>
      </c>
      <c r="M762" s="168" t="b">
        <f>AND(COUNTIFS(ITEquipmentTable[IPv4 Address], ITEquipmentTable[[#This Row],[IPv4 Address]]) &gt; 1, ITEquipmentTable[[#This Row],[IPv4 Address]] &lt;&gt; "DHCP",  ITEquipmentTable[[#This Row],[IPv4 Address]] &lt;&gt; "N/A")</f>
        <v>0</v>
      </c>
    </row>
    <row r="763" spans="1:13" x14ac:dyDescent="0.2">
      <c r="A763" s="168">
        <f>IF(LEN(ITSecondTable[[#This Row],[Tag]]) &gt; 0, _xlfn.XLOOKUP(ITSecondTable[[#This Row],[Tag]],StorageTable[Tag], StorageTable[In Storage - Count Total], "Err", 0, 1), 0)</f>
        <v>4</v>
      </c>
      <c r="B763" s="168">
        <f>_xlfn.LET(_xlpm.loc, ITEquipmentTable[Storage Location],
COUNTIFS(ITSecondTable[Tag], ITSecondTable[[#This Row],[Tag]], _xlpm.loc, "&lt;&gt;In Use", _xlpm.loc, "&lt;&gt;",  _xlpm.loc, "&lt;&gt;E-Waste", _xlpm.loc, "&lt;&gt;Virtual",  _xlpm.loc, "&lt;&gt;Assigned to Employee", _xlpm.loc, "&lt;&gt;Decommisioned", _xlpm.loc, "&lt;&gt;Missing")
)</f>
        <v>3</v>
      </c>
      <c r="C763" s="168">
        <f>_xlfn.LET(_xlpm.loc, ITEquipmentTable[Storage Location],
COUNTIFS(ITSecondTable[Tag], ITSecondTable[[#This Row],[Tag]], _xlpm.loc, "&lt;&gt;E-Waste", _xlpm.loc, "&lt;&gt;Virtual", _xlpm.loc, "&lt;&gt;Decommisioned")
)</f>
        <v>6</v>
      </c>
      <c r="D763" s="168">
        <f>_xlfn.LET(_xlpm.loc, ITEquipmentTable[Storage Location],
COUNTIFS(ITSecondTable[Tag], ITSecondTable[[#This Row],[Tag]], _xlpm.loc, "Missing")
)</f>
        <v>0</v>
      </c>
      <c r="E763" s="168">
        <f>_xlfn.LET(_xlpm.loc, ITEquipmentTable[Storage Location],
COUNTIFS(ITSecondTable[Tag], ITSecondTable[[#This Row],[Tag]], _xlpm.loc, "In Use") + COUNTIFS(ITSecondTable[Tag], ITSecondTable[[#This Row],[Tag]], _xlpm.loc, "Assigned to Employee")
)</f>
        <v>2</v>
      </c>
      <c r="F763" s="168">
        <f>_xlfn.LET(_xlpm.loc, ITEquipmentTable[Storage Location],
COUNTIFS(ITSecondTable[Tag], ITSecondTable[[#This Row],[Tag]], _xlpm.loc, "")
)</f>
        <v>1</v>
      </c>
      <c r="G763" s="168">
        <f>MAX(ITSecondTable[[#This Row],[SQty]] - ITSecondTable[[#This Row],[IQty]], 0)</f>
        <v>0</v>
      </c>
      <c r="H763" s="168">
        <f>MAX(ITSecondTable[[#This Row],[IQty]]-ITSecondTable[[#This Row],[SQty]], 0)</f>
        <v>1</v>
      </c>
      <c r="I763" s="151" t="str">
        <f>IFERROR(_xlfn.TEXTJOIN("~", TRUE, ITEquipmentTable[[#This Row],[Type]],ITEquipmentTable[[#This Row],[Brand]],ITEquipmentTable[[#This Row],[Model]]), "")</f>
        <v>Printer~Intermec~PM43</v>
      </c>
      <c r="J763" s="151" t="b">
        <f xml:space="preserve"> _xlfn.IFNA(MATCH( ITSecondTable[[#This Row],[Tag]], StorageTable[Tag], 0)  &gt; -1, FALSE)</f>
        <v>0</v>
      </c>
      <c r="K763" s="168" t="b">
        <f>COUNTIFS(ITEquipmentTable[Serial], ITEquipmentTable[[#This Row],[Serial]], ITEquipmentTable[Serial], "&lt;&gt;N/A") &gt; 1</f>
        <v>0</v>
      </c>
      <c r="L763" s="168" t="b">
        <f>COUNTIFS(ITEquipmentTable[Name], ITEquipmentTable[[#This Row],[Name]], ITEquipmentTable[Name], "&lt;&gt;&lt;Unassigned&gt;",  ITEquipmentTable[Name], "&lt;&gt;N/A") &gt; 1</f>
        <v>0</v>
      </c>
      <c r="M763" s="168" t="b">
        <f>AND(COUNTIFS(ITEquipmentTable[IPv4 Address], ITEquipmentTable[[#This Row],[IPv4 Address]]) &gt; 1, ITEquipmentTable[[#This Row],[IPv4 Address]] &lt;&gt; "DHCP",  ITEquipmentTable[[#This Row],[IPv4 Address]] &lt;&gt; "N/A")</f>
        <v>0</v>
      </c>
    </row>
    <row r="764" spans="1:13" x14ac:dyDescent="0.2">
      <c r="A764" s="168">
        <f>IF(LEN(ITSecondTable[[#This Row],[Tag]]) &gt; 0, _xlfn.XLOOKUP(ITSecondTable[[#This Row],[Tag]],StorageTable[Tag], StorageTable[In Storage - Count Total], "Err", 0, 1), 0)</f>
        <v>0</v>
      </c>
      <c r="B764" s="168">
        <f>_xlfn.LET(_xlpm.loc, ITEquipmentTable[Storage Location],
COUNTIFS(ITSecondTable[Tag], ITSecondTable[[#This Row],[Tag]], _xlpm.loc, "&lt;&gt;In Use", _xlpm.loc, "&lt;&gt;",  _xlpm.loc, "&lt;&gt;E-Waste", _xlpm.loc, "&lt;&gt;Virtual",  _xlpm.loc, "&lt;&gt;Assigned to Employee", _xlpm.loc, "&lt;&gt;Decommisioned", _xlpm.loc, "&lt;&gt;Missing")
)</f>
        <v>0</v>
      </c>
      <c r="C764" s="168">
        <f>_xlfn.LET(_xlpm.loc, ITEquipmentTable[Storage Location],
COUNTIFS(ITSecondTable[Tag], ITSecondTable[[#This Row],[Tag]], _xlpm.loc, "&lt;&gt;E-Waste", _xlpm.loc, "&lt;&gt;Virtual", _xlpm.loc, "&lt;&gt;Decommisioned")
)</f>
        <v>1</v>
      </c>
      <c r="D764" s="168">
        <f>_xlfn.LET(_xlpm.loc, ITEquipmentTable[Storage Location],
COUNTIFS(ITSecondTable[Tag], ITSecondTable[[#This Row],[Tag]], _xlpm.loc, "Missing")
)</f>
        <v>0</v>
      </c>
      <c r="E764" s="168">
        <f>_xlfn.LET(_xlpm.loc, ITEquipmentTable[Storage Location],
COUNTIFS(ITSecondTable[Tag], ITSecondTable[[#This Row],[Tag]], _xlpm.loc, "In Use") + COUNTIFS(ITSecondTable[Tag], ITSecondTable[[#This Row],[Tag]], _xlpm.loc, "Assigned to Employee")
)</f>
        <v>1</v>
      </c>
      <c r="F764" s="168">
        <f>_xlfn.LET(_xlpm.loc, ITEquipmentTable[Storage Location],
COUNTIFS(ITSecondTable[Tag], ITSecondTable[[#This Row],[Tag]], _xlpm.loc, "")
)</f>
        <v>0</v>
      </c>
      <c r="G764" s="168">
        <f>MAX(ITSecondTable[[#This Row],[SQty]] - ITSecondTable[[#This Row],[IQty]], 0)</f>
        <v>0</v>
      </c>
      <c r="H764" s="168">
        <f>MAX(ITSecondTable[[#This Row],[IQty]]-ITSecondTable[[#This Row],[SQty]], 0)</f>
        <v>0</v>
      </c>
      <c r="I764" s="151" t="str">
        <f>IFERROR(_xlfn.TEXTJOIN("~", TRUE, ITEquipmentTable[[#This Row],[Type]],ITEquipmentTable[[#This Row],[Brand]],ITEquipmentTable[[#This Row],[Model]]), "")</f>
        <v>Printer~HP~Color LaserJet Pro MFP 4301fdn</v>
      </c>
      <c r="J764" s="151" t="b">
        <f xml:space="preserve"> _xlfn.IFNA(MATCH( ITSecondTable[[#This Row],[Tag]], StorageTable[Tag], 0)  &gt; -1, FALSE)</f>
        <v>0</v>
      </c>
      <c r="K764" s="168" t="b">
        <f>COUNTIFS(ITEquipmentTable[Serial], ITEquipmentTable[[#This Row],[Serial]], ITEquipmentTable[Serial], "&lt;&gt;N/A") &gt; 1</f>
        <v>0</v>
      </c>
      <c r="L764" s="168" t="b">
        <f>COUNTIFS(ITEquipmentTable[Name], ITEquipmentTable[[#This Row],[Name]], ITEquipmentTable[Name], "&lt;&gt;&lt;Unassigned&gt;",  ITEquipmentTable[Name], "&lt;&gt;N/A") &gt; 1</f>
        <v>0</v>
      </c>
      <c r="M764" s="168" t="b">
        <f>AND(COUNTIFS(ITEquipmentTable[IPv4 Address], ITEquipmentTable[[#This Row],[IPv4 Address]]) &gt; 1, ITEquipmentTable[[#This Row],[IPv4 Address]] &lt;&gt; "DHCP",  ITEquipmentTable[[#This Row],[IPv4 Address]] &lt;&gt; "N/A")</f>
        <v>0</v>
      </c>
    </row>
    <row r="765" spans="1:13" x14ac:dyDescent="0.2">
      <c r="A765" s="168">
        <f>IF(LEN(ITSecondTable[[#This Row],[Tag]]) &gt; 0, _xlfn.XLOOKUP(ITSecondTable[[#This Row],[Tag]],StorageTable[Tag], StorageTable[In Storage - Count Total], "Err", 0, 1), 0)</f>
        <v>0</v>
      </c>
      <c r="B765" s="168">
        <f>_xlfn.LET(_xlpm.loc, ITEquipmentTable[Storage Location],
COUNTIFS(ITSecondTable[Tag], ITSecondTable[[#This Row],[Tag]], _xlpm.loc, "&lt;&gt;In Use", _xlpm.loc, "&lt;&gt;",  _xlpm.loc, "&lt;&gt;E-Waste", _xlpm.loc, "&lt;&gt;Virtual",  _xlpm.loc, "&lt;&gt;Assigned to Employee", _xlpm.loc, "&lt;&gt;Decommisioned", _xlpm.loc, "&lt;&gt;Missing")
)</f>
        <v>2</v>
      </c>
      <c r="C765" s="168">
        <f>_xlfn.LET(_xlpm.loc, ITEquipmentTable[Storage Location],
COUNTIFS(ITSecondTable[Tag], ITSecondTable[[#This Row],[Tag]], _xlpm.loc, "&lt;&gt;E-Waste", _xlpm.loc, "&lt;&gt;Virtual", _xlpm.loc, "&lt;&gt;Decommisioned")
)</f>
        <v>11</v>
      </c>
      <c r="D765" s="168">
        <f>_xlfn.LET(_xlpm.loc, ITEquipmentTable[Storage Location],
COUNTIFS(ITSecondTable[Tag], ITSecondTable[[#This Row],[Tag]], _xlpm.loc, "Missing")
)</f>
        <v>0</v>
      </c>
      <c r="E765" s="168">
        <f>_xlfn.LET(_xlpm.loc, ITEquipmentTable[Storage Location],
COUNTIFS(ITSecondTable[Tag], ITSecondTable[[#This Row],[Tag]], _xlpm.loc, "In Use") + COUNTIFS(ITSecondTable[Tag], ITSecondTable[[#This Row],[Tag]], _xlpm.loc, "Assigned to Employee")
)</f>
        <v>6</v>
      </c>
      <c r="F765" s="168">
        <f>_xlfn.LET(_xlpm.loc, ITEquipmentTable[Storage Location],
COUNTIFS(ITSecondTable[Tag], ITSecondTable[[#This Row],[Tag]], _xlpm.loc, "")
)</f>
        <v>3</v>
      </c>
      <c r="G765" s="168">
        <f>MAX(ITSecondTable[[#This Row],[SQty]] - ITSecondTable[[#This Row],[IQty]], 0)</f>
        <v>2</v>
      </c>
      <c r="H765" s="168">
        <f>MAX(ITSecondTable[[#This Row],[IQty]]-ITSecondTable[[#This Row],[SQty]], 0)</f>
        <v>0</v>
      </c>
      <c r="I765" s="151" t="str">
        <f>IFERROR(_xlfn.TEXTJOIN("~", TRUE, ITEquipmentTable[[#This Row],[Type]],ITEquipmentTable[[#This Row],[Brand]],ITEquipmentTable[[#This Row],[Model]]), "")</f>
        <v>Desktop~Dell</v>
      </c>
      <c r="J765" s="151" t="b">
        <f xml:space="preserve"> _xlfn.IFNA(MATCH( ITSecondTable[[#This Row],[Tag]], StorageTable[Tag], 0)  &gt; -1, FALSE)</f>
        <v>0</v>
      </c>
      <c r="K765" s="168" t="b">
        <f>COUNTIFS(ITEquipmentTable[Serial], ITEquipmentTable[[#This Row],[Serial]], ITEquipmentTable[Serial], "&lt;&gt;N/A") &gt; 1</f>
        <v>0</v>
      </c>
      <c r="L765" s="168" t="b">
        <f>COUNTIFS(ITEquipmentTable[Name], ITEquipmentTable[[#This Row],[Name]], ITEquipmentTable[Name], "&lt;&gt;&lt;Unassigned&gt;",  ITEquipmentTable[Name], "&lt;&gt;N/A") &gt; 1</f>
        <v>0</v>
      </c>
      <c r="M765" s="168" t="b">
        <f>AND(COUNTIFS(ITEquipmentTable[IPv4 Address], ITEquipmentTable[[#This Row],[IPv4 Address]]) &gt; 1, ITEquipmentTable[[#This Row],[IPv4 Address]] &lt;&gt; "DHCP",  ITEquipmentTable[[#This Row],[IPv4 Address]] &lt;&gt; "N/A")</f>
        <v>0</v>
      </c>
    </row>
    <row r="766" spans="1:13" x14ac:dyDescent="0.2">
      <c r="A766" s="168">
        <f>IF(LEN(ITSecondTable[[#This Row],[Tag]]) &gt; 0, _xlfn.XLOOKUP(ITSecondTable[[#This Row],[Tag]],StorageTable[Tag], StorageTable[In Storage - Count Total], "Err", 0, 1), 0)</f>
        <v>10</v>
      </c>
      <c r="B766" s="168">
        <f>_xlfn.LET(_xlpm.loc, ITEquipmentTable[Storage Location],
COUNTIFS(ITSecondTable[Tag], ITSecondTable[[#This Row],[Tag]], _xlpm.loc, "&lt;&gt;In Use", _xlpm.loc, "&lt;&gt;",  _xlpm.loc, "&lt;&gt;E-Waste", _xlpm.loc, "&lt;&gt;Virtual",  _xlpm.loc, "&lt;&gt;Assigned to Employee", _xlpm.loc, "&lt;&gt;Decommisioned", _xlpm.loc, "&lt;&gt;Missing")
)</f>
        <v>16</v>
      </c>
      <c r="C766" s="168">
        <f>_xlfn.LET(_xlpm.loc, ITEquipmentTable[Storage Location],
COUNTIFS(ITSecondTable[Tag], ITSecondTable[[#This Row],[Tag]], _xlpm.loc, "&lt;&gt;E-Waste", _xlpm.loc, "&lt;&gt;Virtual", _xlpm.loc, "&lt;&gt;Decommisioned")
)</f>
        <v>48</v>
      </c>
      <c r="D766" s="168">
        <f>_xlfn.LET(_xlpm.loc, ITEquipmentTable[Storage Location],
COUNTIFS(ITSecondTable[Tag], ITSecondTable[[#This Row],[Tag]], _xlpm.loc, "Missing")
)</f>
        <v>0</v>
      </c>
      <c r="E766" s="168">
        <f>_xlfn.LET(_xlpm.loc, ITEquipmentTable[Storage Location],
COUNTIFS(ITSecondTable[Tag], ITSecondTable[[#This Row],[Tag]], _xlpm.loc, "In Use") + COUNTIFS(ITSecondTable[Tag], ITSecondTable[[#This Row],[Tag]], _xlpm.loc, "Assigned to Employee")
)</f>
        <v>29</v>
      </c>
      <c r="F766" s="168">
        <f>_xlfn.LET(_xlpm.loc, ITEquipmentTable[Storage Location],
COUNTIFS(ITSecondTable[Tag], ITSecondTable[[#This Row],[Tag]], _xlpm.loc, "")
)</f>
        <v>3</v>
      </c>
      <c r="G766" s="168">
        <f>MAX(ITSecondTable[[#This Row],[SQty]] - ITSecondTable[[#This Row],[IQty]], 0)</f>
        <v>6</v>
      </c>
      <c r="H766" s="168">
        <f>MAX(ITSecondTable[[#This Row],[IQty]]-ITSecondTable[[#This Row],[SQty]], 0)</f>
        <v>0</v>
      </c>
      <c r="I766" s="151" t="str">
        <f>IFERROR(_xlfn.TEXTJOIN("~", TRUE, ITEquipmentTable[[#This Row],[Type]],ITEquipmentTable[[#This Row],[Brand]],ITEquipmentTable[[#This Row],[Model]]), "")</f>
        <v>Desktop~HP~HP ProDesk 600 G5 DM</v>
      </c>
      <c r="J766" s="151" t="b">
        <f xml:space="preserve"> _xlfn.IFNA(MATCH( ITSecondTable[[#This Row],[Tag]], StorageTable[Tag], 0)  &gt; -1, FALSE)</f>
        <v>0</v>
      </c>
      <c r="K766" s="168" t="b">
        <f>COUNTIFS(ITEquipmentTable[Serial], ITEquipmentTable[[#This Row],[Serial]], ITEquipmentTable[Serial], "&lt;&gt;N/A") &gt; 1</f>
        <v>0</v>
      </c>
      <c r="L766" s="168" t="b">
        <f>COUNTIFS(ITEquipmentTable[Name], ITEquipmentTable[[#This Row],[Name]], ITEquipmentTable[Name], "&lt;&gt;&lt;Unassigned&gt;",  ITEquipmentTable[Name], "&lt;&gt;N/A") &gt; 1</f>
        <v>0</v>
      </c>
      <c r="M766" s="168" t="b">
        <f>AND(COUNTIFS(ITEquipmentTable[IPv4 Address], ITEquipmentTable[[#This Row],[IPv4 Address]]) &gt; 1, ITEquipmentTable[[#This Row],[IPv4 Address]] &lt;&gt; "DHCP",  ITEquipmentTable[[#This Row],[IPv4 Address]] &lt;&gt; "N/A")</f>
        <v>0</v>
      </c>
    </row>
    <row r="767" spans="1:13" x14ac:dyDescent="0.2">
      <c r="A767" s="168">
        <f>IF(LEN(ITSecondTable[[#This Row],[Tag]]) &gt; 0, _xlfn.XLOOKUP(ITSecondTable[[#This Row],[Tag]],StorageTable[Tag], StorageTable[In Storage - Count Total], "Err", 0, 1), 0)</f>
        <v>5</v>
      </c>
      <c r="B767" s="168">
        <f>_xlfn.LET(_xlpm.loc, ITEquipmentTable[Storage Location],
COUNTIFS(ITSecondTable[Tag], ITSecondTable[[#This Row],[Tag]], _xlpm.loc, "&lt;&gt;In Use", _xlpm.loc, "&lt;&gt;",  _xlpm.loc, "&lt;&gt;E-Waste", _xlpm.loc, "&lt;&gt;Virtual",  _xlpm.loc, "&lt;&gt;Assigned to Employee", _xlpm.loc, "&lt;&gt;Decommisioned", _xlpm.loc, "&lt;&gt;Missing")
)</f>
        <v>4</v>
      </c>
      <c r="C767" s="168">
        <f>_xlfn.LET(_xlpm.loc, ITEquipmentTable[Storage Location],
COUNTIFS(ITSecondTable[Tag], ITSecondTable[[#This Row],[Tag]], _xlpm.loc, "&lt;&gt;E-Waste", _xlpm.loc, "&lt;&gt;Virtual", _xlpm.loc, "&lt;&gt;Decommisioned")
)</f>
        <v>4</v>
      </c>
      <c r="D767" s="168">
        <f>_xlfn.LET(_xlpm.loc, ITEquipmentTable[Storage Location],
COUNTIFS(ITSecondTable[Tag], ITSecondTable[[#This Row],[Tag]], _xlpm.loc, "Missing")
)</f>
        <v>0</v>
      </c>
      <c r="E767" s="168">
        <f>_xlfn.LET(_xlpm.loc, ITEquipmentTable[Storage Location],
COUNTIFS(ITSecondTable[Tag], ITSecondTable[[#This Row],[Tag]], _xlpm.loc, "In Use") + COUNTIFS(ITSecondTable[Tag], ITSecondTable[[#This Row],[Tag]], _xlpm.loc, "Assigned to Employee")
)</f>
        <v>0</v>
      </c>
      <c r="F767" s="168">
        <f>_xlfn.LET(_xlpm.loc, ITEquipmentTable[Storage Location],
COUNTIFS(ITSecondTable[Tag], ITSecondTable[[#This Row],[Tag]], _xlpm.loc, "")
)</f>
        <v>0</v>
      </c>
      <c r="G767" s="168">
        <f>MAX(ITSecondTable[[#This Row],[SQty]] - ITSecondTable[[#This Row],[IQty]], 0)</f>
        <v>0</v>
      </c>
      <c r="H767" s="168">
        <f>MAX(ITSecondTable[[#This Row],[IQty]]-ITSecondTable[[#This Row],[SQty]], 0)</f>
        <v>1</v>
      </c>
      <c r="I767" s="151" t="str">
        <f>IFERROR(_xlfn.TEXTJOIN("~", TRUE, ITEquipmentTable[[#This Row],[Type]],ITEquipmentTable[[#This Row],[Brand]],ITEquipmentTable[[#This Row],[Model]]), "")</f>
        <v>Desktop~HP~HP Z2 Mini G5 Workstation</v>
      </c>
      <c r="J767" s="151" t="b">
        <f xml:space="preserve"> _xlfn.IFNA(MATCH( ITSecondTable[[#This Row],[Tag]], StorageTable[Tag], 0)  &gt; -1, FALSE)</f>
        <v>0</v>
      </c>
      <c r="K767" s="168" t="b">
        <f>COUNTIFS(ITEquipmentTable[Serial], ITEquipmentTable[[#This Row],[Serial]], ITEquipmentTable[Serial], "&lt;&gt;N/A") &gt; 1</f>
        <v>0</v>
      </c>
      <c r="L767" s="168" t="b">
        <f>COUNTIFS(ITEquipmentTable[Name], ITEquipmentTable[[#This Row],[Name]], ITEquipmentTable[Name], "&lt;&gt;&lt;Unassigned&gt;",  ITEquipmentTable[Name], "&lt;&gt;N/A") &gt; 1</f>
        <v>0</v>
      </c>
      <c r="M767" s="168" t="b">
        <f>AND(COUNTIFS(ITEquipmentTable[IPv4 Address], ITEquipmentTable[[#This Row],[IPv4 Address]]) &gt; 1, ITEquipmentTable[[#This Row],[IPv4 Address]] &lt;&gt; "DHCP",  ITEquipmentTable[[#This Row],[IPv4 Address]] &lt;&gt; "N/A")</f>
        <v>0</v>
      </c>
    </row>
    <row r="768" spans="1:13" x14ac:dyDescent="0.2">
      <c r="A768" s="168">
        <f>IF(LEN(ITSecondTable[[#This Row],[Tag]]) &gt; 0, _xlfn.XLOOKUP(ITSecondTable[[#This Row],[Tag]],StorageTable[Tag], StorageTable[In Storage - Count Total], "Err", 0, 1), 0)</f>
        <v>5</v>
      </c>
      <c r="B768" s="168">
        <f>_xlfn.LET(_xlpm.loc, ITEquipmentTable[Storage Location],
COUNTIFS(ITSecondTable[Tag], ITSecondTable[[#This Row],[Tag]], _xlpm.loc, "&lt;&gt;In Use", _xlpm.loc, "&lt;&gt;",  _xlpm.loc, "&lt;&gt;E-Waste", _xlpm.loc, "&lt;&gt;Virtual",  _xlpm.loc, "&lt;&gt;Assigned to Employee", _xlpm.loc, "&lt;&gt;Decommisioned", _xlpm.loc, "&lt;&gt;Missing")
)</f>
        <v>4</v>
      </c>
      <c r="C768" s="168">
        <f>_xlfn.LET(_xlpm.loc, ITEquipmentTable[Storage Location],
COUNTIFS(ITSecondTable[Tag], ITSecondTable[[#This Row],[Tag]], _xlpm.loc, "&lt;&gt;E-Waste", _xlpm.loc, "&lt;&gt;Virtual", _xlpm.loc, "&lt;&gt;Decommisioned")
)</f>
        <v>4</v>
      </c>
      <c r="D768" s="168">
        <f>_xlfn.LET(_xlpm.loc, ITEquipmentTable[Storage Location],
COUNTIFS(ITSecondTable[Tag], ITSecondTable[[#This Row],[Tag]], _xlpm.loc, "Missing")
)</f>
        <v>0</v>
      </c>
      <c r="E768" s="168">
        <f>_xlfn.LET(_xlpm.loc, ITEquipmentTable[Storage Location],
COUNTIFS(ITSecondTable[Tag], ITSecondTable[[#This Row],[Tag]], _xlpm.loc, "In Use") + COUNTIFS(ITSecondTable[Tag], ITSecondTable[[#This Row],[Tag]], _xlpm.loc, "Assigned to Employee")
)</f>
        <v>0</v>
      </c>
      <c r="F768" s="168">
        <f>_xlfn.LET(_xlpm.loc, ITEquipmentTable[Storage Location],
COUNTIFS(ITSecondTable[Tag], ITSecondTable[[#This Row],[Tag]], _xlpm.loc, "")
)</f>
        <v>0</v>
      </c>
      <c r="G768" s="168">
        <f>MAX(ITSecondTable[[#This Row],[SQty]] - ITSecondTable[[#This Row],[IQty]], 0)</f>
        <v>0</v>
      </c>
      <c r="H768" s="168">
        <f>MAX(ITSecondTable[[#This Row],[IQty]]-ITSecondTable[[#This Row],[SQty]], 0)</f>
        <v>1</v>
      </c>
      <c r="I768" s="151" t="str">
        <f>IFERROR(_xlfn.TEXTJOIN("~", TRUE, ITEquipmentTable[[#This Row],[Type]],ITEquipmentTable[[#This Row],[Brand]],ITEquipmentTable[[#This Row],[Model]]), "")</f>
        <v>Desktop~HP~HP Z2 Mini G5 Workstation</v>
      </c>
      <c r="J768" s="151" t="b">
        <f xml:space="preserve"> _xlfn.IFNA(MATCH( ITSecondTable[[#This Row],[Tag]], StorageTable[Tag], 0)  &gt; -1, FALSE)</f>
        <v>0</v>
      </c>
      <c r="K768" s="168" t="b">
        <f>COUNTIFS(ITEquipmentTable[Serial], ITEquipmentTable[[#This Row],[Serial]], ITEquipmentTable[Serial], "&lt;&gt;N/A") &gt; 1</f>
        <v>0</v>
      </c>
      <c r="L768" s="168" t="b">
        <f>COUNTIFS(ITEquipmentTable[Name], ITEquipmentTable[[#This Row],[Name]], ITEquipmentTable[Name], "&lt;&gt;&lt;Unassigned&gt;",  ITEquipmentTable[Name], "&lt;&gt;N/A") &gt; 1</f>
        <v>0</v>
      </c>
      <c r="M768" s="168" t="b">
        <f>AND(COUNTIFS(ITEquipmentTable[IPv4 Address], ITEquipmentTable[[#This Row],[IPv4 Address]]) &gt; 1, ITEquipmentTable[[#This Row],[IPv4 Address]] &lt;&gt; "DHCP",  ITEquipmentTable[[#This Row],[IPv4 Address]] &lt;&gt; "N/A")</f>
        <v>0</v>
      </c>
    </row>
    <row r="769" spans="1:13" x14ac:dyDescent="0.2">
      <c r="A769" s="168">
        <f>IF(LEN(ITSecondTable[[#This Row],[Tag]]) &gt; 0, _xlfn.XLOOKUP(ITSecondTable[[#This Row],[Tag]],StorageTable[Tag], StorageTable[In Storage - Count Total], "Err", 0, 1), 0)</f>
        <v>5</v>
      </c>
      <c r="B769" s="168">
        <f>_xlfn.LET(_xlpm.loc, ITEquipmentTable[Storage Location],
COUNTIFS(ITSecondTable[Tag], ITSecondTable[[#This Row],[Tag]], _xlpm.loc, "&lt;&gt;In Use", _xlpm.loc, "&lt;&gt;",  _xlpm.loc, "&lt;&gt;E-Waste", _xlpm.loc, "&lt;&gt;Virtual",  _xlpm.loc, "&lt;&gt;Assigned to Employee", _xlpm.loc, "&lt;&gt;Decommisioned", _xlpm.loc, "&lt;&gt;Missing")
)</f>
        <v>4</v>
      </c>
      <c r="C769" s="168">
        <f>_xlfn.LET(_xlpm.loc, ITEquipmentTable[Storage Location],
COUNTIFS(ITSecondTable[Tag], ITSecondTable[[#This Row],[Tag]], _xlpm.loc, "&lt;&gt;E-Waste", _xlpm.loc, "&lt;&gt;Virtual", _xlpm.loc, "&lt;&gt;Decommisioned")
)</f>
        <v>4</v>
      </c>
      <c r="D769" s="168">
        <f>_xlfn.LET(_xlpm.loc, ITEquipmentTable[Storage Location],
COUNTIFS(ITSecondTable[Tag], ITSecondTable[[#This Row],[Tag]], _xlpm.loc, "Missing")
)</f>
        <v>0</v>
      </c>
      <c r="E769" s="168">
        <f>_xlfn.LET(_xlpm.loc, ITEquipmentTable[Storage Location],
COUNTIFS(ITSecondTable[Tag], ITSecondTable[[#This Row],[Tag]], _xlpm.loc, "In Use") + COUNTIFS(ITSecondTable[Tag], ITSecondTable[[#This Row],[Tag]], _xlpm.loc, "Assigned to Employee")
)</f>
        <v>0</v>
      </c>
      <c r="F769" s="168">
        <f>_xlfn.LET(_xlpm.loc, ITEquipmentTable[Storage Location],
COUNTIFS(ITSecondTable[Tag], ITSecondTable[[#This Row],[Tag]], _xlpm.loc, "")
)</f>
        <v>0</v>
      </c>
      <c r="G769" s="168">
        <f>MAX(ITSecondTable[[#This Row],[SQty]] - ITSecondTable[[#This Row],[IQty]], 0)</f>
        <v>0</v>
      </c>
      <c r="H769" s="168">
        <f>MAX(ITSecondTable[[#This Row],[IQty]]-ITSecondTable[[#This Row],[SQty]], 0)</f>
        <v>1</v>
      </c>
      <c r="I769" s="151" t="str">
        <f>IFERROR(_xlfn.TEXTJOIN("~", TRUE, ITEquipmentTable[[#This Row],[Type]],ITEquipmentTable[[#This Row],[Brand]],ITEquipmentTable[[#This Row],[Model]]), "")</f>
        <v>Desktop~HP~HP Z2 Mini G5 Workstation</v>
      </c>
      <c r="J769" s="151" t="b">
        <f xml:space="preserve"> _xlfn.IFNA(MATCH( ITSecondTable[[#This Row],[Tag]], StorageTable[Tag], 0)  &gt; -1, FALSE)</f>
        <v>0</v>
      </c>
      <c r="K769" s="168" t="b">
        <f>COUNTIFS(ITEquipmentTable[Serial], ITEquipmentTable[[#This Row],[Serial]], ITEquipmentTable[Serial], "&lt;&gt;N/A") &gt; 1</f>
        <v>0</v>
      </c>
      <c r="L769" s="168" t="b">
        <f>COUNTIFS(ITEquipmentTable[Name], ITEquipmentTable[[#This Row],[Name]], ITEquipmentTable[Name], "&lt;&gt;&lt;Unassigned&gt;",  ITEquipmentTable[Name], "&lt;&gt;N/A") &gt; 1</f>
        <v>0</v>
      </c>
      <c r="M769" s="168" t="b">
        <f>AND(COUNTIFS(ITEquipmentTable[IPv4 Address], ITEquipmentTable[[#This Row],[IPv4 Address]]) &gt; 1, ITEquipmentTable[[#This Row],[IPv4 Address]] &lt;&gt; "DHCP",  ITEquipmentTable[[#This Row],[IPv4 Address]] &lt;&gt; "N/A")</f>
        <v>0</v>
      </c>
    </row>
    <row r="770" spans="1:13" x14ac:dyDescent="0.2">
      <c r="A770" s="168">
        <f>IF(LEN(ITSecondTable[[#This Row],[Tag]]) &gt; 0, _xlfn.XLOOKUP(ITSecondTable[[#This Row],[Tag]],StorageTable[Tag], StorageTable[In Storage - Count Total], "Err", 0, 1), 0)</f>
        <v>0</v>
      </c>
      <c r="B770" s="168">
        <f>_xlfn.LET(_xlpm.loc, ITEquipmentTable[Storage Location],
COUNTIFS(ITSecondTable[Tag], ITSecondTable[[#This Row],[Tag]], _xlpm.loc, "&lt;&gt;In Use", _xlpm.loc, "&lt;&gt;",  _xlpm.loc, "&lt;&gt;E-Waste", _xlpm.loc, "&lt;&gt;Virtual",  _xlpm.loc, "&lt;&gt;Assigned to Employee", _xlpm.loc, "&lt;&gt;Decommisioned", _xlpm.loc, "&lt;&gt;Missing")
)</f>
        <v>2</v>
      </c>
      <c r="C770" s="168">
        <f>_xlfn.LET(_xlpm.loc, ITEquipmentTable[Storage Location],
COUNTIFS(ITSecondTable[Tag], ITSecondTable[[#This Row],[Tag]], _xlpm.loc, "&lt;&gt;E-Waste", _xlpm.loc, "&lt;&gt;Virtual", _xlpm.loc, "&lt;&gt;Decommisioned")
)</f>
        <v>27</v>
      </c>
      <c r="D770" s="168">
        <f>_xlfn.LET(_xlpm.loc, ITEquipmentTable[Storage Location],
COUNTIFS(ITSecondTable[Tag], ITSecondTable[[#This Row],[Tag]], _xlpm.loc, "Missing")
)</f>
        <v>0</v>
      </c>
      <c r="E770" s="168">
        <f>_xlfn.LET(_xlpm.loc, ITEquipmentTable[Storage Location],
COUNTIFS(ITSecondTable[Tag], ITSecondTable[[#This Row],[Tag]], _xlpm.loc, "In Use") + COUNTIFS(ITSecondTable[Tag], ITSecondTable[[#This Row],[Tag]], _xlpm.loc, "Assigned to Employee")
)</f>
        <v>20</v>
      </c>
      <c r="F770" s="168">
        <f>_xlfn.LET(_xlpm.loc, ITEquipmentTable[Storage Location],
COUNTIFS(ITSecondTable[Tag], ITSecondTable[[#This Row],[Tag]], _xlpm.loc, "")
)</f>
        <v>5</v>
      </c>
      <c r="G770" s="168">
        <f>MAX(ITSecondTable[[#This Row],[SQty]] - ITSecondTable[[#This Row],[IQty]], 0)</f>
        <v>2</v>
      </c>
      <c r="H770" s="168">
        <f>MAX(ITSecondTable[[#This Row],[IQty]]-ITSecondTable[[#This Row],[SQty]], 0)</f>
        <v>0</v>
      </c>
      <c r="I770" s="151" t="str">
        <f>IFERROR(_xlfn.TEXTJOIN("~", TRUE, ITEquipmentTable[[#This Row],[Type]],ITEquipmentTable[[#This Row],[Brand]],ITEquipmentTable[[#This Row],[Model]]), "")</f>
        <v>Desktop~HP</v>
      </c>
      <c r="J770" s="151" t="b">
        <f xml:space="preserve"> _xlfn.IFNA(MATCH( ITSecondTable[[#This Row],[Tag]], StorageTable[Tag], 0)  &gt; -1, FALSE)</f>
        <v>0</v>
      </c>
      <c r="K770" s="168" t="b">
        <f>COUNTIFS(ITEquipmentTable[Serial], ITEquipmentTable[[#This Row],[Serial]], ITEquipmentTable[Serial], "&lt;&gt;N/A") &gt; 1</f>
        <v>0</v>
      </c>
      <c r="L770" s="168" t="b">
        <f>COUNTIFS(ITEquipmentTable[Name], ITEquipmentTable[[#This Row],[Name]], ITEquipmentTable[Name], "&lt;&gt;&lt;Unassigned&gt;",  ITEquipmentTable[Name], "&lt;&gt;N/A") &gt; 1</f>
        <v>0</v>
      </c>
      <c r="M770" s="168" t="b">
        <f>AND(COUNTIFS(ITEquipmentTable[IPv4 Address], ITEquipmentTable[[#This Row],[IPv4 Address]]) &gt; 1, ITEquipmentTable[[#This Row],[IPv4 Address]] &lt;&gt; "DHCP",  ITEquipmentTable[[#This Row],[IPv4 Address]] &lt;&gt; "N/A")</f>
        <v>0</v>
      </c>
    </row>
    <row r="771" spans="1:13" x14ac:dyDescent="0.2">
      <c r="A771" s="168">
        <f>IF(LEN(ITSecondTable[[#This Row],[Tag]]) &gt; 0, _xlfn.XLOOKUP(ITSecondTable[[#This Row],[Tag]],StorageTable[Tag], StorageTable[In Storage - Count Total], "Err", 0, 1), 0)</f>
        <v>0</v>
      </c>
      <c r="B771" s="168">
        <f>_xlfn.LET(_xlpm.loc, ITEquipmentTable[Storage Location],
COUNTIFS(ITSecondTable[Tag], ITSecondTable[[#This Row],[Tag]], _xlpm.loc, "&lt;&gt;In Use", _xlpm.loc, "&lt;&gt;",  _xlpm.loc, "&lt;&gt;E-Waste", _xlpm.loc, "&lt;&gt;Virtual",  _xlpm.loc, "&lt;&gt;Assigned to Employee", _xlpm.loc, "&lt;&gt;Decommisioned", _xlpm.loc, "&lt;&gt;Missing")
)</f>
        <v>2</v>
      </c>
      <c r="C771" s="168">
        <f>_xlfn.LET(_xlpm.loc, ITEquipmentTable[Storage Location],
COUNTIFS(ITSecondTable[Tag], ITSecondTable[[#This Row],[Tag]], _xlpm.loc, "&lt;&gt;E-Waste", _xlpm.loc, "&lt;&gt;Virtual", _xlpm.loc, "&lt;&gt;Decommisioned")
)</f>
        <v>27</v>
      </c>
      <c r="D771" s="168">
        <f>_xlfn.LET(_xlpm.loc, ITEquipmentTable[Storage Location],
COUNTIFS(ITSecondTable[Tag], ITSecondTable[[#This Row],[Tag]], _xlpm.loc, "Missing")
)</f>
        <v>0</v>
      </c>
      <c r="E771" s="168">
        <f>_xlfn.LET(_xlpm.loc, ITEquipmentTable[Storage Location],
COUNTIFS(ITSecondTable[Tag], ITSecondTable[[#This Row],[Tag]], _xlpm.loc, "In Use") + COUNTIFS(ITSecondTable[Tag], ITSecondTable[[#This Row],[Tag]], _xlpm.loc, "Assigned to Employee")
)</f>
        <v>20</v>
      </c>
      <c r="F771" s="168">
        <f>_xlfn.LET(_xlpm.loc, ITEquipmentTable[Storage Location],
COUNTIFS(ITSecondTable[Tag], ITSecondTable[[#This Row],[Tag]], _xlpm.loc, "")
)</f>
        <v>5</v>
      </c>
      <c r="G771" s="168">
        <f>MAX(ITSecondTable[[#This Row],[SQty]] - ITSecondTable[[#This Row],[IQty]], 0)</f>
        <v>2</v>
      </c>
      <c r="H771" s="168">
        <f>MAX(ITSecondTable[[#This Row],[IQty]]-ITSecondTable[[#This Row],[SQty]], 0)</f>
        <v>0</v>
      </c>
      <c r="I771" s="151" t="str">
        <f>IFERROR(_xlfn.TEXTJOIN("~", TRUE, ITEquipmentTable[[#This Row],[Type]],ITEquipmentTable[[#This Row],[Brand]],ITEquipmentTable[[#This Row],[Model]]), "")</f>
        <v>Desktop~HP</v>
      </c>
      <c r="J771" s="151" t="b">
        <f xml:space="preserve"> _xlfn.IFNA(MATCH( ITSecondTable[[#This Row],[Tag]], StorageTable[Tag], 0)  &gt; -1, FALSE)</f>
        <v>0</v>
      </c>
      <c r="K771" s="168" t="b">
        <f>COUNTIFS(ITEquipmentTable[Serial], ITEquipmentTable[[#This Row],[Serial]], ITEquipmentTable[Serial], "&lt;&gt;N/A") &gt; 1</f>
        <v>0</v>
      </c>
      <c r="L771" s="168" t="b">
        <f>COUNTIFS(ITEquipmentTable[Name], ITEquipmentTable[[#This Row],[Name]], ITEquipmentTable[Name], "&lt;&gt;&lt;Unassigned&gt;",  ITEquipmentTable[Name], "&lt;&gt;N/A") &gt; 1</f>
        <v>0</v>
      </c>
      <c r="M771" s="168" t="b">
        <f>AND(COUNTIFS(ITEquipmentTable[IPv4 Address], ITEquipmentTable[[#This Row],[IPv4 Address]]) &gt; 1, ITEquipmentTable[[#This Row],[IPv4 Address]] &lt;&gt; "DHCP",  ITEquipmentTable[[#This Row],[IPv4 Address]] &lt;&gt; "N/A")</f>
        <v>0</v>
      </c>
    </row>
    <row r="772" spans="1:13" x14ac:dyDescent="0.2">
      <c r="A772" s="168">
        <f>IF(LEN(ITSecondTable[[#This Row],[Tag]]) &gt; 0, _xlfn.XLOOKUP(ITSecondTable[[#This Row],[Tag]],StorageTable[Tag], StorageTable[In Storage - Count Total], "Err", 0, 1), 0)</f>
        <v>1</v>
      </c>
      <c r="B772" s="168">
        <f>_xlfn.LET(_xlpm.loc, ITEquipmentTable[Storage Location],
COUNTIFS(ITSecondTable[Tag], ITSecondTable[[#This Row],[Tag]], _xlpm.loc, "&lt;&gt;In Use", _xlpm.loc, "&lt;&gt;",  _xlpm.loc, "&lt;&gt;E-Waste", _xlpm.loc, "&lt;&gt;Virtual",  _xlpm.loc, "&lt;&gt;Assigned to Employee", _xlpm.loc, "&lt;&gt;Decommisioned", _xlpm.loc, "&lt;&gt;Missing")
)</f>
        <v>1</v>
      </c>
      <c r="C772" s="168">
        <f>_xlfn.LET(_xlpm.loc, ITEquipmentTable[Storage Location],
COUNTIFS(ITSecondTable[Tag], ITSecondTable[[#This Row],[Tag]], _xlpm.loc, "&lt;&gt;E-Waste", _xlpm.loc, "&lt;&gt;Virtual", _xlpm.loc, "&lt;&gt;Decommisioned")
)</f>
        <v>1</v>
      </c>
      <c r="D772" s="168">
        <f>_xlfn.LET(_xlpm.loc, ITEquipmentTable[Storage Location],
COUNTIFS(ITSecondTable[Tag], ITSecondTable[[#This Row],[Tag]], _xlpm.loc, "Missing")
)</f>
        <v>0</v>
      </c>
      <c r="E772" s="168">
        <f>_xlfn.LET(_xlpm.loc, ITEquipmentTable[Storage Location],
COUNTIFS(ITSecondTable[Tag], ITSecondTable[[#This Row],[Tag]], _xlpm.loc, "In Use") + COUNTIFS(ITSecondTable[Tag], ITSecondTable[[#This Row],[Tag]], _xlpm.loc, "Assigned to Employee")
)</f>
        <v>0</v>
      </c>
      <c r="F772" s="168">
        <f>_xlfn.LET(_xlpm.loc, ITEquipmentTable[Storage Location],
COUNTIFS(ITSecondTable[Tag], ITSecondTable[[#This Row],[Tag]], _xlpm.loc, "")
)</f>
        <v>0</v>
      </c>
      <c r="G772" s="168">
        <f>MAX(ITSecondTable[[#This Row],[SQty]] - ITSecondTable[[#This Row],[IQty]], 0)</f>
        <v>0</v>
      </c>
      <c r="H772" s="168">
        <f>MAX(ITSecondTable[[#This Row],[IQty]]-ITSecondTable[[#This Row],[SQty]], 0)</f>
        <v>0</v>
      </c>
      <c r="I772" s="151" t="str">
        <f>IFERROR(_xlfn.TEXTJOIN("~", TRUE, ITEquipmentTable[[#This Row],[Type]],ITEquipmentTable[[#This Row],[Brand]],ITEquipmentTable[[#This Row],[Model]]), "")</f>
        <v>Desktop~HP~HP ProDesk 600 G6 DM</v>
      </c>
      <c r="J772" s="151" t="b">
        <f xml:space="preserve"> _xlfn.IFNA(MATCH( ITSecondTable[[#This Row],[Tag]], StorageTable[Tag], 0)  &gt; -1, FALSE)</f>
        <v>0</v>
      </c>
      <c r="K772" s="168" t="b">
        <f>COUNTIFS(ITEquipmentTable[Serial], ITEquipmentTable[[#This Row],[Serial]], ITEquipmentTable[Serial], "&lt;&gt;N/A") &gt; 1</f>
        <v>0</v>
      </c>
      <c r="L772" s="168" t="b">
        <f>COUNTIFS(ITEquipmentTable[Name], ITEquipmentTable[[#This Row],[Name]], ITEquipmentTable[Name], "&lt;&gt;&lt;Unassigned&gt;",  ITEquipmentTable[Name], "&lt;&gt;N/A") &gt; 1</f>
        <v>0</v>
      </c>
      <c r="M772" s="168" t="b">
        <f>AND(COUNTIFS(ITEquipmentTable[IPv4 Address], ITEquipmentTable[[#This Row],[IPv4 Address]]) &gt; 1, ITEquipmentTable[[#This Row],[IPv4 Address]] &lt;&gt; "DHCP",  ITEquipmentTable[[#This Row],[IPv4 Address]] &lt;&gt; "N/A")</f>
        <v>0</v>
      </c>
    </row>
    <row r="773" spans="1:13" x14ac:dyDescent="0.2">
      <c r="A773" s="168"/>
      <c r="B773" s="168"/>
      <c r="C773" s="168"/>
      <c r="D773" s="168"/>
      <c r="E773" s="168"/>
      <c r="F773" s="168"/>
      <c r="G773" s="168"/>
      <c r="H773" s="168"/>
      <c r="I773" s="151"/>
      <c r="J773" s="151"/>
    </row>
    <row r="774" spans="1:13" x14ac:dyDescent="0.2">
      <c r="A774" s="168"/>
      <c r="B774" s="168"/>
      <c r="C774" s="168"/>
      <c r="D774" s="168"/>
      <c r="E774" s="168"/>
      <c r="F774" s="168"/>
      <c r="G774" s="168"/>
      <c r="H774" s="168"/>
      <c r="I774" s="151"/>
      <c r="J774" s="151"/>
    </row>
    <row r="775" spans="1:13" x14ac:dyDescent="0.2">
      <c r="A775" s="168"/>
      <c r="B775" s="168"/>
      <c r="C775" s="168"/>
      <c r="D775" s="168"/>
      <c r="E775" s="168"/>
      <c r="F775" s="168"/>
      <c r="G775" s="168"/>
      <c r="H775" s="168"/>
      <c r="I775" s="151"/>
      <c r="J775" s="151"/>
    </row>
    <row r="776" spans="1:13" x14ac:dyDescent="0.2">
      <c r="A776" s="168"/>
      <c r="B776" s="168"/>
      <c r="C776" s="168"/>
      <c r="D776" s="168"/>
      <c r="E776" s="168"/>
      <c r="F776" s="168"/>
      <c r="G776" s="168"/>
      <c r="H776" s="168"/>
      <c r="I776" s="151"/>
      <c r="J776" s="151"/>
    </row>
    <row r="777" spans="1:13" x14ac:dyDescent="0.2">
      <c r="A777" s="168"/>
      <c r="B777" s="168"/>
      <c r="C777" s="168"/>
      <c r="D777" s="168"/>
      <c r="E777" s="168"/>
      <c r="F777" s="168"/>
      <c r="G777" s="168"/>
      <c r="H777" s="168"/>
      <c r="I777" s="151"/>
      <c r="J777" s="151"/>
    </row>
    <row r="778" spans="1:13" x14ac:dyDescent="0.2">
      <c r="A778" s="168"/>
      <c r="B778" s="168"/>
      <c r="C778" s="168"/>
      <c r="D778" s="168"/>
      <c r="E778" s="168"/>
      <c r="F778" s="168"/>
      <c r="G778" s="168"/>
      <c r="H778" s="168"/>
      <c r="I778" s="151"/>
      <c r="J778" s="151"/>
    </row>
    <row r="779" spans="1:13" x14ac:dyDescent="0.2">
      <c r="A779" s="168"/>
      <c r="B779" s="168"/>
      <c r="C779" s="168"/>
      <c r="D779" s="168"/>
      <c r="E779" s="168"/>
      <c r="F779" s="168"/>
      <c r="G779" s="168"/>
      <c r="H779" s="168"/>
      <c r="I779" s="151"/>
      <c r="J779" s="151"/>
    </row>
    <row r="780" spans="1:13" x14ac:dyDescent="0.2">
      <c r="A780" s="168"/>
      <c r="B780" s="168"/>
      <c r="C780" s="168"/>
      <c r="D780" s="168"/>
      <c r="E780" s="168"/>
      <c r="F780" s="168"/>
      <c r="G780" s="168"/>
      <c r="H780" s="168"/>
      <c r="I780" s="151"/>
      <c r="J780" s="151"/>
    </row>
    <row r="781" spans="1:13" x14ac:dyDescent="0.2">
      <c r="A781" s="168"/>
      <c r="B781" s="168"/>
      <c r="C781" s="168"/>
      <c r="D781" s="168"/>
      <c r="E781" s="168"/>
      <c r="F781" s="168"/>
      <c r="G781" s="168"/>
      <c r="H781" s="168"/>
      <c r="I781" s="151"/>
      <c r="J781" s="151"/>
    </row>
    <row r="782" spans="1:13" x14ac:dyDescent="0.2">
      <c r="A782" s="168"/>
      <c r="B782" s="168"/>
      <c r="C782" s="168"/>
      <c r="D782" s="168"/>
      <c r="E782" s="168"/>
      <c r="F782" s="168"/>
      <c r="G782" s="168"/>
      <c r="H782" s="168"/>
      <c r="I782" s="151"/>
      <c r="J782" s="151"/>
    </row>
    <row r="783" spans="1:13" x14ac:dyDescent="0.2">
      <c r="A783" s="168"/>
      <c r="B783" s="168"/>
      <c r="C783" s="168"/>
      <c r="D783" s="168"/>
      <c r="E783" s="168"/>
      <c r="F783" s="168"/>
      <c r="G783" s="168"/>
      <c r="H783" s="168"/>
      <c r="I783" s="151"/>
      <c r="J783" s="151"/>
    </row>
    <row r="784" spans="1:13" x14ac:dyDescent="0.2">
      <c r="A784" s="168"/>
      <c r="B784" s="168"/>
      <c r="C784" s="168"/>
      <c r="D784" s="168"/>
      <c r="E784" s="168"/>
      <c r="F784" s="168"/>
      <c r="G784" s="168"/>
      <c r="H784" s="168"/>
      <c r="I784" s="151"/>
      <c r="J784" s="151"/>
    </row>
    <row r="785" spans="1:10" x14ac:dyDescent="0.2">
      <c r="A785" s="168"/>
      <c r="B785" s="168"/>
      <c r="C785" s="168"/>
      <c r="D785" s="168"/>
      <c r="E785" s="168"/>
      <c r="F785" s="168"/>
      <c r="G785" s="168"/>
      <c r="H785" s="168"/>
      <c r="I785" s="151"/>
      <c r="J785" s="151"/>
    </row>
    <row r="786" spans="1:10" x14ac:dyDescent="0.2">
      <c r="A786" s="168"/>
      <c r="B786" s="168"/>
      <c r="C786" s="168"/>
      <c r="D786" s="168"/>
      <c r="E786" s="168"/>
      <c r="F786" s="168"/>
      <c r="G786" s="168"/>
      <c r="H786" s="168"/>
      <c r="I786" s="151"/>
      <c r="J786" s="151"/>
    </row>
    <row r="787" spans="1:10" x14ac:dyDescent="0.2">
      <c r="A787" s="168"/>
      <c r="B787" s="168"/>
      <c r="C787" s="168"/>
      <c r="D787" s="168"/>
      <c r="E787" s="168"/>
      <c r="F787" s="168"/>
      <c r="G787" s="168"/>
      <c r="H787" s="168"/>
      <c r="I787" s="151"/>
      <c r="J787" s="151"/>
    </row>
    <row r="788" spans="1:10" x14ac:dyDescent="0.2">
      <c r="A788" s="168"/>
      <c r="B788" s="168"/>
      <c r="C788" s="168"/>
      <c r="D788" s="168"/>
      <c r="E788" s="168"/>
      <c r="F788" s="168"/>
      <c r="G788" s="168"/>
      <c r="H788" s="168"/>
      <c r="I788" s="151"/>
      <c r="J788" s="151"/>
    </row>
    <row r="789" spans="1:10" x14ac:dyDescent="0.2">
      <c r="A789" s="168"/>
      <c r="B789" s="168"/>
      <c r="C789" s="168"/>
      <c r="D789" s="168"/>
      <c r="E789" s="168"/>
      <c r="F789" s="168"/>
      <c r="G789" s="168"/>
      <c r="H789" s="168"/>
      <c r="I789" s="151"/>
      <c r="J789" s="151"/>
    </row>
    <row r="790" spans="1:10" x14ac:dyDescent="0.2">
      <c r="A790" s="168"/>
      <c r="B790" s="168"/>
      <c r="C790" s="168"/>
      <c r="D790" s="168"/>
      <c r="E790" s="168"/>
      <c r="F790" s="168"/>
      <c r="G790" s="168"/>
      <c r="H790" s="168"/>
      <c r="I790" s="151"/>
      <c r="J790" s="151"/>
    </row>
    <row r="791" spans="1:10" x14ac:dyDescent="0.2">
      <c r="A791" s="168"/>
      <c r="B791" s="168"/>
      <c r="C791" s="168"/>
      <c r="D791" s="168"/>
      <c r="E791" s="168"/>
      <c r="F791" s="168"/>
      <c r="G791" s="168"/>
      <c r="H791" s="168"/>
      <c r="I791" s="151"/>
      <c r="J791" s="151"/>
    </row>
    <row r="792" spans="1:10" x14ac:dyDescent="0.2">
      <c r="A792" s="168"/>
      <c r="B792" s="168"/>
      <c r="C792" s="168"/>
      <c r="D792" s="168"/>
      <c r="E792" s="168"/>
      <c r="F792" s="168"/>
      <c r="G792" s="168"/>
      <c r="H792" s="168"/>
      <c r="I792" s="151"/>
      <c r="J792" s="151"/>
    </row>
    <row r="793" spans="1:10" x14ac:dyDescent="0.2">
      <c r="A793" s="168"/>
      <c r="B793" s="168"/>
      <c r="C793" s="168"/>
      <c r="D793" s="168"/>
      <c r="E793" s="168"/>
      <c r="F793" s="168"/>
      <c r="G793" s="168"/>
      <c r="H793" s="168"/>
      <c r="I793" s="151"/>
      <c r="J793" s="151"/>
    </row>
    <row r="794" spans="1:10" x14ac:dyDescent="0.2">
      <c r="A794" s="168"/>
      <c r="B794" s="168"/>
      <c r="C794" s="168"/>
      <c r="D794" s="168"/>
      <c r="E794" s="168"/>
      <c r="F794" s="168"/>
      <c r="G794" s="168"/>
      <c r="H794" s="168"/>
      <c r="I794" s="151"/>
      <c r="J794" s="151"/>
    </row>
    <row r="795" spans="1:10" x14ac:dyDescent="0.2">
      <c r="A795" s="168"/>
      <c r="B795" s="168"/>
      <c r="C795" s="168"/>
      <c r="D795" s="168"/>
      <c r="E795" s="168"/>
      <c r="F795" s="168"/>
      <c r="G795" s="168"/>
      <c r="H795" s="168"/>
      <c r="I795" s="151"/>
      <c r="J795" s="151"/>
    </row>
    <row r="796" spans="1:10" x14ac:dyDescent="0.2">
      <c r="A796" s="168"/>
      <c r="B796" s="168"/>
      <c r="C796" s="168"/>
      <c r="D796" s="168"/>
      <c r="E796" s="168"/>
      <c r="F796" s="168"/>
      <c r="G796" s="168"/>
      <c r="H796" s="168"/>
      <c r="I796" s="151"/>
      <c r="J796" s="151"/>
    </row>
    <row r="797" spans="1:10" x14ac:dyDescent="0.2">
      <c r="A797" s="168"/>
      <c r="B797" s="168"/>
      <c r="C797" s="168"/>
      <c r="D797" s="168"/>
      <c r="E797" s="168"/>
      <c r="F797" s="168"/>
      <c r="G797" s="168"/>
      <c r="H797" s="168"/>
      <c r="I797" s="151"/>
      <c r="J797" s="151"/>
    </row>
    <row r="798" spans="1:10" x14ac:dyDescent="0.2">
      <c r="A798" s="168"/>
      <c r="B798" s="168"/>
      <c r="C798" s="168"/>
      <c r="D798" s="168"/>
      <c r="E798" s="168"/>
      <c r="F798" s="168"/>
      <c r="G798" s="168"/>
      <c r="H798" s="168"/>
      <c r="I798" s="151"/>
      <c r="J798" s="151"/>
    </row>
    <row r="799" spans="1:10" x14ac:dyDescent="0.2">
      <c r="A799" s="168"/>
      <c r="B799" s="168"/>
      <c r="C799" s="168"/>
      <c r="D799" s="168"/>
      <c r="E799" s="168"/>
      <c r="F799" s="168"/>
      <c r="G799" s="168"/>
      <c r="H799" s="168"/>
      <c r="I799" s="151"/>
      <c r="J799" s="151"/>
    </row>
    <row r="800" spans="1:10" x14ac:dyDescent="0.2">
      <c r="A800" s="168"/>
      <c r="B800" s="168"/>
      <c r="C800" s="168"/>
      <c r="D800" s="168"/>
      <c r="E800" s="168"/>
      <c r="F800" s="168"/>
      <c r="G800" s="168"/>
      <c r="H800" s="168"/>
      <c r="I800" s="151"/>
      <c r="J800" s="151"/>
    </row>
    <row r="801" spans="1:10" x14ac:dyDescent="0.2">
      <c r="A801" s="168"/>
      <c r="B801" s="168"/>
      <c r="C801" s="168"/>
      <c r="D801" s="168"/>
      <c r="E801" s="168"/>
      <c r="F801" s="168"/>
      <c r="G801" s="168"/>
      <c r="H801" s="168"/>
      <c r="I801" s="151"/>
      <c r="J801" s="151"/>
    </row>
    <row r="802" spans="1:10" x14ac:dyDescent="0.2">
      <c r="A802" s="168"/>
      <c r="B802" s="168"/>
      <c r="C802" s="168"/>
      <c r="D802" s="168"/>
      <c r="E802" s="168"/>
      <c r="F802" s="168"/>
      <c r="G802" s="168"/>
      <c r="H802" s="168"/>
      <c r="I802" s="151"/>
      <c r="J802" s="151"/>
    </row>
    <row r="803" spans="1:10" x14ac:dyDescent="0.2">
      <c r="A803" s="168"/>
      <c r="B803" s="168"/>
      <c r="C803" s="168"/>
      <c r="D803" s="168"/>
      <c r="E803" s="168"/>
      <c r="F803" s="168"/>
      <c r="G803" s="168"/>
      <c r="H803" s="168"/>
      <c r="I803" s="151"/>
      <c r="J803" s="151"/>
    </row>
    <row r="804" spans="1:10" x14ac:dyDescent="0.2">
      <c r="A804" s="168"/>
      <c r="B804" s="168"/>
      <c r="C804" s="168"/>
      <c r="D804" s="168"/>
      <c r="E804" s="168"/>
      <c r="F804" s="168"/>
      <c r="G804" s="168"/>
      <c r="H804" s="168"/>
      <c r="I804" s="151"/>
      <c r="J804" s="151"/>
    </row>
    <row r="805" spans="1:10" x14ac:dyDescent="0.2">
      <c r="A805" s="168"/>
      <c r="B805" s="168"/>
      <c r="C805" s="168"/>
      <c r="D805" s="168"/>
      <c r="E805" s="168"/>
      <c r="F805" s="168"/>
      <c r="G805" s="168"/>
      <c r="H805" s="168"/>
      <c r="I805" s="151"/>
      <c r="J805" s="151"/>
    </row>
    <row r="806" spans="1:10" x14ac:dyDescent="0.2">
      <c r="A806" s="168"/>
      <c r="B806" s="168"/>
      <c r="C806" s="168"/>
      <c r="D806" s="168"/>
      <c r="E806" s="168"/>
      <c r="F806" s="168"/>
      <c r="G806" s="168"/>
      <c r="H806" s="168"/>
      <c r="I806" s="151"/>
      <c r="J806" s="151"/>
    </row>
    <row r="807" spans="1:10" x14ac:dyDescent="0.2">
      <c r="A807" s="168"/>
      <c r="B807" s="168"/>
      <c r="C807" s="168"/>
      <c r="D807" s="168"/>
      <c r="E807" s="168"/>
      <c r="F807" s="168"/>
      <c r="G807" s="168"/>
      <c r="H807" s="168"/>
      <c r="I807" s="151"/>
      <c r="J807" s="151"/>
    </row>
    <row r="808" spans="1:10" x14ac:dyDescent="0.2">
      <c r="A808" s="168"/>
      <c r="B808" s="168"/>
      <c r="C808" s="168"/>
      <c r="D808" s="168"/>
      <c r="E808" s="168"/>
      <c r="F808" s="168"/>
      <c r="G808" s="168"/>
      <c r="H808" s="168"/>
      <c r="I808" s="151"/>
      <c r="J808" s="151"/>
    </row>
    <row r="809" spans="1:10" x14ac:dyDescent="0.2">
      <c r="A809" s="168"/>
      <c r="B809" s="168"/>
      <c r="C809" s="168"/>
      <c r="D809" s="168"/>
      <c r="E809" s="168"/>
      <c r="F809" s="168"/>
      <c r="G809" s="168"/>
      <c r="H809" s="168"/>
      <c r="I809" s="151"/>
      <c r="J809" s="151"/>
    </row>
    <row r="810" spans="1:10" x14ac:dyDescent="0.2">
      <c r="A810" s="168"/>
      <c r="B810" s="168"/>
      <c r="C810" s="168"/>
      <c r="D810" s="168"/>
      <c r="E810" s="168"/>
      <c r="F810" s="168"/>
      <c r="G810" s="168"/>
      <c r="H810" s="168"/>
      <c r="I810" s="151"/>
      <c r="J810" s="151"/>
    </row>
    <row r="811" spans="1:10" x14ac:dyDescent="0.2">
      <c r="A811" s="168"/>
      <c r="B811" s="168"/>
      <c r="C811" s="168"/>
      <c r="D811" s="168"/>
      <c r="E811" s="168"/>
      <c r="F811" s="168"/>
      <c r="G811" s="168"/>
      <c r="H811" s="168"/>
      <c r="I811" s="151"/>
      <c r="J811" s="151"/>
    </row>
    <row r="812" spans="1:10" x14ac:dyDescent="0.2">
      <c r="A812" s="168"/>
      <c r="B812" s="168"/>
      <c r="C812" s="168"/>
      <c r="D812" s="168"/>
      <c r="E812" s="168"/>
      <c r="F812" s="168"/>
      <c r="G812" s="168"/>
      <c r="H812" s="168"/>
      <c r="I812" s="151"/>
      <c r="J812" s="151"/>
    </row>
    <row r="813" spans="1:10" x14ac:dyDescent="0.2">
      <c r="A813" s="168"/>
      <c r="B813" s="168"/>
      <c r="C813" s="168"/>
      <c r="D813" s="168"/>
      <c r="E813" s="168"/>
      <c r="F813" s="168"/>
      <c r="G813" s="168"/>
      <c r="H813" s="168"/>
      <c r="I813" s="151"/>
      <c r="J813" s="151"/>
    </row>
    <row r="814" spans="1:10" x14ac:dyDescent="0.2">
      <c r="A814" s="168"/>
      <c r="B814" s="168"/>
      <c r="C814" s="168"/>
      <c r="D814" s="168"/>
      <c r="E814" s="168"/>
      <c r="F814" s="168"/>
      <c r="G814" s="168"/>
      <c r="H814" s="168"/>
      <c r="I814" s="151"/>
      <c r="J814" s="151"/>
    </row>
    <row r="815" spans="1:10" x14ac:dyDescent="0.2">
      <c r="A815" s="168"/>
      <c r="B815" s="168"/>
      <c r="C815" s="168"/>
      <c r="D815" s="168"/>
      <c r="E815" s="168"/>
      <c r="F815" s="168"/>
      <c r="G815" s="168"/>
      <c r="H815" s="168"/>
      <c r="I815" s="151"/>
      <c r="J815" s="151"/>
    </row>
    <row r="816" spans="1:10" x14ac:dyDescent="0.2">
      <c r="A816" s="168"/>
      <c r="B816" s="168"/>
      <c r="C816" s="168"/>
      <c r="D816" s="168"/>
      <c r="E816" s="168"/>
      <c r="F816" s="168"/>
      <c r="G816" s="168"/>
      <c r="H816" s="168"/>
      <c r="I816" s="151"/>
      <c r="J816" s="151"/>
    </row>
    <row r="817" spans="1:10" x14ac:dyDescent="0.2">
      <c r="A817" s="168"/>
      <c r="B817" s="168"/>
      <c r="C817" s="168"/>
      <c r="D817" s="168"/>
      <c r="E817" s="168"/>
      <c r="F817" s="168"/>
      <c r="G817" s="168"/>
      <c r="H817" s="168"/>
      <c r="I817" s="151"/>
      <c r="J817" s="151"/>
    </row>
  </sheetData>
  <mergeCells count="3">
    <mergeCell ref="K4:M4"/>
    <mergeCell ref="A1:M1"/>
    <mergeCell ref="A4:C4"/>
  </mergeCells>
  <conditionalFormatting sqref="A6:A772">
    <cfRule type="cellIs" dxfId="15" priority="1" operator="equal">
      <formula>"Err"</formula>
    </cfRule>
  </conditionalFormatting>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3A5A6-4014-48C5-AEBD-D09C0ED51EFF}">
  <sheetPr codeName="Sheet4">
    <tabColor theme="6" tint="0.79998168889431442"/>
  </sheetPr>
  <dimension ref="A1:U17"/>
  <sheetViews>
    <sheetView topLeftCell="E1" workbookViewId="0">
      <selection activeCell="L14" sqref="L14"/>
    </sheetView>
  </sheetViews>
  <sheetFormatPr defaultRowHeight="14.25" x14ac:dyDescent="0.2"/>
  <cols>
    <col min="1" max="1" width="4" bestFit="1" customWidth="1"/>
    <col min="2" max="2" width="11.33203125" bestFit="1" customWidth="1"/>
    <col min="3" max="3" width="8" bestFit="1" customWidth="1"/>
    <col min="4" max="4" width="18.5546875" bestFit="1" customWidth="1"/>
    <col min="5" max="5" width="11.77734375" bestFit="1" customWidth="1"/>
    <col min="6" max="6" width="10.5546875" bestFit="1" customWidth="1"/>
    <col min="7" max="7" width="10.5546875" customWidth="1"/>
    <col min="8" max="8" width="17.6640625" bestFit="1" customWidth="1"/>
    <col min="9" max="9" width="25.5546875" bestFit="1" customWidth="1"/>
    <col min="10" max="10" width="15.6640625" bestFit="1" customWidth="1"/>
    <col min="11" max="11" width="11" bestFit="1" customWidth="1"/>
    <col min="12" max="12" width="11" customWidth="1"/>
    <col min="13" max="13" width="15.77734375" bestFit="1" customWidth="1"/>
    <col min="14" max="14" width="8.21875" bestFit="1" customWidth="1"/>
    <col min="15" max="15" width="15.44140625" bestFit="1" customWidth="1"/>
    <col min="16" max="16" width="6" bestFit="1" customWidth="1"/>
    <col min="17" max="17" width="11.6640625" bestFit="1" customWidth="1"/>
    <col min="18" max="18" width="11.109375" bestFit="1" customWidth="1"/>
    <col min="19" max="19" width="21.33203125" bestFit="1" customWidth="1"/>
    <col min="20" max="20" width="10.33203125" bestFit="1" customWidth="1"/>
    <col min="21" max="21" width="10.88671875" bestFit="1" customWidth="1"/>
  </cols>
  <sheetData>
    <row r="1" spans="1:21" ht="19.5" x14ac:dyDescent="0.2">
      <c r="A1" s="278" t="s">
        <v>2194</v>
      </c>
      <c r="B1" s="278"/>
      <c r="C1" s="278"/>
      <c r="D1" s="278"/>
      <c r="E1" s="278"/>
      <c r="F1" s="278"/>
      <c r="G1" s="278"/>
      <c r="H1" s="278"/>
      <c r="I1" s="278"/>
      <c r="J1" s="278"/>
      <c r="K1" s="278"/>
      <c r="L1" s="278"/>
      <c r="M1" s="278"/>
      <c r="N1" s="278"/>
      <c r="O1" s="278"/>
      <c r="P1" s="278"/>
      <c r="Q1" s="278"/>
      <c r="R1" s="278"/>
      <c r="S1" s="278"/>
    </row>
    <row r="2" spans="1:21" x14ac:dyDescent="0.2">
      <c r="A2" s="117" t="s">
        <v>42</v>
      </c>
      <c r="B2" s="117" t="s">
        <v>6</v>
      </c>
      <c r="C2" s="117" t="s">
        <v>272</v>
      </c>
      <c r="D2" s="117" t="s">
        <v>273</v>
      </c>
      <c r="E2" s="117" t="s">
        <v>274</v>
      </c>
      <c r="F2" s="117" t="s">
        <v>275</v>
      </c>
      <c r="G2" s="117" t="s">
        <v>3325</v>
      </c>
      <c r="H2" s="117" t="s">
        <v>276</v>
      </c>
      <c r="I2" s="117" t="s">
        <v>277</v>
      </c>
      <c r="J2" s="117" t="s">
        <v>278</v>
      </c>
      <c r="K2" s="117" t="s">
        <v>279</v>
      </c>
      <c r="L2" s="117" t="s">
        <v>3330</v>
      </c>
      <c r="M2" s="117" t="s">
        <v>218</v>
      </c>
      <c r="N2" s="216" t="s">
        <v>280</v>
      </c>
      <c r="O2" s="117" t="s">
        <v>281</v>
      </c>
      <c r="P2" s="117" t="s">
        <v>269</v>
      </c>
      <c r="Q2" s="117" t="s">
        <v>282</v>
      </c>
      <c r="R2" s="117" t="s">
        <v>283</v>
      </c>
      <c r="S2" s="117" t="s">
        <v>284</v>
      </c>
      <c r="T2" s="216" t="s">
        <v>2932</v>
      </c>
      <c r="U2" s="216" t="s">
        <v>275</v>
      </c>
    </row>
    <row r="3" spans="1:21" x14ac:dyDescent="0.2">
      <c r="A3" t="str" cm="1">
        <f t="array" ref="A3:S17">_xlfn.LET(
_xlpm.err_dupeserial,  {"x","","","No Dupe Serials","","","","","","","","","","","","",""},
_xlpm.err_dupename, {"x","","","No Dupe Names","","","","","","","","","","","","",""},
_xlpm.err_dupeip, {"x","","","No Dupe IPs","","","","","","","","","","","","",""},
_xlpm.filter_serial, _xlfn._xlws.FILTER(ITEquipmentTable[],ITSecondTable[DuplicateSerial], _xlpm.err_dupeserial),
_xlpm.filter_name, _xlfn._xlws.FILTER(ITEquipmentTable[],ITSecondTable[DuplicateName], _xlpm.err_dupename),
_xlpm.filter_ip, _xlfn._xlws.FILTER(ITEquipmentTable[],ITSecondTable[DuplicateIP], _xlpm.err_dupeip),
_xlfn.VSTACK(_xlpm.filter_serial, _xlpm.filter_name, _xlpm.filter_ip))</f>
        <v>x</v>
      </c>
      <c r="B3" t="str">
        <v/>
      </c>
      <c r="C3" t="str">
        <v/>
      </c>
      <c r="D3" t="str">
        <v>No Dupe Serials</v>
      </c>
      <c r="E3" t="str">
        <v/>
      </c>
      <c r="F3" t="str">
        <v/>
      </c>
      <c r="G3" t="str">
        <v/>
      </c>
      <c r="H3" t="str">
        <v/>
      </c>
      <c r="I3" t="str">
        <v/>
      </c>
      <c r="J3" t="str">
        <v/>
      </c>
      <c r="K3" t="str">
        <v/>
      </c>
      <c r="L3" t="str">
        <v/>
      </c>
      <c r="M3" t="str">
        <v/>
      </c>
      <c r="N3" t="str">
        <v/>
      </c>
      <c r="O3" t="str">
        <v/>
      </c>
      <c r="P3" t="str">
        <v/>
      </c>
      <c r="Q3" t="str">
        <v/>
      </c>
      <c r="R3" t="e">
        <v>#N/A</v>
      </c>
      <c r="S3" t="e">
        <v>#N/A</v>
      </c>
    </row>
    <row r="4" spans="1:21" x14ac:dyDescent="0.2">
      <c r="A4" t="str">
        <v>x</v>
      </c>
      <c r="B4" t="str">
        <v/>
      </c>
      <c r="C4" t="str">
        <v/>
      </c>
      <c r="D4" t="str">
        <v>No Dupe Names</v>
      </c>
      <c r="E4" t="str">
        <v/>
      </c>
      <c r="F4" t="str">
        <v/>
      </c>
      <c r="G4" t="str">
        <v/>
      </c>
      <c r="H4" t="str">
        <v/>
      </c>
      <c r="I4" t="str">
        <v/>
      </c>
      <c r="J4" t="str">
        <v/>
      </c>
      <c r="K4" t="str">
        <v/>
      </c>
      <c r="L4" t="str">
        <v/>
      </c>
      <c r="M4" t="str">
        <v/>
      </c>
      <c r="N4" t="str">
        <v/>
      </c>
      <c r="O4" t="str">
        <v/>
      </c>
      <c r="P4" t="str">
        <v/>
      </c>
      <c r="Q4" t="str">
        <v/>
      </c>
      <c r="R4" t="e">
        <v>#N/A</v>
      </c>
      <c r="S4" t="e">
        <v>#N/A</v>
      </c>
    </row>
    <row r="5" spans="1:21" x14ac:dyDescent="0.2">
      <c r="A5" s="60">
        <v>23</v>
      </c>
      <c r="B5" s="60" t="str">
        <v>Desktop</v>
      </c>
      <c r="C5" s="60">
        <v>0</v>
      </c>
      <c r="D5" s="60">
        <v>0</v>
      </c>
      <c r="E5" s="60">
        <v>0</v>
      </c>
      <c r="F5" s="60">
        <v>0</v>
      </c>
      <c r="G5" s="60" t="str">
        <v/>
      </c>
      <c r="H5" s="60" t="str">
        <v>In Use</v>
      </c>
      <c r="I5" s="60" t="str">
        <v>T1XX - BT1XX Lower - Assembly</v>
      </c>
      <c r="J5" s="60">
        <v>0</v>
      </c>
      <c r="K5" s="60" t="str">
        <v>10.68.134.47</v>
      </c>
      <c r="L5" s="60" t="str">
        <v>10.68.134.219</v>
      </c>
      <c r="M5" s="60" t="str">
        <v>AIM-BT1LWRASSY</v>
      </c>
      <c r="N5" s="60" t="str">
        <v>N/A</v>
      </c>
      <c r="O5" s="60" t="str">
        <v>Win 11 25H2</v>
      </c>
      <c r="P5" s="60" t="b">
        <v>0</v>
      </c>
      <c r="Q5" s="60">
        <v>0</v>
      </c>
      <c r="R5" s="60" t="str">
        <v>Functional</v>
      </c>
      <c r="S5" s="60" t="str">
        <v>Needs Brand, Model, Serial</v>
      </c>
    </row>
    <row r="6" spans="1:21" x14ac:dyDescent="0.2">
      <c r="A6">
        <v>27</v>
      </c>
      <c r="B6" t="str">
        <v>Desktop</v>
      </c>
      <c r="C6">
        <v>0</v>
      </c>
      <c r="D6">
        <v>0</v>
      </c>
      <c r="E6">
        <v>0</v>
      </c>
      <c r="F6">
        <v>0</v>
      </c>
      <c r="G6" t="str">
        <v/>
      </c>
      <c r="H6" t="str">
        <v>In Use</v>
      </c>
      <c r="I6" t="str">
        <v>T1XX - BT1XX Upper - Limiter</v>
      </c>
      <c r="J6">
        <v>0</v>
      </c>
      <c r="K6" t="str">
        <v>10.68.134.96</v>
      </c>
      <c r="L6" t="str">
        <v/>
      </c>
      <c r="M6" t="str">
        <v>AIM-BT1UPLMTR</v>
      </c>
      <c r="N6" t="str">
        <v>N/A</v>
      </c>
      <c r="O6" t="str">
        <v>&lt;Disconnected&gt;</v>
      </c>
      <c r="P6" t="b">
        <v>0</v>
      </c>
      <c r="Q6">
        <v>0</v>
      </c>
      <c r="R6" t="str">
        <v>Functional</v>
      </c>
      <c r="S6" t="str">
        <v>Needs Brand, Model, Serial</v>
      </c>
    </row>
    <row r="7" spans="1:21" x14ac:dyDescent="0.2">
      <c r="A7">
        <v>913</v>
      </c>
      <c r="B7" t="str">
        <v>Desktop</v>
      </c>
      <c r="C7" t="str">
        <v>HP</v>
      </c>
      <c r="D7">
        <v>0</v>
      </c>
      <c r="E7" t="str">
        <v>Serial Number</v>
      </c>
      <c r="F7">
        <v>0</v>
      </c>
      <c r="G7" t="str">
        <v/>
      </c>
      <c r="H7" t="str">
        <v>In Use</v>
      </c>
      <c r="I7" t="str">
        <v>T1XX - AAD - Station 0.5</v>
      </c>
      <c r="J7">
        <v>0</v>
      </c>
      <c r="K7" t="str">
        <v>10.68.134.96</v>
      </c>
      <c r="L7" t="str">
        <v>10.68.134.96</v>
      </c>
      <c r="M7" t="str">
        <v>AIM-DTAAD4</v>
      </c>
      <c r="N7" t="str">
        <v>N/A</v>
      </c>
      <c r="O7" t="str">
        <v>Win 11 25H2</v>
      </c>
      <c r="P7" t="b">
        <v>0</v>
      </c>
      <c r="Q7">
        <v>0</v>
      </c>
      <c r="R7" t="str">
        <v>Functional</v>
      </c>
      <c r="S7" t="str">
        <v>Needs Model &amp; Serial</v>
      </c>
    </row>
    <row r="8" spans="1:21" x14ac:dyDescent="0.2">
      <c r="A8">
        <v>472</v>
      </c>
      <c r="B8" t="str">
        <v>Desktop</v>
      </c>
      <c r="C8">
        <v>0</v>
      </c>
      <c r="D8">
        <v>0</v>
      </c>
      <c r="E8">
        <v>0</v>
      </c>
      <c r="F8">
        <v>0</v>
      </c>
      <c r="G8" t="str">
        <v/>
      </c>
      <c r="H8" t="str">
        <v>In Use</v>
      </c>
      <c r="I8" t="str">
        <v>WS - Carousel - QT Desk</v>
      </c>
      <c r="J8">
        <v>0</v>
      </c>
      <c r="K8" t="str">
        <v>10.68.89.</v>
      </c>
      <c r="L8" t="str">
        <v/>
      </c>
      <c r="M8" t="str">
        <v>AIM-QUALITY5-D</v>
      </c>
      <c r="N8" t="str">
        <v>N/A</v>
      </c>
      <c r="O8" t="str">
        <v>Win 10 22H2</v>
      </c>
      <c r="P8" t="b">
        <v>0</v>
      </c>
      <c r="Q8">
        <v>0</v>
      </c>
      <c r="R8" t="str">
        <v>Functional</v>
      </c>
      <c r="S8" t="str">
        <v>Needs Brand, Model, Serial</v>
      </c>
    </row>
    <row r="9" spans="1:21" x14ac:dyDescent="0.2">
      <c r="A9">
        <v>471</v>
      </c>
      <c r="B9" t="str">
        <v>Desktop</v>
      </c>
      <c r="C9">
        <v>0</v>
      </c>
      <c r="D9">
        <v>0</v>
      </c>
      <c r="E9">
        <v>0</v>
      </c>
      <c r="F9">
        <v>0</v>
      </c>
      <c r="G9" t="str">
        <v/>
      </c>
      <c r="H9" t="str">
        <v>In Use</v>
      </c>
      <c r="I9" t="str">
        <v>WS - AGS - WS Side Seal</v>
      </c>
      <c r="J9">
        <v>0</v>
      </c>
      <c r="K9" t="str">
        <v>10.68.89.</v>
      </c>
      <c r="L9" t="str">
        <v/>
      </c>
      <c r="M9" t="str">
        <v>AIM-TR2-D</v>
      </c>
      <c r="N9" t="str">
        <v>N/A</v>
      </c>
      <c r="O9" t="str">
        <v>&lt;Disconnected&gt;</v>
      </c>
      <c r="P9" t="b">
        <v>0</v>
      </c>
      <c r="Q9">
        <v>0</v>
      </c>
      <c r="R9" t="str">
        <v>Functional</v>
      </c>
      <c r="S9" t="str">
        <v>Needs Brand, Model, Serial</v>
      </c>
    </row>
    <row r="10" spans="1:21" x14ac:dyDescent="0.2">
      <c r="A10">
        <v>298</v>
      </c>
      <c r="B10" t="str">
        <v>Desktop</v>
      </c>
      <c r="C10" t="str">
        <v>HP</v>
      </c>
      <c r="D10" t="str">
        <v>HP ProDesk 600 G5 DM</v>
      </c>
      <c r="E10" t="str">
        <v>Serial Number</v>
      </c>
      <c r="F10">
        <v>0</v>
      </c>
      <c r="G10" t="str">
        <v/>
      </c>
      <c r="H10" t="str">
        <v>In Use</v>
      </c>
      <c r="I10" t="str">
        <v>WS - AGS - Build 1</v>
      </c>
      <c r="J10">
        <v>0</v>
      </c>
      <c r="K10" t="str">
        <v>10.68.89.</v>
      </c>
      <c r="L10" t="str">
        <v/>
      </c>
      <c r="M10" t="str">
        <v>AIM-WSFEM30</v>
      </c>
      <c r="N10" t="str">
        <v>N/A</v>
      </c>
      <c r="O10" t="str">
        <v>&lt;Disconnected&gt;</v>
      </c>
      <c r="P10" t="b">
        <v>0</v>
      </c>
      <c r="Q10">
        <v>0</v>
      </c>
      <c r="R10">
        <v>0</v>
      </c>
      <c r="S10" t="str">
        <v>Needs Serial</v>
      </c>
    </row>
    <row r="11" spans="1:21" x14ac:dyDescent="0.2">
      <c r="A11">
        <v>301</v>
      </c>
      <c r="B11" t="str">
        <v>Desktop</v>
      </c>
      <c r="C11" t="str">
        <v>HP</v>
      </c>
      <c r="D11" t="str">
        <v>HP ProDesk 600 G5 DM</v>
      </c>
      <c r="E11" t="str">
        <v>Serial Number</v>
      </c>
      <c r="F11">
        <v>0</v>
      </c>
      <c r="G11" t="str">
        <v/>
      </c>
      <c r="H11" t="str">
        <v>In Use</v>
      </c>
      <c r="I11" t="str">
        <v>WS - Display - Laramie Lookahead</v>
      </c>
      <c r="J11">
        <v>0</v>
      </c>
      <c r="K11" t="str">
        <v>10.68.134.47</v>
      </c>
      <c r="L11" t="str">
        <v>10.68.134.47</v>
      </c>
      <c r="M11" t="str">
        <v>AIM-WSFEM34</v>
      </c>
      <c r="N11" t="str">
        <v>N/A</v>
      </c>
      <c r="O11" t="str">
        <v>&lt;Disconnected&gt;</v>
      </c>
      <c r="P11" t="b">
        <v>0</v>
      </c>
      <c r="Q11">
        <v>0</v>
      </c>
      <c r="R11" t="str">
        <v>Functional</v>
      </c>
      <c r="S11" t="str">
        <v>Needs Serial</v>
      </c>
    </row>
    <row r="12" spans="1:21" x14ac:dyDescent="0.2">
      <c r="A12">
        <v>312</v>
      </c>
      <c r="B12" t="str">
        <v>Desktop</v>
      </c>
      <c r="C12" t="str">
        <v>HP</v>
      </c>
      <c r="D12" t="str">
        <v>HP ProDesk 600 G5 DM</v>
      </c>
      <c r="E12" t="str">
        <v>Serial Number</v>
      </c>
      <c r="F12">
        <v>0</v>
      </c>
      <c r="G12" t="str">
        <v/>
      </c>
      <c r="H12" t="str">
        <v>In Use</v>
      </c>
      <c r="I12" t="str">
        <v>WS - AGS - Test 2</v>
      </c>
      <c r="J12">
        <v>0</v>
      </c>
      <c r="K12" t="str">
        <v>10.68.89.</v>
      </c>
      <c r="L12" t="str">
        <v/>
      </c>
      <c r="M12" t="str">
        <v>AIM-WSFEM45</v>
      </c>
      <c r="N12" t="str">
        <v>N/A</v>
      </c>
      <c r="O12" t="str">
        <v>&lt;Disconnected&gt;</v>
      </c>
      <c r="P12" t="b">
        <v>0</v>
      </c>
      <c r="Q12">
        <v>0</v>
      </c>
      <c r="R12" t="str">
        <v>Functional</v>
      </c>
      <c r="S12" t="str">
        <v>Needs Serial</v>
      </c>
    </row>
    <row r="13" spans="1:21" x14ac:dyDescent="0.2">
      <c r="A13">
        <v>317</v>
      </c>
      <c r="B13" t="str">
        <v>Desktop</v>
      </c>
      <c r="C13" t="str">
        <v>HP</v>
      </c>
      <c r="D13" t="str">
        <v>HP ProDesk 600 G5 DM</v>
      </c>
      <c r="E13" t="str">
        <v>Serial Number</v>
      </c>
      <c r="F13">
        <v>0</v>
      </c>
      <c r="G13" t="str">
        <v/>
      </c>
      <c r="H13" t="str">
        <v>In Use</v>
      </c>
      <c r="I13" t="str">
        <v>WS - AGS - Seal 1</v>
      </c>
      <c r="J13">
        <v>0</v>
      </c>
      <c r="K13" t="str">
        <v>10.68.89.</v>
      </c>
      <c r="L13" t="str">
        <v/>
      </c>
      <c r="M13" t="str">
        <v>AIM-WSFEM7</v>
      </c>
      <c r="N13" t="str">
        <v>N/A</v>
      </c>
      <c r="O13" t="str">
        <v>&lt;Disconnected&gt;</v>
      </c>
      <c r="P13" t="b">
        <v>0</v>
      </c>
      <c r="Q13">
        <v>0</v>
      </c>
      <c r="R13" t="str">
        <v>Functional</v>
      </c>
      <c r="S13" t="str">
        <v>Needs Serial</v>
      </c>
    </row>
    <row r="14" spans="1:21" x14ac:dyDescent="0.2">
      <c r="A14">
        <v>806</v>
      </c>
      <c r="B14" t="str">
        <v>Printer</v>
      </c>
      <c r="C14" t="str">
        <v>Sato</v>
      </c>
      <c r="D14" t="str">
        <v>CL4NX</v>
      </c>
      <c r="E14" t="str">
        <v>Serial Number</v>
      </c>
      <c r="F14">
        <v>0</v>
      </c>
      <c r="G14" t="str">
        <v/>
      </c>
      <c r="H14" t="str">
        <v>In Use</v>
      </c>
      <c r="I14" t="str">
        <v>T1XX - SUV - Assembly 1</v>
      </c>
      <c r="J14">
        <v>0</v>
      </c>
      <c r="K14" t="str">
        <v>10.68.134.</v>
      </c>
      <c r="L14" t="str">
        <v/>
      </c>
      <c r="M14">
        <v>0</v>
      </c>
      <c r="N14" t="str">
        <v>N/A</v>
      </c>
      <c r="O14" t="str">
        <v>N/A</v>
      </c>
      <c r="P14" t="b">
        <v>0</v>
      </c>
      <c r="Q14">
        <v>0</v>
      </c>
      <c r="R14" t="str">
        <v>Functional</v>
      </c>
      <c r="S14" t="str">
        <v>Needs Serial</v>
      </c>
    </row>
    <row r="15" spans="1:21" x14ac:dyDescent="0.2">
      <c r="A15">
        <v>807</v>
      </c>
      <c r="B15" t="str">
        <v>Printer</v>
      </c>
      <c r="C15" t="str">
        <v>Sato</v>
      </c>
      <c r="D15" t="str">
        <v>CL4NX</v>
      </c>
      <c r="E15" t="str">
        <v>Serial Number</v>
      </c>
      <c r="F15">
        <v>0</v>
      </c>
      <c r="G15" t="str">
        <v/>
      </c>
      <c r="H15" t="str">
        <v>In Use</v>
      </c>
      <c r="I15" t="str">
        <v>T1XX - SUV - Assembly 2</v>
      </c>
      <c r="J15">
        <v>0</v>
      </c>
      <c r="K15" t="str">
        <v>10.68.134.</v>
      </c>
      <c r="L15" t="str">
        <v/>
      </c>
      <c r="M15">
        <v>0</v>
      </c>
      <c r="N15" t="str">
        <v>N/A</v>
      </c>
      <c r="O15" t="str">
        <v>N/A</v>
      </c>
      <c r="P15" t="b">
        <v>0</v>
      </c>
      <c r="Q15">
        <v>0</v>
      </c>
      <c r="R15" t="str">
        <v>Functional</v>
      </c>
      <c r="S15" t="str">
        <v>Needs Serial</v>
      </c>
    </row>
    <row r="16" spans="1:21" x14ac:dyDescent="0.2">
      <c r="A16">
        <v>808</v>
      </c>
      <c r="B16" t="str">
        <v>Printer</v>
      </c>
      <c r="C16" t="str">
        <v>Sato</v>
      </c>
      <c r="D16" t="str">
        <v>CL4NX</v>
      </c>
      <c r="E16" t="str">
        <v>Serial Number</v>
      </c>
      <c r="F16">
        <v>0</v>
      </c>
      <c r="G16" t="str">
        <v/>
      </c>
      <c r="H16" t="str">
        <v>In Use</v>
      </c>
      <c r="I16" t="str">
        <v>T1XX - SUV - Assembly 3</v>
      </c>
      <c r="J16">
        <v>0</v>
      </c>
      <c r="K16" t="str">
        <v>10.68.134.</v>
      </c>
      <c r="L16" t="str">
        <v/>
      </c>
      <c r="M16">
        <v>0</v>
      </c>
      <c r="N16" t="str">
        <v>N/A</v>
      </c>
      <c r="O16" t="str">
        <v>N/A</v>
      </c>
      <c r="P16" t="b">
        <v>0</v>
      </c>
      <c r="Q16">
        <v>0</v>
      </c>
      <c r="R16" t="str">
        <v>Functional</v>
      </c>
      <c r="S16" t="str">
        <v>Needs Serial</v>
      </c>
    </row>
    <row r="17" spans="1:19" x14ac:dyDescent="0.2">
      <c r="A17">
        <v>809</v>
      </c>
      <c r="B17" t="str">
        <v>Printer</v>
      </c>
      <c r="C17" t="str">
        <v>Sato</v>
      </c>
      <c r="D17" t="str">
        <v>CL4NX</v>
      </c>
      <c r="E17" t="str">
        <v>Serial Number</v>
      </c>
      <c r="F17">
        <v>0</v>
      </c>
      <c r="G17" t="str">
        <v/>
      </c>
      <c r="H17" t="str">
        <v>In Use</v>
      </c>
      <c r="I17" t="str">
        <v>T1XX - SUV - Test</v>
      </c>
      <c r="J17">
        <v>0</v>
      </c>
      <c r="K17" t="str">
        <v>10.68.134.</v>
      </c>
      <c r="L17" t="str">
        <v/>
      </c>
      <c r="M17">
        <v>0</v>
      </c>
      <c r="N17" t="str">
        <v>N/A</v>
      </c>
      <c r="O17" t="str">
        <v>N/A</v>
      </c>
      <c r="P17" t="b">
        <v>0</v>
      </c>
      <c r="Q17">
        <v>0</v>
      </c>
      <c r="R17" t="str">
        <v>Functional</v>
      </c>
      <c r="S17" t="str">
        <v>Needs Serial</v>
      </c>
    </row>
  </sheetData>
  <mergeCells count="1">
    <mergeCell ref="A1:S1"/>
  </mergeCells>
  <conditionalFormatting sqref="K1:M1048576 F1:G1048576">
    <cfRule type="duplicateValues" dxfId="14" priority="3"/>
  </conditionalFormatting>
  <conditionalFormatting sqref="T2:U2 A1:S1048576">
    <cfRule type="expression" dxfId="13" priority="2">
      <formula>OR($D1 = "No Dupe Serials", $D1 = "No Dupe IPs", $D1 = "No Dupe Names")</formula>
    </cfRule>
  </conditionalFormatting>
  <conditionalFormatting sqref="A3:U40">
    <cfRule type="expression" dxfId="12" priority="1">
      <formula>NOT(ISBLANK($A3))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5C14C-1E3D-41A1-9882-AEDA2909A145}">
  <sheetPr codeName="QtyInventorySheet">
    <tabColor rgb="FFFFC000"/>
  </sheetPr>
  <dimension ref="A1:R101"/>
  <sheetViews>
    <sheetView topLeftCell="A62" workbookViewId="0">
      <selection activeCell="J76" sqref="J76"/>
    </sheetView>
  </sheetViews>
  <sheetFormatPr defaultRowHeight="14.25" x14ac:dyDescent="0.2"/>
  <cols>
    <col min="1" max="1" width="38.21875" bestFit="1" customWidth="1"/>
    <col min="2" max="2" width="12.88671875" bestFit="1" customWidth="1"/>
    <col min="3" max="3" width="10" bestFit="1" customWidth="1"/>
    <col min="4" max="4" width="27.88671875" bestFit="1" customWidth="1"/>
    <col min="5" max="11" width="4" bestFit="1" customWidth="1"/>
    <col min="12" max="12" width="6" bestFit="1" customWidth="1"/>
    <col min="13" max="13" width="7" bestFit="1" customWidth="1"/>
    <col min="14" max="15" width="4" bestFit="1" customWidth="1"/>
    <col min="16" max="16" width="6.33203125" customWidth="1"/>
    <col min="17" max="17" width="4" bestFit="1" customWidth="1"/>
    <col min="18" max="18" width="6" bestFit="1" customWidth="1"/>
  </cols>
  <sheetData>
    <row r="1" spans="1:18" ht="19.5" x14ac:dyDescent="0.2">
      <c r="A1" s="279" t="s">
        <v>2195</v>
      </c>
      <c r="B1" s="280"/>
      <c r="C1" s="280"/>
      <c r="D1" s="280"/>
      <c r="E1" s="280"/>
      <c r="F1" s="280"/>
      <c r="G1" s="280"/>
      <c r="H1" s="280"/>
      <c r="I1" s="280"/>
      <c r="J1" s="280"/>
      <c r="K1" s="280"/>
      <c r="L1" s="280"/>
      <c r="M1" s="280"/>
      <c r="N1" s="280"/>
      <c r="O1" s="280"/>
      <c r="P1" s="280"/>
      <c r="Q1" s="280"/>
      <c r="R1" s="281"/>
    </row>
    <row r="2" spans="1:18" x14ac:dyDescent="0.2">
      <c r="A2" s="170"/>
      <c r="B2" s="1" t="s">
        <v>2196</v>
      </c>
      <c r="C2" s="1" t="s">
        <v>2197</v>
      </c>
      <c r="D2" s="173"/>
      <c r="E2" s="152"/>
      <c r="F2" s="152"/>
      <c r="G2" s="152"/>
      <c r="H2" s="152"/>
      <c r="I2" s="152"/>
      <c r="J2" s="152"/>
      <c r="K2" s="152"/>
      <c r="L2" s="152"/>
      <c r="M2" s="152"/>
      <c r="N2" s="152"/>
      <c r="O2" s="296" t="s">
        <v>352</v>
      </c>
      <c r="P2" s="297"/>
      <c r="Q2" s="167"/>
      <c r="R2" s="167"/>
    </row>
    <row r="3" spans="1:18" x14ac:dyDescent="0.2">
      <c r="A3" s="170"/>
      <c r="B3" s="1">
        <f>QtyNonMatchCount</f>
        <v>43</v>
      </c>
      <c r="C3" s="1">
        <f>QtyBlankCount</f>
        <v>43</v>
      </c>
      <c r="D3" s="171"/>
      <c r="E3" s="172"/>
      <c r="F3" s="172"/>
      <c r="G3" s="172"/>
      <c r="H3" s="172"/>
      <c r="I3" s="172"/>
      <c r="J3" s="172"/>
      <c r="K3" s="172"/>
      <c r="L3" s="172"/>
      <c r="M3" s="152"/>
      <c r="N3" s="152"/>
      <c r="O3" s="190">
        <f>COUNTIF(StorageTable[IsValidMatch], FALSE)</f>
        <v>43</v>
      </c>
      <c r="P3" s="190">
        <f>SUM(StorageTable[Blanks])</f>
        <v>43</v>
      </c>
      <c r="Q3" s="167"/>
      <c r="R3" s="167"/>
    </row>
    <row r="4" spans="1:18" s="158" customFormat="1" ht="89.25" customHeight="1" x14ac:dyDescent="0.2">
      <c r="A4" s="206" t="s">
        <v>2181</v>
      </c>
      <c r="B4" s="207" t="s">
        <v>6</v>
      </c>
      <c r="C4" s="207" t="s">
        <v>272</v>
      </c>
      <c r="D4" s="207" t="s">
        <v>273</v>
      </c>
      <c r="E4" s="208" t="s">
        <v>302</v>
      </c>
      <c r="F4" s="208" t="s">
        <v>348</v>
      </c>
      <c r="G4" s="208" t="s">
        <v>318</v>
      </c>
      <c r="H4" s="208" t="s">
        <v>338</v>
      </c>
      <c r="I4" s="208" t="s">
        <v>315</v>
      </c>
      <c r="J4" s="208" t="s">
        <v>321</v>
      </c>
      <c r="K4" s="208" t="s">
        <v>328</v>
      </c>
      <c r="L4" s="209" t="s">
        <v>2198</v>
      </c>
      <c r="M4" s="209" t="s">
        <v>2199</v>
      </c>
      <c r="N4" s="209" t="s">
        <v>2200</v>
      </c>
      <c r="O4" s="209" t="s">
        <v>2201</v>
      </c>
      <c r="P4" s="209" t="s">
        <v>2202</v>
      </c>
      <c r="Q4" s="209" t="s">
        <v>2197</v>
      </c>
      <c r="R4" s="209" t="s">
        <v>2203</v>
      </c>
    </row>
    <row r="5" spans="1:18" x14ac:dyDescent="0.2">
      <c r="A5" s="11" t="str">
        <f>_xlfn.TEXTJOIN("~", TRUE, StorageTable[[#This Row],[Type]],StorageTable[[#This Row],[Brand]],StorageTable[[#This Row],[Model]])</f>
        <v>APC~APC~BE600M1</v>
      </c>
      <c r="B5" s="38" t="s">
        <v>342</v>
      </c>
      <c r="C5" s="38" t="s">
        <v>342</v>
      </c>
      <c r="D5" s="38" t="s">
        <v>1907</v>
      </c>
      <c r="E5" s="164">
        <v>0</v>
      </c>
      <c r="F5" s="1">
        <v>0</v>
      </c>
      <c r="G5" s="1">
        <v>0</v>
      </c>
      <c r="H5" s="1">
        <v>0</v>
      </c>
      <c r="I5" s="1"/>
      <c r="J5" s="187"/>
      <c r="K5" s="1">
        <v>0</v>
      </c>
      <c r="L5" s="161" t="b">
        <f>COUNTBLANK(StorageTable[[#This Row],[IT Cage]:[Backup Server Room]]) = 0</f>
        <v>0</v>
      </c>
      <c r="M5" s="160">
        <f>SUM(StorageTable[[#This Row],[IT Cage]:[Backup Server Room]])</f>
        <v>0</v>
      </c>
      <c r="N5" s="159">
        <f>_xlfn.XLOOKUP(StorageTable[[#This Row],[Tag]],ITSecondTable[Tag],ITSecondTable[SQty],0,0)</f>
        <v>3</v>
      </c>
      <c r="O5" s="159">
        <f>_xlfn.XLOOKUP(StorageTable[[#This Row],[Tag]],ITSecondTable[Tag],ITSecondTable[TQty],0,0) - StorageTable[[#This Row],[All - Serialized Total]]</f>
        <v>0</v>
      </c>
      <c r="P5" s="5" t="b">
        <f>OR(StorageTable[[#This Row],[In Storage - Count Total]] = StorageTable[[#This Row],[All - Serialized Total]], ISBLANK(StorageTable[[#This Row],[Model]]), ISBLANK(StorageTable[[#This Row],[Brand]]), ISBLANK(StorageTable[[#This Row],[Type]]))</f>
        <v>0</v>
      </c>
      <c r="Q5" s="159">
        <f>_xlfn.LET(_xlpm.countb, COUNTIF(StorageTable[[#This Row],[IT Cage]:[Backup Server Room]], ""),
_xlpm.tbm_blank, COUNTBLANK(StorageTable[[#This Row],[Type]:[Model]]) &gt; 0,
_xlpm.adjcount, IF(_xlpm.tbm_blank, 0, _xlpm.countb),
_xlpm.adjcount)</f>
        <v>2</v>
      </c>
      <c r="R5" s="161" t="b">
        <f>COUNTIF(StorageTable[[#This Row],[Type]:[Model]], "") &gt; 0</f>
        <v>0</v>
      </c>
    </row>
    <row r="6" spans="1:18" x14ac:dyDescent="0.2">
      <c r="A6" s="11" t="str">
        <f>_xlfn.TEXTJOIN("~", TRUE, StorageTable[[#This Row],[Type]],StorageTable[[#This Row],[Brand]],StorageTable[[#This Row],[Model]])</f>
        <v>APC~APC~BE750G</v>
      </c>
      <c r="B6" s="38" t="s">
        <v>342</v>
      </c>
      <c r="C6" s="38" t="s">
        <v>342</v>
      </c>
      <c r="D6" s="38" t="s">
        <v>1909</v>
      </c>
      <c r="E6" s="1">
        <v>0</v>
      </c>
      <c r="F6" s="1">
        <v>0</v>
      </c>
      <c r="G6" s="1">
        <v>0</v>
      </c>
      <c r="H6" s="1">
        <v>0</v>
      </c>
      <c r="I6" s="1"/>
      <c r="J6" s="187"/>
      <c r="K6" s="1">
        <v>0</v>
      </c>
      <c r="L6" s="161" t="b">
        <f>COUNTBLANK(StorageTable[[#This Row],[IT Cage]:[Backup Server Room]]) = 0</f>
        <v>0</v>
      </c>
      <c r="M6" s="161">
        <f>SUM(StorageTable[[#This Row],[IT Cage]:[Backup Server Room]])</f>
        <v>0</v>
      </c>
      <c r="N6" s="159">
        <f>_xlfn.XLOOKUP(StorageTable[[#This Row],[Tag]],ITSecondTable[Tag],ITSecondTable[SQty],0,0)</f>
        <v>3</v>
      </c>
      <c r="O6" s="159">
        <f>_xlfn.XLOOKUP(StorageTable[[#This Row],[Tag]],ITSecondTable[Tag],ITSecondTable[TQty],0,0) - StorageTable[[#This Row],[All - Serialized Total]]</f>
        <v>1</v>
      </c>
      <c r="P6" s="5" t="b">
        <f>OR(StorageTable[[#This Row],[In Storage - Count Total]] = StorageTable[[#This Row],[All - Serialized Total]], ISBLANK(StorageTable[[#This Row],[Model]]), ISBLANK(StorageTable[[#This Row],[Brand]]), ISBLANK(StorageTable[[#This Row],[Type]]))</f>
        <v>0</v>
      </c>
      <c r="Q6" s="159">
        <f>_xlfn.LET(_xlpm.countb, COUNTIF(StorageTable[[#This Row],[IT Cage]:[Backup Server Room]], ""),
_xlpm.tbm_blank, COUNTBLANK(StorageTable[[#This Row],[Type]:[Model]]) &gt; 0,
_xlpm.adjcount, IF(_xlpm.tbm_blank, 0, _xlpm.countb),
_xlpm.adjcount)</f>
        <v>2</v>
      </c>
      <c r="R6" s="161" t="b">
        <f>COUNTIF(StorageTable[[#This Row],[Type]:[Model]], "") &gt; 0</f>
        <v>0</v>
      </c>
    </row>
    <row r="7" spans="1:18" x14ac:dyDescent="0.2">
      <c r="A7" s="11" t="str">
        <f>_xlfn.TEXTJOIN("~", TRUE, StorageTable[[#This Row],[Type]],StorageTable[[#This Row],[Brand]],StorageTable[[#This Row],[Model]])</f>
        <v>APC~APC~BE850M2</v>
      </c>
      <c r="B7" s="38" t="s">
        <v>342</v>
      </c>
      <c r="C7" s="38" t="s">
        <v>342</v>
      </c>
      <c r="D7" s="38" t="s">
        <v>1911</v>
      </c>
      <c r="E7" s="1">
        <v>0</v>
      </c>
      <c r="F7" s="1">
        <v>0</v>
      </c>
      <c r="G7" s="1">
        <v>0</v>
      </c>
      <c r="H7" s="1">
        <v>0</v>
      </c>
      <c r="I7" s="1"/>
      <c r="J7" s="166"/>
      <c r="K7" s="1">
        <v>0</v>
      </c>
      <c r="L7" s="161" t="b">
        <f>COUNTBLANK(StorageTable[[#This Row],[IT Cage]:[Backup Server Room]]) = 0</f>
        <v>0</v>
      </c>
      <c r="M7" s="161">
        <f>SUM(StorageTable[[#This Row],[IT Cage]:[Backup Server Room]])</f>
        <v>0</v>
      </c>
      <c r="N7" s="159">
        <f>_xlfn.XLOOKUP(StorageTable[[#This Row],[Tag]],ITSecondTable[Tag],ITSecondTable[SQty],0,0)</f>
        <v>11</v>
      </c>
      <c r="O7" s="159">
        <f>_xlfn.XLOOKUP(StorageTable[[#This Row],[Tag]],ITSecondTable[Tag],ITSecondTable[TQty],0,0) - StorageTable[[#This Row],[All - Serialized Total]]</f>
        <v>0</v>
      </c>
      <c r="P7" s="5" t="b">
        <f>OR(StorageTable[[#This Row],[In Storage - Count Total]] = StorageTable[[#This Row],[All - Serialized Total]], ISBLANK(StorageTable[[#This Row],[Model]]), ISBLANK(StorageTable[[#This Row],[Brand]]), ISBLANK(StorageTable[[#This Row],[Type]]))</f>
        <v>0</v>
      </c>
      <c r="Q7" s="159">
        <f>_xlfn.LET(_xlpm.countb, COUNTIF(StorageTable[[#This Row],[IT Cage]:[Backup Server Room]], ""),
_xlpm.tbm_blank, COUNTBLANK(StorageTable[[#This Row],[Type]:[Model]]) &gt; 0,
_xlpm.adjcount, IF(_xlpm.tbm_blank, 0, _xlpm.countb),
_xlpm.adjcount)</f>
        <v>2</v>
      </c>
      <c r="R7" s="161" t="b">
        <f>COUNTIF(StorageTable[[#This Row],[Type]:[Model]], "") &gt; 0</f>
        <v>0</v>
      </c>
    </row>
    <row r="8" spans="1:18" x14ac:dyDescent="0.2">
      <c r="A8" s="11" t="str">
        <f>_xlfn.TEXTJOIN("~", TRUE, StorageTable[[#This Row],[Type]],StorageTable[[#This Row],[Brand]],StorageTable[[#This Row],[Model]])</f>
        <v>APC~APC~SC620</v>
      </c>
      <c r="B8" s="38" t="s">
        <v>342</v>
      </c>
      <c r="C8" s="38" t="s">
        <v>342</v>
      </c>
      <c r="D8" s="38" t="s">
        <v>1968</v>
      </c>
      <c r="E8" s="1">
        <v>0</v>
      </c>
      <c r="F8" s="1">
        <v>0</v>
      </c>
      <c r="G8" s="1">
        <v>0</v>
      </c>
      <c r="H8" s="1">
        <v>0</v>
      </c>
      <c r="I8" s="1"/>
      <c r="J8" s="1"/>
      <c r="K8" s="1">
        <v>0</v>
      </c>
      <c r="L8" s="161" t="b">
        <f>COUNTBLANK(StorageTable[[#This Row],[IT Cage]:[Backup Server Room]]) = 0</f>
        <v>0</v>
      </c>
      <c r="M8" s="161">
        <f>SUM(StorageTable[[#This Row],[IT Cage]:[Backup Server Room]])</f>
        <v>0</v>
      </c>
      <c r="N8" s="159">
        <f>_xlfn.XLOOKUP(StorageTable[[#This Row],[Tag]],ITSecondTable[Tag],ITSecondTable[SQty],0,0)</f>
        <v>4</v>
      </c>
      <c r="O8" s="159">
        <f>_xlfn.XLOOKUP(StorageTable[[#This Row],[Tag]],ITSecondTable[Tag],ITSecondTable[TQty],0,0) - StorageTable[[#This Row],[All - Serialized Total]]</f>
        <v>0</v>
      </c>
      <c r="P8" s="5" t="b">
        <f>OR(StorageTable[[#This Row],[In Storage - Count Total]] = StorageTable[[#This Row],[All - Serialized Total]], ISBLANK(StorageTable[[#This Row],[Model]]), ISBLANK(StorageTable[[#This Row],[Brand]]), ISBLANK(StorageTable[[#This Row],[Type]]))</f>
        <v>0</v>
      </c>
      <c r="Q8" s="159">
        <f>_xlfn.LET(_xlpm.countb, COUNTIF(StorageTable[[#This Row],[IT Cage]:[Backup Server Room]], ""),
_xlpm.tbm_blank, COUNTBLANK(StorageTable[[#This Row],[Type]:[Model]]) &gt; 0,
_xlpm.adjcount, IF(_xlpm.tbm_blank, 0, _xlpm.countb),
_xlpm.adjcount)</f>
        <v>2</v>
      </c>
      <c r="R8" s="161" t="b">
        <f>COUNTIF(StorageTable[[#This Row],[Type]:[Model]], "") &gt; 0</f>
        <v>0</v>
      </c>
    </row>
    <row r="9" spans="1:18" x14ac:dyDescent="0.2">
      <c r="A9" s="91" t="str">
        <f>_xlfn.TEXTJOIN("~", TRUE, StorageTable[[#This Row],[Type]],StorageTable[[#This Row],[Brand]],StorageTable[[#This Row],[Model]])</f>
        <v>APC~CyberPower</v>
      </c>
      <c r="B9" s="38" t="s">
        <v>342</v>
      </c>
      <c r="C9" s="38" t="s">
        <v>343</v>
      </c>
      <c r="D9" s="38"/>
      <c r="E9" s="1">
        <v>0</v>
      </c>
      <c r="F9" s="1">
        <v>0</v>
      </c>
      <c r="G9" s="1">
        <v>0</v>
      </c>
      <c r="H9" s="1">
        <v>0</v>
      </c>
      <c r="I9" s="1">
        <v>0</v>
      </c>
      <c r="J9" s="1">
        <v>0</v>
      </c>
      <c r="K9" s="1">
        <v>0</v>
      </c>
      <c r="L9" s="161" t="b">
        <f>COUNTBLANK(StorageTable[[#This Row],[IT Cage]:[Backup Server Room]]) = 0</f>
        <v>1</v>
      </c>
      <c r="M9" s="161">
        <f>SUM(StorageTable[[#This Row],[IT Cage]:[Backup Server Room]])</f>
        <v>0</v>
      </c>
      <c r="N9" s="161">
        <f>_xlfn.XLOOKUP(StorageTable[[#This Row],[Tag]],ITSecondTable[Tag],ITSecondTable[SQty],0,0)</f>
        <v>0</v>
      </c>
      <c r="O9" s="161">
        <f>_xlfn.XLOOKUP(StorageTable[[#This Row],[Tag]],ITSecondTable[Tag],ITSecondTable[TQty],0,0) - StorageTable[[#This Row],[All - Serialized Total]]</f>
        <v>1</v>
      </c>
      <c r="P9" s="12" t="b">
        <f>OR(StorageTable[[#This Row],[In Storage - Count Total]] = StorageTable[[#This Row],[All - Serialized Total]], ISBLANK(StorageTable[[#This Row],[Model]]), ISBLANK(StorageTable[[#This Row],[Brand]]), ISBLANK(StorageTable[[#This Row],[Type]]))</f>
        <v>1</v>
      </c>
      <c r="Q9" s="161">
        <f>_xlfn.LET(_xlpm.countb, COUNTIF(StorageTable[[#This Row],[IT Cage]:[Backup Server Room]], ""),
_xlpm.tbm_blank, COUNTBLANK(StorageTable[[#This Row],[Type]:[Model]]) &gt; 0,
_xlpm.adjcount, IF(_xlpm.tbm_blank, 0, _xlpm.countb),
_xlpm.adjcount)</f>
        <v>0</v>
      </c>
      <c r="R9" s="161" t="b">
        <f>COUNTIF(StorageTable[[#This Row],[Type]:[Model]], "") &gt; 0</f>
        <v>1</v>
      </c>
    </row>
    <row r="10" spans="1:18" x14ac:dyDescent="0.2">
      <c r="A10" s="11" t="str">
        <f>_xlfn.TEXTJOIN("~", TRUE, StorageTable[[#This Row],[Type]],StorageTable[[#This Row],[Brand]],StorageTable[[#This Row],[Model]])</f>
        <v>Desktop~Dell~OptiPlex 3040</v>
      </c>
      <c r="B10" s="38" t="s">
        <v>304</v>
      </c>
      <c r="C10" s="38" t="s">
        <v>308</v>
      </c>
      <c r="D10" s="38" t="s">
        <v>309</v>
      </c>
      <c r="E10" s="1">
        <v>0</v>
      </c>
      <c r="F10" s="1">
        <v>0</v>
      </c>
      <c r="G10" s="1">
        <v>6</v>
      </c>
      <c r="H10" s="1">
        <v>0</v>
      </c>
      <c r="I10" s="1">
        <v>0</v>
      </c>
      <c r="J10" s="1">
        <v>0</v>
      </c>
      <c r="K10" s="1">
        <v>0</v>
      </c>
      <c r="L10" s="159" t="b">
        <f>COUNTBLANK(StorageTable[[#This Row],[IT Cage]:[Backup Server Room]]) = 0</f>
        <v>1</v>
      </c>
      <c r="M10" s="159">
        <f>SUM(StorageTable[[#This Row],[IT Cage]:[Backup Server Room]])</f>
        <v>6</v>
      </c>
      <c r="N10" s="159">
        <f>_xlfn.XLOOKUP(StorageTable[[#This Row],[Tag]],ITSecondTable[Tag],ITSecondTable[SQty],0,0)</f>
        <v>17</v>
      </c>
      <c r="O10" s="159">
        <f>_xlfn.XLOOKUP(StorageTable[[#This Row],[Tag]],ITSecondTable[Tag],ITSecondTable[TQty],0,0) - StorageTable[[#This Row],[All - Serialized Total]]</f>
        <v>47</v>
      </c>
      <c r="P10" s="5" t="b">
        <f>OR(StorageTable[[#This Row],[In Storage - Count Total]] = StorageTable[[#This Row],[All - Serialized Total]], ISBLANK(StorageTable[[#This Row],[Model]]), ISBLANK(StorageTable[[#This Row],[Brand]]), ISBLANK(StorageTable[[#This Row],[Type]]))</f>
        <v>0</v>
      </c>
      <c r="Q10" s="159">
        <f>_xlfn.LET(_xlpm.countb, COUNTIF(StorageTable[[#This Row],[IT Cage]:[Backup Server Room]], ""),
_xlpm.tbm_blank, COUNTBLANK(StorageTable[[#This Row],[Type]:[Model]]) &gt; 0,
_xlpm.adjcount, IF(_xlpm.tbm_blank, 0, _xlpm.countb),
_xlpm.adjcount)</f>
        <v>0</v>
      </c>
      <c r="R10" s="161" t="b">
        <f>COUNTIF(StorageTable[[#This Row],[Type]:[Model]], "") &gt; 0</f>
        <v>0</v>
      </c>
    </row>
    <row r="11" spans="1:18" x14ac:dyDescent="0.2">
      <c r="A11" s="11" t="str">
        <f>_xlfn.TEXTJOIN("~", TRUE, StorageTable[[#This Row],[Type]],StorageTable[[#This Row],[Brand]],StorageTable[[#This Row],[Model]])</f>
        <v>Desktop~Dell~OptiPlex 3050</v>
      </c>
      <c r="B11" s="38" t="s">
        <v>304</v>
      </c>
      <c r="C11" s="38" t="s">
        <v>308</v>
      </c>
      <c r="D11" s="38" t="s">
        <v>416</v>
      </c>
      <c r="E11" s="1">
        <v>0</v>
      </c>
      <c r="F11" s="1">
        <v>0</v>
      </c>
      <c r="G11" s="187"/>
      <c r="H11" s="1">
        <v>0</v>
      </c>
      <c r="I11" s="1">
        <v>0</v>
      </c>
      <c r="J11" s="1">
        <v>0</v>
      </c>
      <c r="K11" s="1">
        <v>0</v>
      </c>
      <c r="L11" s="159" t="b">
        <f>COUNTBLANK(StorageTable[[#This Row],[IT Cage]:[Backup Server Room]]) = 0</f>
        <v>0</v>
      </c>
      <c r="M11" s="159">
        <f>SUM(StorageTable[[#This Row],[IT Cage]:[Backup Server Room]])</f>
        <v>0</v>
      </c>
      <c r="N11" s="159">
        <f>_xlfn.XLOOKUP(StorageTable[[#This Row],[Tag]],ITSecondTable[Tag],ITSecondTable[SQty],0,0)</f>
        <v>8</v>
      </c>
      <c r="O11" s="159">
        <f>_xlfn.XLOOKUP(StorageTable[[#This Row],[Tag]],ITSecondTable[Tag],ITSecondTable[TQty],0,0) - StorageTable[[#This Row],[All - Serialized Total]]</f>
        <v>19</v>
      </c>
      <c r="P11" s="5" t="b">
        <f>OR(StorageTable[[#This Row],[In Storage - Count Total]] = StorageTable[[#This Row],[All - Serialized Total]], ISBLANK(StorageTable[[#This Row],[Model]]), ISBLANK(StorageTable[[#This Row],[Brand]]), ISBLANK(StorageTable[[#This Row],[Type]]))</f>
        <v>0</v>
      </c>
      <c r="Q11" s="159">
        <f>_xlfn.LET(_xlpm.countb, COUNTIF(StorageTable[[#This Row],[IT Cage]:[Backup Server Room]], ""),
_xlpm.tbm_blank, COUNTBLANK(StorageTable[[#This Row],[Type]:[Model]]) &gt; 0,
_xlpm.adjcount, IF(_xlpm.tbm_blank, 0, _xlpm.countb),
_xlpm.adjcount)</f>
        <v>1</v>
      </c>
      <c r="R11" s="161" t="b">
        <f>COUNTIF(StorageTable[[#This Row],[Type]:[Model]], "") &gt; 0</f>
        <v>0</v>
      </c>
    </row>
    <row r="12" spans="1:18" x14ac:dyDescent="0.2">
      <c r="A12" s="11" t="str">
        <f>_xlfn.TEXTJOIN("~", TRUE, StorageTable[[#This Row],[Type]],StorageTable[[#This Row],[Brand]],StorageTable[[#This Row],[Model]])</f>
        <v>Desktop~Dell~OptiPlex 3060</v>
      </c>
      <c r="B12" s="38" t="s">
        <v>304</v>
      </c>
      <c r="C12" s="38" t="s">
        <v>308</v>
      </c>
      <c r="D12" s="38" t="s">
        <v>427</v>
      </c>
      <c r="E12" s="1">
        <v>0</v>
      </c>
      <c r="F12" s="1">
        <v>0</v>
      </c>
      <c r="G12" s="273">
        <v>1</v>
      </c>
      <c r="H12" s="1">
        <v>0</v>
      </c>
      <c r="I12" s="1">
        <v>0</v>
      </c>
      <c r="J12" s="1">
        <v>0</v>
      </c>
      <c r="K12" s="1">
        <v>0</v>
      </c>
      <c r="L12" s="159" t="b">
        <f>COUNTBLANK(StorageTable[[#This Row],[IT Cage]:[Backup Server Room]]) = 0</f>
        <v>1</v>
      </c>
      <c r="M12" s="159">
        <f>SUM(StorageTable[[#This Row],[IT Cage]:[Backup Server Room]])</f>
        <v>1</v>
      </c>
      <c r="N12" s="159">
        <f>_xlfn.XLOOKUP(StorageTable[[#This Row],[Tag]],ITSecondTable[Tag],ITSecondTable[SQty],0,0)</f>
        <v>3</v>
      </c>
      <c r="O12" s="159">
        <f>_xlfn.XLOOKUP(StorageTable[[#This Row],[Tag]],ITSecondTable[Tag],ITSecondTable[TQty],0,0) - StorageTable[[#This Row],[All - Serialized Total]]</f>
        <v>7</v>
      </c>
      <c r="P12" s="5" t="b">
        <f>OR(StorageTable[[#This Row],[In Storage - Count Total]] = StorageTable[[#This Row],[All - Serialized Total]], ISBLANK(StorageTable[[#This Row],[Model]]), ISBLANK(StorageTable[[#This Row],[Brand]]), ISBLANK(StorageTable[[#This Row],[Type]]))</f>
        <v>0</v>
      </c>
      <c r="Q12" s="159">
        <f>_xlfn.LET(_xlpm.countb, COUNTIF(StorageTable[[#This Row],[IT Cage]:[Backup Server Room]], ""),
_xlpm.tbm_blank, COUNTBLANK(StorageTable[[#This Row],[Type]:[Model]]) &gt; 0,
_xlpm.adjcount, IF(_xlpm.tbm_blank, 0, _xlpm.countb),
_xlpm.adjcount)</f>
        <v>0</v>
      </c>
      <c r="R12" s="161" t="b">
        <f>COUNTIF(StorageTable[[#This Row],[Type]:[Model]], "") &gt; 0</f>
        <v>0</v>
      </c>
    </row>
    <row r="13" spans="1:18" x14ac:dyDescent="0.2">
      <c r="A13" s="11" t="str">
        <f>_xlfn.TEXTJOIN("~", TRUE, StorageTable[[#This Row],[Type]],StorageTable[[#This Row],[Brand]],StorageTable[[#This Row],[Model]])</f>
        <v>Desktop~Dell~OptiPlex 3070</v>
      </c>
      <c r="B13" s="38" t="s">
        <v>304</v>
      </c>
      <c r="C13" s="38" t="s">
        <v>308</v>
      </c>
      <c r="D13" s="38" t="s">
        <v>435</v>
      </c>
      <c r="E13" s="1">
        <v>0</v>
      </c>
      <c r="F13" s="1">
        <v>0</v>
      </c>
      <c r="G13" s="1">
        <v>0</v>
      </c>
      <c r="H13" s="1">
        <v>0</v>
      </c>
      <c r="I13" s="1">
        <v>0</v>
      </c>
      <c r="J13" s="1">
        <v>0</v>
      </c>
      <c r="K13" s="1">
        <v>0</v>
      </c>
      <c r="L13" s="161" t="b">
        <f>COUNTBLANK(StorageTable[[#This Row],[IT Cage]:[Backup Server Room]]) = 0</f>
        <v>1</v>
      </c>
      <c r="M13" s="161">
        <f>SUM(StorageTable[[#This Row],[IT Cage]:[Backup Server Room]])</f>
        <v>0</v>
      </c>
      <c r="N13" s="159">
        <f>_xlfn.XLOOKUP(StorageTable[[#This Row],[Tag]],ITSecondTable[Tag],ITSecondTable[SQty],0,0)</f>
        <v>1</v>
      </c>
      <c r="O13" s="159">
        <f>_xlfn.XLOOKUP(StorageTable[[#This Row],[Tag]],ITSecondTable[Tag],ITSecondTable[TQty],0,0) - StorageTable[[#This Row],[All - Serialized Total]]</f>
        <v>1</v>
      </c>
      <c r="P13" s="5" t="b">
        <f>OR(StorageTable[[#This Row],[In Storage - Count Total]] = StorageTable[[#This Row],[All - Serialized Total]], ISBLANK(StorageTable[[#This Row],[Model]]), ISBLANK(StorageTable[[#This Row],[Brand]]), ISBLANK(StorageTable[[#This Row],[Type]]))</f>
        <v>0</v>
      </c>
      <c r="Q13" s="159">
        <f>_xlfn.LET(_xlpm.countb, COUNTIF(StorageTable[[#This Row],[IT Cage]:[Backup Server Room]], ""),
_xlpm.tbm_blank, COUNTBLANK(StorageTable[[#This Row],[Type]:[Model]]) &gt; 0,
_xlpm.adjcount, IF(_xlpm.tbm_blank, 0, _xlpm.countb),
_xlpm.adjcount)</f>
        <v>0</v>
      </c>
      <c r="R13" s="161" t="b">
        <f>COUNTIF(StorageTable[[#This Row],[Type]:[Model]], "") &gt; 0</f>
        <v>0</v>
      </c>
    </row>
    <row r="14" spans="1:18" x14ac:dyDescent="0.2">
      <c r="A14" s="11" t="str">
        <f>_xlfn.TEXTJOIN("~", TRUE, StorageTable[[#This Row],[Type]],StorageTable[[#This Row],[Brand]],StorageTable[[#This Row],[Model]])</f>
        <v>Desktop~Dell~OptiPlex 5050</v>
      </c>
      <c r="B14" s="38" t="s">
        <v>304</v>
      </c>
      <c r="C14" s="38" t="s">
        <v>308</v>
      </c>
      <c r="D14" s="38" t="s">
        <v>1399</v>
      </c>
      <c r="E14" s="1">
        <v>1</v>
      </c>
      <c r="F14" s="1">
        <v>0</v>
      </c>
      <c r="G14" s="1">
        <v>0</v>
      </c>
      <c r="H14" s="1">
        <v>0</v>
      </c>
      <c r="I14" s="1">
        <v>0</v>
      </c>
      <c r="J14" s="1">
        <v>0</v>
      </c>
      <c r="K14" s="1">
        <v>0</v>
      </c>
      <c r="L14" s="161" t="b">
        <f>COUNTBLANK(StorageTable[[#This Row],[IT Cage]:[Backup Server Room]]) = 0</f>
        <v>1</v>
      </c>
      <c r="M14" s="161">
        <f>SUM(StorageTable[[#This Row],[IT Cage]:[Backup Server Room]])</f>
        <v>1</v>
      </c>
      <c r="N14" s="159">
        <f>_xlfn.XLOOKUP(StorageTable[[#This Row],[Tag]],ITSecondTable[Tag],ITSecondTable[SQty],0,0)</f>
        <v>1</v>
      </c>
      <c r="O14" s="159">
        <f>_xlfn.XLOOKUP(StorageTable[[#This Row],[Tag]],ITSecondTable[Tag],ITSecondTable[TQty],0,0) - StorageTable[[#This Row],[All - Serialized Total]]</f>
        <v>0</v>
      </c>
      <c r="P14" s="5" t="b">
        <f>OR(StorageTable[[#This Row],[In Storage - Count Total]] = StorageTable[[#This Row],[All - Serialized Total]], ISBLANK(StorageTable[[#This Row],[Model]]), ISBLANK(StorageTable[[#This Row],[Brand]]), ISBLANK(StorageTable[[#This Row],[Type]]))</f>
        <v>1</v>
      </c>
      <c r="Q14" s="159">
        <f>_xlfn.LET(_xlpm.countb, COUNTIF(StorageTable[[#This Row],[IT Cage]:[Backup Server Room]], ""),
_xlpm.tbm_blank, COUNTBLANK(StorageTable[[#This Row],[Type]:[Model]]) &gt; 0,
_xlpm.adjcount, IF(_xlpm.tbm_blank, 0, _xlpm.countb),
_xlpm.adjcount)</f>
        <v>0</v>
      </c>
      <c r="R14" s="161" t="b">
        <f>COUNTIF(StorageTable[[#This Row],[Type]:[Model]], "") &gt; 0</f>
        <v>0</v>
      </c>
    </row>
    <row r="15" spans="1:18" x14ac:dyDescent="0.2">
      <c r="A15" s="11" t="str">
        <f>_xlfn.TEXTJOIN("~", TRUE, StorageTable[[#This Row],[Type]],StorageTable[[#This Row],[Brand]],StorageTable[[#This Row],[Model]])</f>
        <v>Desktop~Dell~OptiPlex 5060</v>
      </c>
      <c r="B15" s="38" t="s">
        <v>304</v>
      </c>
      <c r="C15" s="38" t="s">
        <v>308</v>
      </c>
      <c r="D15" s="38" t="s">
        <v>1771</v>
      </c>
      <c r="E15" s="1">
        <v>1</v>
      </c>
      <c r="F15" s="1">
        <v>0</v>
      </c>
      <c r="G15" s="1">
        <v>0</v>
      </c>
      <c r="H15" s="1">
        <v>0</v>
      </c>
      <c r="I15" s="1">
        <v>0</v>
      </c>
      <c r="J15" s="1">
        <v>0</v>
      </c>
      <c r="K15" s="1">
        <v>0</v>
      </c>
      <c r="L15" s="161" t="b">
        <f>COUNTBLANK(StorageTable[[#This Row],[IT Cage]:[Backup Server Room]]) = 0</f>
        <v>1</v>
      </c>
      <c r="M15" s="161">
        <f>SUM(StorageTable[[#This Row],[IT Cage]:[Backup Server Room]])</f>
        <v>1</v>
      </c>
      <c r="N15" s="159">
        <f>_xlfn.XLOOKUP(StorageTable[[#This Row],[Tag]],ITSecondTable[Tag],ITSecondTable[SQty],0,0)</f>
        <v>1</v>
      </c>
      <c r="O15" s="159">
        <f>_xlfn.XLOOKUP(StorageTable[[#This Row],[Tag]],ITSecondTable[Tag],ITSecondTable[TQty],0,0) - StorageTable[[#This Row],[All - Serialized Total]]</f>
        <v>0</v>
      </c>
      <c r="P15" s="5" t="b">
        <f>OR(StorageTable[[#This Row],[In Storage - Count Total]] = StorageTable[[#This Row],[All - Serialized Total]], ISBLANK(StorageTable[[#This Row],[Model]]), ISBLANK(StorageTable[[#This Row],[Brand]]), ISBLANK(StorageTable[[#This Row],[Type]]))</f>
        <v>1</v>
      </c>
      <c r="Q15" s="159">
        <f>_xlfn.LET(_xlpm.countb, COUNTIF(StorageTable[[#This Row],[IT Cage]:[Backup Server Room]], ""),
_xlpm.tbm_blank, COUNTBLANK(StorageTable[[#This Row],[Type]:[Model]]) &gt; 0,
_xlpm.adjcount, IF(_xlpm.tbm_blank, 0, _xlpm.countb),
_xlpm.adjcount)</f>
        <v>0</v>
      </c>
      <c r="R15" s="161" t="b">
        <f>COUNTIF(StorageTable[[#This Row],[Type]:[Model]], "") &gt; 0</f>
        <v>0</v>
      </c>
    </row>
    <row r="16" spans="1:18" x14ac:dyDescent="0.2">
      <c r="A16" s="91" t="str">
        <f>_xlfn.TEXTJOIN("~", TRUE, StorageTable[[#This Row],[Type]],StorageTable[[#This Row],[Brand]],StorageTable[[#This Row],[Model]])</f>
        <v>Desktop~Dell</v>
      </c>
      <c r="B16" s="38" t="s">
        <v>304</v>
      </c>
      <c r="C16" s="38" t="s">
        <v>308</v>
      </c>
      <c r="D16" s="38"/>
      <c r="E16" s="1">
        <v>0</v>
      </c>
      <c r="F16" s="1">
        <v>0</v>
      </c>
      <c r="G16" s="1">
        <v>0</v>
      </c>
      <c r="H16" s="1">
        <v>0</v>
      </c>
      <c r="I16" s="1">
        <v>0</v>
      </c>
      <c r="J16" s="1">
        <v>0</v>
      </c>
      <c r="K16" s="1">
        <v>0</v>
      </c>
      <c r="L16" s="161" t="b">
        <f>COUNTBLANK(StorageTable[[#This Row],[IT Cage]:[Backup Server Room]]) = 0</f>
        <v>1</v>
      </c>
      <c r="M16" s="161">
        <f>SUM(StorageTable[[#This Row],[IT Cage]:[Backup Server Room]])</f>
        <v>0</v>
      </c>
      <c r="N16" s="161">
        <f>_xlfn.XLOOKUP(StorageTable[[#This Row],[Tag]],ITSecondTable[Tag],ITSecondTable[SQty],0,0)</f>
        <v>2</v>
      </c>
      <c r="O16" s="161">
        <f>_xlfn.XLOOKUP(StorageTable[[#This Row],[Tag]],ITSecondTable[Tag],ITSecondTable[TQty],0,0) - StorageTable[[#This Row],[All - Serialized Total]]</f>
        <v>9</v>
      </c>
      <c r="P16" s="5" t="b">
        <f>OR(StorageTable[[#This Row],[In Storage - Count Total]] = StorageTable[[#This Row],[All - Serialized Total]], ISBLANK(StorageTable[[#This Row],[Model]]), ISBLANK(StorageTable[[#This Row],[Brand]]), ISBLANK(StorageTable[[#This Row],[Type]]))</f>
        <v>1</v>
      </c>
      <c r="Q16" s="159">
        <f>_xlfn.LET(_xlpm.countb, COUNTIF(StorageTable[[#This Row],[IT Cage]:[Backup Server Room]], ""),
_xlpm.tbm_blank, COUNTBLANK(StorageTable[[#This Row],[Type]:[Model]]) &gt; 0,
_xlpm.adjcount, IF(_xlpm.tbm_blank, 0, _xlpm.countb),
_xlpm.adjcount)</f>
        <v>0</v>
      </c>
      <c r="R16" s="161" t="b">
        <f>COUNTIF(StorageTable[[#This Row],[Type]:[Model]], "") &gt; 0</f>
        <v>1</v>
      </c>
    </row>
    <row r="17" spans="1:18" x14ac:dyDescent="0.2">
      <c r="A17" s="91" t="str">
        <f>_xlfn.TEXTJOIN("~", TRUE, StorageTable[[#This Row],[Type]],StorageTable[[#This Row],[Brand]],StorageTable[[#This Row],[Model]])</f>
        <v>Desktop~HP~HP EliteDesk 705 G4 DM</v>
      </c>
      <c r="B17" s="38" t="s">
        <v>304</v>
      </c>
      <c r="C17" s="38" t="s">
        <v>403</v>
      </c>
      <c r="D17" s="38" t="s">
        <v>949</v>
      </c>
      <c r="E17" s="1">
        <v>0</v>
      </c>
      <c r="F17" s="1">
        <v>0</v>
      </c>
      <c r="G17" s="1">
        <v>0</v>
      </c>
      <c r="H17" s="1">
        <v>0</v>
      </c>
      <c r="I17" s="1">
        <v>0</v>
      </c>
      <c r="J17" s="1">
        <v>0</v>
      </c>
      <c r="K17" s="1">
        <v>0</v>
      </c>
      <c r="L17" s="161" t="b">
        <f>COUNTBLANK(StorageTable[[#This Row],[IT Cage]:[Backup Server Room]]) = 0</f>
        <v>1</v>
      </c>
      <c r="M17" s="161">
        <f>SUM(StorageTable[[#This Row],[IT Cage]:[Backup Server Room]])</f>
        <v>0</v>
      </c>
      <c r="N17" s="161">
        <f>_xlfn.XLOOKUP(StorageTable[[#This Row],[Tag]],ITSecondTable[Tag],ITSecondTable[SQty],0,0)</f>
        <v>0</v>
      </c>
      <c r="O17" s="161">
        <f>_xlfn.XLOOKUP(StorageTable[[#This Row],[Tag]],ITSecondTable[Tag],ITSecondTable[TQty],0,0) - StorageTable[[#This Row],[All - Serialized Total]]</f>
        <v>3</v>
      </c>
      <c r="P17" s="5" t="b">
        <f>OR(StorageTable[[#This Row],[In Storage - Count Total]] = StorageTable[[#This Row],[All - Serialized Total]], ISBLANK(StorageTable[[#This Row],[Model]]), ISBLANK(StorageTable[[#This Row],[Brand]]), ISBLANK(StorageTable[[#This Row],[Type]]))</f>
        <v>1</v>
      </c>
      <c r="Q17" s="159">
        <f>_xlfn.LET(_xlpm.countb, COUNTIF(StorageTable[[#This Row],[IT Cage]:[Backup Server Room]], ""),
_xlpm.tbm_blank, COUNTBLANK(StorageTable[[#This Row],[Type]:[Model]]) &gt; 0,
_xlpm.adjcount, IF(_xlpm.tbm_blank, 0, _xlpm.countb),
_xlpm.adjcount)</f>
        <v>0</v>
      </c>
      <c r="R17" s="161" t="b">
        <f>COUNTIF(StorageTable[[#This Row],[Type]:[Model]], "") &gt; 0</f>
        <v>0</v>
      </c>
    </row>
    <row r="18" spans="1:18" x14ac:dyDescent="0.2">
      <c r="A18" s="11" t="str">
        <f>_xlfn.TEXTJOIN("~", TRUE, StorageTable[[#This Row],[Type]],StorageTable[[#This Row],[Brand]],StorageTable[[#This Row],[Model]])</f>
        <v>Desktop~HP~HP EliteDesk 800 G3 DM</v>
      </c>
      <c r="B18" s="38" t="s">
        <v>304</v>
      </c>
      <c r="C18" s="38" t="s">
        <v>403</v>
      </c>
      <c r="D18" s="38" t="s">
        <v>953</v>
      </c>
      <c r="E18" s="1">
        <v>1</v>
      </c>
      <c r="F18" s="1">
        <v>0</v>
      </c>
      <c r="G18" s="1">
        <v>0</v>
      </c>
      <c r="H18" s="1">
        <v>0</v>
      </c>
      <c r="I18" s="1">
        <v>0</v>
      </c>
      <c r="J18" s="1">
        <v>0</v>
      </c>
      <c r="K18" s="1">
        <v>0</v>
      </c>
      <c r="L18" s="161" t="b">
        <f>COUNTBLANK(StorageTable[[#This Row],[IT Cage]:[Backup Server Room]]) = 0</f>
        <v>1</v>
      </c>
      <c r="M18" s="161">
        <f>SUM(StorageTable[[#This Row],[IT Cage]:[Backup Server Room]])</f>
        <v>1</v>
      </c>
      <c r="N18" s="159">
        <f>_xlfn.XLOOKUP(StorageTable[[#This Row],[Tag]],ITSecondTable[Tag],ITSecondTable[SQty],0,0)</f>
        <v>1</v>
      </c>
      <c r="O18" s="159">
        <f>_xlfn.XLOOKUP(StorageTable[[#This Row],[Tag]],ITSecondTable[Tag],ITSecondTable[TQty],0,0) - StorageTable[[#This Row],[All - Serialized Total]]</f>
        <v>4</v>
      </c>
      <c r="P18" s="5" t="b">
        <f>OR(StorageTable[[#This Row],[In Storage - Count Total]] = StorageTable[[#This Row],[All - Serialized Total]], ISBLANK(StorageTable[[#This Row],[Model]]), ISBLANK(StorageTable[[#This Row],[Brand]]), ISBLANK(StorageTable[[#This Row],[Type]]))</f>
        <v>1</v>
      </c>
      <c r="Q18" s="159">
        <f>_xlfn.LET(_xlpm.countb, COUNTIF(StorageTable[[#This Row],[IT Cage]:[Backup Server Room]], ""),
_xlpm.tbm_blank, COUNTBLANK(StorageTable[[#This Row],[Type]:[Model]]) &gt; 0,
_xlpm.adjcount, IF(_xlpm.tbm_blank, 0, _xlpm.countb),
_xlpm.adjcount)</f>
        <v>0</v>
      </c>
      <c r="R18" s="161" t="b">
        <f>COUNTIF(StorageTable[[#This Row],[Type]:[Model]], "") &gt; 0</f>
        <v>0</v>
      </c>
    </row>
    <row r="19" spans="1:18" x14ac:dyDescent="0.2">
      <c r="A19" s="91" t="str">
        <f>_xlfn.TEXTJOIN("~", TRUE, StorageTable[[#This Row],[Type]],StorageTable[[#This Row],[Brand]],StorageTable[[#This Row],[Model]])</f>
        <v>Desktop~HP~HP ProDesk 400 G4 DM</v>
      </c>
      <c r="B19" s="38" t="s">
        <v>304</v>
      </c>
      <c r="C19" s="38" t="s">
        <v>403</v>
      </c>
      <c r="D19" s="38" t="s">
        <v>1356</v>
      </c>
      <c r="E19" s="164"/>
      <c r="F19" s="1">
        <v>0</v>
      </c>
      <c r="G19" s="1"/>
      <c r="H19" s="1">
        <v>0</v>
      </c>
      <c r="I19" s="1">
        <v>0</v>
      </c>
      <c r="J19" s="1">
        <v>0</v>
      </c>
      <c r="K19" s="1"/>
      <c r="L19" s="161" t="b">
        <f>COUNTBLANK(StorageTable[[#This Row],[IT Cage]:[Backup Server Room]]) = 0</f>
        <v>0</v>
      </c>
      <c r="M19" s="161">
        <f>SUM(StorageTable[[#This Row],[IT Cage]:[Backup Server Room]])</f>
        <v>0</v>
      </c>
      <c r="N19" s="161">
        <f>_xlfn.XLOOKUP(StorageTable[[#This Row],[Tag]],ITSecondTable[Tag],ITSecondTable[SQty],0,0)</f>
        <v>1</v>
      </c>
      <c r="O19" s="161">
        <f>_xlfn.XLOOKUP(StorageTable[[#This Row],[Tag]],ITSecondTable[Tag],ITSecondTable[TQty],0,0) - StorageTable[[#This Row],[All - Serialized Total]]</f>
        <v>0</v>
      </c>
      <c r="P19" s="12" t="b">
        <f>OR(StorageTable[[#This Row],[In Storage - Count Total]] = StorageTable[[#This Row],[All - Serialized Total]], ISBLANK(StorageTable[[#This Row],[Model]]), ISBLANK(StorageTable[[#This Row],[Brand]]), ISBLANK(StorageTable[[#This Row],[Type]]))</f>
        <v>0</v>
      </c>
      <c r="Q19" s="161">
        <f>_xlfn.LET(_xlpm.countb, COUNTIF(StorageTable[[#This Row],[IT Cage]:[Backup Server Room]], ""),
_xlpm.tbm_blank, COUNTBLANK(StorageTable[[#This Row],[Type]:[Model]]) &gt; 0,
_xlpm.adjcount, IF(_xlpm.tbm_blank, 0, _xlpm.countb),
_xlpm.adjcount)</f>
        <v>3</v>
      </c>
      <c r="R19" s="161" t="b">
        <f>COUNTIF(StorageTable[[#This Row],[Type]:[Model]], "") &gt; 0</f>
        <v>0</v>
      </c>
    </row>
    <row r="20" spans="1:18" x14ac:dyDescent="0.2">
      <c r="A20" s="11" t="str">
        <f>_xlfn.TEXTJOIN("~", TRUE, StorageTable[[#This Row],[Type]],StorageTable[[#This Row],[Brand]],StorageTable[[#This Row],[Model]])</f>
        <v>Desktop~HP~HP ProDesk 400 G5 SFF</v>
      </c>
      <c r="B20" s="157" t="s">
        <v>304</v>
      </c>
      <c r="C20" s="157" t="s">
        <v>403</v>
      </c>
      <c r="D20" s="157" t="s">
        <v>975</v>
      </c>
      <c r="E20" s="164">
        <v>0</v>
      </c>
      <c r="F20" s="1">
        <v>0</v>
      </c>
      <c r="G20" s="1">
        <v>0</v>
      </c>
      <c r="H20" s="1">
        <v>0</v>
      </c>
      <c r="I20" s="1">
        <v>0</v>
      </c>
      <c r="J20" s="1">
        <v>0</v>
      </c>
      <c r="K20" s="1">
        <v>0</v>
      </c>
      <c r="L20" s="161" t="b">
        <f>COUNTBLANK(StorageTable[[#This Row],[IT Cage]:[Backup Server Room]]) = 0</f>
        <v>1</v>
      </c>
      <c r="M20" s="160">
        <f>SUM(StorageTable[[#This Row],[IT Cage]:[Backup Server Room]])</f>
        <v>0</v>
      </c>
      <c r="N20" s="159">
        <f>_xlfn.XLOOKUP(StorageTable[[#This Row],[Tag]],ITSecondTable[Tag],ITSecondTable[SQty],0,0)</f>
        <v>0</v>
      </c>
      <c r="O20" s="159">
        <f>_xlfn.XLOOKUP(StorageTable[[#This Row],[Tag]],ITSecondTable[Tag],ITSecondTable[TQty],0,0) - StorageTable[[#This Row],[All - Serialized Total]]</f>
        <v>1</v>
      </c>
      <c r="P20" s="5" t="b">
        <f>OR(StorageTable[[#This Row],[In Storage - Count Total]] = StorageTable[[#This Row],[All - Serialized Total]], ISBLANK(StorageTable[[#This Row],[Model]]), ISBLANK(StorageTable[[#This Row],[Brand]]), ISBLANK(StorageTable[[#This Row],[Type]]))</f>
        <v>1</v>
      </c>
      <c r="Q20" s="159">
        <f>_xlfn.LET(_xlpm.countb, COUNTIF(StorageTable[[#This Row],[IT Cage]:[Backup Server Room]], ""),
_xlpm.tbm_blank, COUNTBLANK(StorageTable[[#This Row],[Type]:[Model]]) &gt; 0,
_xlpm.adjcount, IF(_xlpm.tbm_blank, 0, _xlpm.countb),
_xlpm.adjcount)</f>
        <v>0</v>
      </c>
      <c r="R20" s="161" t="b">
        <f>COUNTIF(StorageTable[[#This Row],[Type]:[Model]], "") &gt; 0</f>
        <v>0</v>
      </c>
    </row>
    <row r="21" spans="1:18" x14ac:dyDescent="0.2">
      <c r="A21" s="11" t="str">
        <f>_xlfn.TEXTJOIN("~", TRUE, StorageTable[[#This Row],[Type]],StorageTable[[#This Row],[Brand]],StorageTable[[#This Row],[Model]])</f>
        <v>Desktop~HP~HP ProDesk 600 G3 DM</v>
      </c>
      <c r="B21" s="157" t="s">
        <v>304</v>
      </c>
      <c r="C21" s="157" t="s">
        <v>403</v>
      </c>
      <c r="D21" s="157" t="s">
        <v>967</v>
      </c>
      <c r="E21" s="164">
        <v>0</v>
      </c>
      <c r="F21" s="1">
        <v>0</v>
      </c>
      <c r="G21" s="1">
        <v>0</v>
      </c>
      <c r="H21" s="1">
        <v>0</v>
      </c>
      <c r="I21" s="1">
        <v>0</v>
      </c>
      <c r="J21" s="1">
        <v>0</v>
      </c>
      <c r="K21" s="1">
        <v>0</v>
      </c>
      <c r="L21" s="161" t="b">
        <f>COUNTBLANK(StorageTable[[#This Row],[IT Cage]:[Backup Server Room]]) = 0</f>
        <v>1</v>
      </c>
      <c r="M21" s="161">
        <f>SUM(StorageTable[[#This Row],[IT Cage]:[Backup Server Room]])</f>
        <v>0</v>
      </c>
      <c r="N21" s="159">
        <f>_xlfn.XLOOKUP(StorageTable[[#This Row],[Tag]],ITSecondTable[Tag],ITSecondTable[SQty],0,0)</f>
        <v>0</v>
      </c>
      <c r="O21" s="159">
        <f>_xlfn.XLOOKUP(StorageTable[[#This Row],[Tag]],ITSecondTable[Tag],ITSecondTable[TQty],0,0) - StorageTable[[#This Row],[All - Serialized Total]]</f>
        <v>1</v>
      </c>
      <c r="P21" s="5" t="b">
        <f>OR(StorageTable[[#This Row],[In Storage - Count Total]] = StorageTable[[#This Row],[All - Serialized Total]], ISBLANK(StorageTable[[#This Row],[Model]]), ISBLANK(StorageTable[[#This Row],[Brand]]), ISBLANK(StorageTable[[#This Row],[Type]]))</f>
        <v>1</v>
      </c>
      <c r="Q21" s="159">
        <f>_xlfn.LET(_xlpm.countb, COUNTIF(StorageTable[[#This Row],[IT Cage]:[Backup Server Room]], ""),
_xlpm.tbm_blank, COUNTBLANK(StorageTable[[#This Row],[Type]:[Model]]) &gt; 0,
_xlpm.adjcount, IF(_xlpm.tbm_blank, 0, _xlpm.countb),
_xlpm.adjcount)</f>
        <v>0</v>
      </c>
      <c r="R21" s="161" t="b">
        <f>COUNTIF(StorageTable[[#This Row],[Type]:[Model]], "") &gt; 0</f>
        <v>0</v>
      </c>
    </row>
    <row r="22" spans="1:18" x14ac:dyDescent="0.2">
      <c r="A22" s="11" t="str">
        <f>_xlfn.TEXTJOIN("~", TRUE, StorageTable[[#This Row],[Type]],StorageTable[[#This Row],[Brand]],StorageTable[[#This Row],[Model]])</f>
        <v>Desktop~HP~HP ProDesk 600 G4 SFF</v>
      </c>
      <c r="B22" s="157" t="s">
        <v>304</v>
      </c>
      <c r="C22" s="157" t="s">
        <v>403</v>
      </c>
      <c r="D22" s="157" t="s">
        <v>914</v>
      </c>
      <c r="E22" s="1">
        <v>1</v>
      </c>
      <c r="F22" s="1">
        <v>0</v>
      </c>
      <c r="G22" s="1">
        <v>0</v>
      </c>
      <c r="H22" s="1">
        <v>0</v>
      </c>
      <c r="I22" s="1">
        <v>0</v>
      </c>
      <c r="J22" s="1">
        <v>0</v>
      </c>
      <c r="K22" s="1">
        <v>0</v>
      </c>
      <c r="L22" s="161" t="b">
        <f>COUNTBLANK(StorageTable[[#This Row],[IT Cage]:[Backup Server Room]]) = 0</f>
        <v>1</v>
      </c>
      <c r="M22" s="161">
        <f>SUM(StorageTable[[#This Row],[IT Cage]:[Backup Server Room]])</f>
        <v>1</v>
      </c>
      <c r="N22" s="159">
        <f>_xlfn.XLOOKUP(StorageTable[[#This Row],[Tag]],ITSecondTable[Tag],ITSecondTable[SQty],0,0)</f>
        <v>0</v>
      </c>
      <c r="O22" s="159">
        <f>_xlfn.XLOOKUP(StorageTable[[#This Row],[Tag]],ITSecondTable[Tag],ITSecondTable[TQty],0,0) - StorageTable[[#This Row],[All - Serialized Total]]</f>
        <v>3</v>
      </c>
      <c r="P22" s="5" t="b">
        <f>OR(StorageTable[[#This Row],[In Storage - Count Total]] = StorageTable[[#This Row],[All - Serialized Total]], ISBLANK(StorageTable[[#This Row],[Model]]), ISBLANK(StorageTable[[#This Row],[Brand]]), ISBLANK(StorageTable[[#This Row],[Type]]))</f>
        <v>0</v>
      </c>
      <c r="Q22" s="159">
        <f>_xlfn.LET(_xlpm.countb, COUNTIF(StorageTable[[#This Row],[IT Cage]:[Backup Server Room]], ""),
_xlpm.tbm_blank, COUNTBLANK(StorageTable[[#This Row],[Type]:[Model]]) &gt; 0,
_xlpm.adjcount, IF(_xlpm.tbm_blank, 0, _xlpm.countb),
_xlpm.adjcount)</f>
        <v>0</v>
      </c>
      <c r="R22" s="161" t="b">
        <f>COUNTIF(StorageTable[[#This Row],[Type]:[Model]], "") &gt; 0</f>
        <v>0</v>
      </c>
    </row>
    <row r="23" spans="1:18" x14ac:dyDescent="0.2">
      <c r="A23" s="11" t="str">
        <f>_xlfn.TEXTJOIN("~", TRUE, StorageTable[[#This Row],[Type]],StorageTable[[#This Row],[Brand]],StorageTable[[#This Row],[Model]])</f>
        <v>Desktop~HP~HP ProDesk 600 G5 DM</v>
      </c>
      <c r="B23" s="157" t="s">
        <v>304</v>
      </c>
      <c r="C23" s="157" t="s">
        <v>403</v>
      </c>
      <c r="D23" s="157" t="s">
        <v>568</v>
      </c>
      <c r="E23" s="1">
        <v>10</v>
      </c>
      <c r="F23" s="1">
        <v>0</v>
      </c>
      <c r="G23" s="1">
        <v>0</v>
      </c>
      <c r="H23" s="1">
        <v>0</v>
      </c>
      <c r="I23" s="1">
        <v>0</v>
      </c>
      <c r="J23" s="1">
        <v>0</v>
      </c>
      <c r="K23" s="1">
        <v>0</v>
      </c>
      <c r="L23" s="161" t="b">
        <f>COUNTBLANK(StorageTable[[#This Row],[IT Cage]:[Backup Server Room]]) = 0</f>
        <v>1</v>
      </c>
      <c r="M23" s="160">
        <f>SUM(StorageTable[[#This Row],[IT Cage]:[Backup Server Room]])</f>
        <v>10</v>
      </c>
      <c r="N23" s="159">
        <f>_xlfn.XLOOKUP(StorageTable[[#This Row],[Tag]],ITSecondTable[Tag],ITSecondTable[SQty],0,0)</f>
        <v>16</v>
      </c>
      <c r="O23" s="159">
        <f>_xlfn.XLOOKUP(StorageTable[[#This Row],[Tag]],ITSecondTable[Tag],ITSecondTable[TQty],0,0) - StorageTable[[#This Row],[All - Serialized Total]]</f>
        <v>32</v>
      </c>
      <c r="P23" s="5" t="b">
        <f>OR(StorageTable[[#This Row],[In Storage - Count Total]] = StorageTable[[#This Row],[All - Serialized Total]], ISBLANK(StorageTable[[#This Row],[Model]]), ISBLANK(StorageTable[[#This Row],[Brand]]), ISBLANK(StorageTable[[#This Row],[Type]]))</f>
        <v>0</v>
      </c>
      <c r="Q23" s="159">
        <f>_xlfn.LET(_xlpm.countb, COUNTIF(StorageTable[[#This Row],[IT Cage]:[Backup Server Room]], ""),
_xlpm.tbm_blank, COUNTBLANK(StorageTable[[#This Row],[Type]:[Model]]) &gt; 0,
_xlpm.adjcount, IF(_xlpm.tbm_blank, 0, _xlpm.countb),
_xlpm.adjcount)</f>
        <v>0</v>
      </c>
      <c r="R23" s="161" t="b">
        <f>COUNTIF(StorageTable[[#This Row],[Type]:[Model]], "") &gt; 0</f>
        <v>0</v>
      </c>
    </row>
    <row r="24" spans="1:18" x14ac:dyDescent="0.2">
      <c r="A24" s="91" t="str">
        <f>_xlfn.TEXTJOIN("~", TRUE, StorageTable[[#This Row],[Type]],StorageTable[[#This Row],[Brand]],StorageTable[[#This Row],[Model]])</f>
        <v>Desktop~HP~HP rp5800 Retail System</v>
      </c>
      <c r="B24" s="157" t="s">
        <v>304</v>
      </c>
      <c r="C24" s="157" t="s">
        <v>403</v>
      </c>
      <c r="D24" s="157" t="s">
        <v>2112</v>
      </c>
      <c r="E24" s="1">
        <v>0</v>
      </c>
      <c r="F24" s="1">
        <v>0</v>
      </c>
      <c r="G24" s="1">
        <v>0</v>
      </c>
      <c r="H24" s="1">
        <v>0</v>
      </c>
      <c r="I24" s="1">
        <v>0</v>
      </c>
      <c r="J24" s="1">
        <v>0</v>
      </c>
      <c r="K24" s="1">
        <v>1</v>
      </c>
      <c r="L24" s="160" t="b">
        <f>COUNTBLANK(StorageTable[[#This Row],[IT Cage]:[Backup Server Room]]) = 0</f>
        <v>1</v>
      </c>
      <c r="M24" s="160">
        <f>SUM(StorageTable[[#This Row],[IT Cage]:[Backup Server Room]])</f>
        <v>1</v>
      </c>
      <c r="N24" s="161">
        <f>_xlfn.XLOOKUP(StorageTable[[#This Row],[Tag]],ITSecondTable[Tag],ITSecondTable[SQty],0,0)</f>
        <v>3</v>
      </c>
      <c r="O24" s="161">
        <f>_xlfn.XLOOKUP(StorageTable[[#This Row],[Tag]],ITSecondTable[Tag],ITSecondTable[TQty],0,0) - StorageTable[[#This Row],[All - Serialized Total]]</f>
        <v>0</v>
      </c>
      <c r="P24" s="5" t="b">
        <f>OR(StorageTable[[#This Row],[In Storage - Count Total]] = StorageTable[[#This Row],[All - Serialized Total]], ISBLANK(StorageTable[[#This Row],[Model]]), ISBLANK(StorageTable[[#This Row],[Brand]]), ISBLANK(StorageTable[[#This Row],[Type]]))</f>
        <v>0</v>
      </c>
      <c r="Q24" s="159">
        <f>_xlfn.LET(_xlpm.countb, COUNTIF(StorageTable[[#This Row],[IT Cage]:[Backup Server Room]], ""),
_xlpm.tbm_blank, COUNTBLANK(StorageTable[[#This Row],[Type]:[Model]]) &gt; 0,
_xlpm.adjcount, IF(_xlpm.tbm_blank, 0, _xlpm.countb),
_xlpm.adjcount)</f>
        <v>0</v>
      </c>
      <c r="R24" s="161" t="b">
        <f>COUNTIF(StorageTable[[#This Row],[Type]:[Model]], "") &gt; 0</f>
        <v>0</v>
      </c>
    </row>
    <row r="25" spans="1:18" x14ac:dyDescent="0.2">
      <c r="A25" s="11" t="str">
        <f>_xlfn.TEXTJOIN("~", TRUE, StorageTable[[#This Row],[Type]],StorageTable[[#This Row],[Brand]],StorageTable[[#This Row],[Model]])</f>
        <v>Desktop~HP~HP t510 Thin Client</v>
      </c>
      <c r="B25" s="157" t="s">
        <v>304</v>
      </c>
      <c r="C25" s="157" t="s">
        <v>403</v>
      </c>
      <c r="D25" s="157" t="s">
        <v>2205</v>
      </c>
      <c r="E25" s="1">
        <v>1</v>
      </c>
      <c r="F25" s="1">
        <v>0</v>
      </c>
      <c r="G25" s="1">
        <v>0</v>
      </c>
      <c r="H25" s="1">
        <v>0</v>
      </c>
      <c r="I25" s="1">
        <v>0</v>
      </c>
      <c r="J25" s="1">
        <v>0</v>
      </c>
      <c r="K25" s="1">
        <v>0</v>
      </c>
      <c r="L25" s="160" t="b">
        <f>COUNTBLANK(StorageTable[[#This Row],[IT Cage]:[Backup Server Room]]) = 0</f>
        <v>1</v>
      </c>
      <c r="M25" s="160">
        <f>SUM(StorageTable[[#This Row],[IT Cage]:[Backup Server Room]])</f>
        <v>1</v>
      </c>
      <c r="N25" s="159">
        <f>_xlfn.XLOOKUP(StorageTable[[#This Row],[Tag]],ITSecondTable[Tag],ITSecondTable[SQty],0,0)</f>
        <v>0</v>
      </c>
      <c r="O25" s="159">
        <f>_xlfn.XLOOKUP(StorageTable[[#This Row],[Tag]],ITSecondTable[Tag],ITSecondTable[TQty],0,0) - StorageTable[[#This Row],[All - Serialized Total]]</f>
        <v>0</v>
      </c>
      <c r="P25" s="5" t="b">
        <f>OR(StorageTable[[#This Row],[In Storage - Count Total]] = StorageTable[[#This Row],[All - Serialized Total]], ISBLANK(StorageTable[[#This Row],[Model]]), ISBLANK(StorageTable[[#This Row],[Brand]]), ISBLANK(StorageTable[[#This Row],[Type]]))</f>
        <v>0</v>
      </c>
      <c r="Q25" s="159">
        <f>_xlfn.LET(_xlpm.countb, COUNTIF(StorageTable[[#This Row],[IT Cage]:[Backup Server Room]], ""),
_xlpm.tbm_blank, COUNTBLANK(StorageTable[[#This Row],[Type]:[Model]]) &gt; 0,
_xlpm.adjcount, IF(_xlpm.tbm_blank, 0, _xlpm.countb),
_xlpm.adjcount)</f>
        <v>0</v>
      </c>
      <c r="R25" s="161" t="b">
        <f>COUNTIF(StorageTable[[#This Row],[Type]:[Model]], "") &gt; 0</f>
        <v>0</v>
      </c>
    </row>
    <row r="26" spans="1:18" x14ac:dyDescent="0.2">
      <c r="A26" s="11" t="str">
        <f>_xlfn.TEXTJOIN("~", TRUE, StorageTable[[#This Row],[Type]],StorageTable[[#This Row],[Brand]],StorageTable[[#This Row],[Model]])</f>
        <v>Desktop~HP~HP Z2 Mini G4 Workstation</v>
      </c>
      <c r="B26" s="157" t="s">
        <v>304</v>
      </c>
      <c r="C26" s="157" t="s">
        <v>403</v>
      </c>
      <c r="D26" s="38" t="s">
        <v>404</v>
      </c>
      <c r="E26" s="1">
        <v>0</v>
      </c>
      <c r="F26" s="1">
        <v>0</v>
      </c>
      <c r="G26" s="1">
        <v>0</v>
      </c>
      <c r="H26" s="1">
        <v>0</v>
      </c>
      <c r="I26" s="1">
        <v>0</v>
      </c>
      <c r="J26" s="1">
        <v>0</v>
      </c>
      <c r="K26" s="1">
        <v>0</v>
      </c>
      <c r="L26" s="161" t="b">
        <f>COUNTBLANK(StorageTable[[#This Row],[IT Cage]:[Backup Server Room]]) = 0</f>
        <v>1</v>
      </c>
      <c r="M26" s="161">
        <f>SUM(StorageTable[[#This Row],[IT Cage]:[Backup Server Room]])</f>
        <v>0</v>
      </c>
      <c r="N26" s="159">
        <f>_xlfn.XLOOKUP(StorageTable[[#This Row],[Tag]],ITSecondTable[Tag],ITSecondTable[SQty],0,0)</f>
        <v>0</v>
      </c>
      <c r="O26" s="159">
        <f>_xlfn.XLOOKUP(StorageTable[[#This Row],[Tag]],ITSecondTable[Tag],ITSecondTable[TQty],0,0) - StorageTable[[#This Row],[All - Serialized Total]]</f>
        <v>0</v>
      </c>
      <c r="P26" s="5" t="b">
        <f>OR(StorageTable[[#This Row],[In Storage - Count Total]] = StorageTable[[#This Row],[All - Serialized Total]], ISBLANK(StorageTable[[#This Row],[Model]]), ISBLANK(StorageTable[[#This Row],[Brand]]), ISBLANK(StorageTable[[#This Row],[Type]]))</f>
        <v>1</v>
      </c>
      <c r="Q26" s="159">
        <f>_xlfn.LET(_xlpm.countb, COUNTIF(StorageTable[[#This Row],[IT Cage]:[Backup Server Room]], ""),
_xlpm.tbm_blank, COUNTBLANK(StorageTable[[#This Row],[Type]:[Model]]) &gt; 0,
_xlpm.adjcount, IF(_xlpm.tbm_blank, 0, _xlpm.countb),
_xlpm.adjcount)</f>
        <v>0</v>
      </c>
      <c r="R26" s="161" t="b">
        <f>COUNTIF(StorageTable[[#This Row],[Type]:[Model]], "") &gt; 0</f>
        <v>0</v>
      </c>
    </row>
    <row r="27" spans="1:18" x14ac:dyDescent="0.2">
      <c r="A27" s="11" t="str">
        <f>_xlfn.TEXTJOIN("~", TRUE, StorageTable[[#This Row],[Type]],StorageTable[[#This Row],[Brand]],StorageTable[[#This Row],[Model]])</f>
        <v>Desktop~HP~HP Z2 Mini G5 Workstation</v>
      </c>
      <c r="B27" s="157" t="s">
        <v>304</v>
      </c>
      <c r="C27" s="157" t="s">
        <v>403</v>
      </c>
      <c r="D27" s="157" t="s">
        <v>2055</v>
      </c>
      <c r="E27" s="1">
        <v>5</v>
      </c>
      <c r="F27" s="1">
        <v>0</v>
      </c>
      <c r="G27" s="1">
        <v>0</v>
      </c>
      <c r="H27" s="1">
        <v>0</v>
      </c>
      <c r="I27" s="1">
        <v>0</v>
      </c>
      <c r="J27" s="1">
        <v>0</v>
      </c>
      <c r="K27" s="1">
        <v>0</v>
      </c>
      <c r="L27" s="160" t="b">
        <f>COUNTBLANK(StorageTable[[#This Row],[IT Cage]:[Backup Server Room]]) = 0</f>
        <v>1</v>
      </c>
      <c r="M27" s="160">
        <f>SUM(StorageTable[[#This Row],[IT Cage]:[Backup Server Room]])</f>
        <v>5</v>
      </c>
      <c r="N27" s="159">
        <f>_xlfn.XLOOKUP(StorageTable[[#This Row],[Tag]],ITSecondTable[Tag],ITSecondTable[SQty],0,0)</f>
        <v>4</v>
      </c>
      <c r="O27" s="159">
        <f>_xlfn.XLOOKUP(StorageTable[[#This Row],[Tag]],ITSecondTable[Tag],ITSecondTable[TQty],0,0) - StorageTable[[#This Row],[All - Serialized Total]]</f>
        <v>0</v>
      </c>
      <c r="P27" s="5" t="b">
        <f>OR(StorageTable[[#This Row],[In Storage - Count Total]] = StorageTable[[#This Row],[All - Serialized Total]], ISBLANK(StorageTable[[#This Row],[Model]]), ISBLANK(StorageTable[[#This Row],[Brand]]), ISBLANK(StorageTable[[#This Row],[Type]]))</f>
        <v>0</v>
      </c>
      <c r="Q27" s="159">
        <f>_xlfn.LET(_xlpm.countb, COUNTIF(StorageTable[[#This Row],[IT Cage]:[Backup Server Room]], ""),
_xlpm.tbm_blank, COUNTBLANK(StorageTable[[#This Row],[Type]:[Model]]) &gt; 0,
_xlpm.adjcount, IF(_xlpm.tbm_blank, 0, _xlpm.countb),
_xlpm.adjcount)</f>
        <v>0</v>
      </c>
      <c r="R27" s="161" t="b">
        <f>COUNTIF(StorageTable[[#This Row],[Type]:[Model]], "") &gt; 0</f>
        <v>0</v>
      </c>
    </row>
    <row r="28" spans="1:18" x14ac:dyDescent="0.2">
      <c r="A28" s="91" t="str">
        <f>_xlfn.TEXTJOIN("~", TRUE, StorageTable[[#This Row],[Type]],StorageTable[[#This Row],[Brand]],StorageTable[[#This Row],[Model]])</f>
        <v>Desktop~HP~OMEN by HP Desktop PC 880-p1xx</v>
      </c>
      <c r="B28" s="157" t="s">
        <v>304</v>
      </c>
      <c r="C28" s="157" t="s">
        <v>403</v>
      </c>
      <c r="D28" s="157" t="s">
        <v>835</v>
      </c>
      <c r="E28" s="1">
        <v>0</v>
      </c>
      <c r="F28" s="1">
        <v>0</v>
      </c>
      <c r="G28" s="1">
        <v>0</v>
      </c>
      <c r="H28" s="1">
        <v>0</v>
      </c>
      <c r="I28" s="1">
        <v>0</v>
      </c>
      <c r="J28" s="1">
        <v>0</v>
      </c>
      <c r="K28" s="1">
        <v>0</v>
      </c>
      <c r="L28" s="160" t="b">
        <f>COUNTBLANK(StorageTable[[#This Row],[IT Cage]:[Backup Server Room]]) = 0</f>
        <v>1</v>
      </c>
      <c r="M28" s="160">
        <f>SUM(StorageTable[[#This Row],[IT Cage]:[Backup Server Room]])</f>
        <v>0</v>
      </c>
      <c r="N28" s="161">
        <f>_xlfn.XLOOKUP(StorageTable[[#This Row],[Tag]],ITSecondTable[Tag],ITSecondTable[SQty],0,0)</f>
        <v>0</v>
      </c>
      <c r="O28" s="161">
        <f>_xlfn.XLOOKUP(StorageTable[[#This Row],[Tag]],ITSecondTable[Tag],ITSecondTable[TQty],0,0) - StorageTable[[#This Row],[All - Serialized Total]]</f>
        <v>1</v>
      </c>
      <c r="P28" s="5" t="b">
        <f>OR(StorageTable[[#This Row],[In Storage - Count Total]] = StorageTable[[#This Row],[All - Serialized Total]], ISBLANK(StorageTable[[#This Row],[Model]]), ISBLANK(StorageTable[[#This Row],[Brand]]), ISBLANK(StorageTable[[#This Row],[Type]]))</f>
        <v>1</v>
      </c>
      <c r="Q28" s="159">
        <f>_xlfn.LET(_xlpm.countb, COUNTIF(StorageTable[[#This Row],[IT Cage]:[Backup Server Room]], ""),
_xlpm.tbm_blank, COUNTBLANK(StorageTable[[#This Row],[Type]:[Model]]) &gt; 0,
_xlpm.adjcount, IF(_xlpm.tbm_blank, 0, _xlpm.countb),
_xlpm.adjcount)</f>
        <v>0</v>
      </c>
      <c r="R28" s="161" t="b">
        <f>COUNTIF(StorageTable[[#This Row],[Type]:[Model]], "") &gt; 0</f>
        <v>0</v>
      </c>
    </row>
    <row r="29" spans="1:18" x14ac:dyDescent="0.2">
      <c r="A29" s="91" t="str">
        <f>_xlfn.TEXTJOIN("~", TRUE, StorageTable[[#This Row],[Type]],StorageTable[[#This Row],[Brand]],StorageTable[[#This Row],[Model]])</f>
        <v>Desktop~HP</v>
      </c>
      <c r="B29" s="157" t="s">
        <v>304</v>
      </c>
      <c r="C29" s="157" t="s">
        <v>403</v>
      </c>
      <c r="D29" s="157"/>
      <c r="E29" s="1">
        <v>0</v>
      </c>
      <c r="F29" s="1">
        <v>0</v>
      </c>
      <c r="G29" s="1">
        <v>0</v>
      </c>
      <c r="H29" s="1">
        <v>0</v>
      </c>
      <c r="I29" s="1">
        <v>0</v>
      </c>
      <c r="J29" s="1">
        <v>0</v>
      </c>
      <c r="K29" s="1">
        <v>0</v>
      </c>
      <c r="L29" s="160" t="b">
        <f>COUNTBLANK(StorageTable[[#This Row],[IT Cage]:[Backup Server Room]]) = 0</f>
        <v>1</v>
      </c>
      <c r="M29" s="160">
        <f>SUM(StorageTable[[#This Row],[IT Cage]:[Backup Server Room]])</f>
        <v>0</v>
      </c>
      <c r="N29" s="161">
        <f>_xlfn.XLOOKUP(StorageTable[[#This Row],[Tag]],ITSecondTable[Tag],ITSecondTable[SQty],0,0)</f>
        <v>2</v>
      </c>
      <c r="O29" s="161">
        <f>_xlfn.XLOOKUP(StorageTable[[#This Row],[Tag]],ITSecondTable[Tag],ITSecondTable[TQty],0,0) - StorageTable[[#This Row],[All - Serialized Total]]</f>
        <v>25</v>
      </c>
      <c r="P29" s="5" t="b">
        <f>OR(StorageTable[[#This Row],[In Storage - Count Total]] = StorageTable[[#This Row],[All - Serialized Total]], ISBLANK(StorageTable[[#This Row],[Model]]), ISBLANK(StorageTable[[#This Row],[Brand]]), ISBLANK(StorageTable[[#This Row],[Type]]))</f>
        <v>1</v>
      </c>
      <c r="Q29" s="159">
        <f>_xlfn.LET(_xlpm.countb, COUNTIF(StorageTable[[#This Row],[IT Cage]:[Backup Server Room]], ""),
_xlpm.tbm_blank, COUNTBLANK(StorageTable[[#This Row],[Type]:[Model]]) &gt; 0,
_xlpm.adjcount, IF(_xlpm.tbm_blank, 0, _xlpm.countb),
_xlpm.adjcount)</f>
        <v>0</v>
      </c>
      <c r="R29" s="161" t="b">
        <f>COUNTIF(StorageTable[[#This Row],[Type]:[Model]], "") &gt; 0</f>
        <v>1</v>
      </c>
    </row>
    <row r="30" spans="1:18" x14ac:dyDescent="0.2">
      <c r="A30" s="91" t="str">
        <f>_xlfn.TEXTJOIN("~", TRUE, StorageTable[[#This Row],[Type]],StorageTable[[#This Row],[Brand]],StorageTable[[#This Row],[Model]])</f>
        <v>Desktop</v>
      </c>
      <c r="B30" s="157" t="s">
        <v>304</v>
      </c>
      <c r="C30" s="157"/>
      <c r="D30" s="38"/>
      <c r="E30" s="1">
        <v>0</v>
      </c>
      <c r="F30" s="1">
        <v>0</v>
      </c>
      <c r="G30" s="1">
        <v>0</v>
      </c>
      <c r="H30" s="1">
        <v>0</v>
      </c>
      <c r="I30" s="1">
        <v>0</v>
      </c>
      <c r="J30" s="1">
        <v>0</v>
      </c>
      <c r="K30" s="1">
        <v>0</v>
      </c>
      <c r="L30" s="161" t="b">
        <f>COUNTBLANK(StorageTable[[#This Row],[IT Cage]:[Backup Server Room]]) = 0</f>
        <v>1</v>
      </c>
      <c r="M30" s="161">
        <f>SUM(StorageTable[[#This Row],[IT Cage]:[Backup Server Room]])</f>
        <v>0</v>
      </c>
      <c r="N30" s="161">
        <f>_xlfn.XLOOKUP(StorageTable[[#This Row],[Tag]],ITSecondTable[Tag],ITSecondTable[SQty],0,0)</f>
        <v>0</v>
      </c>
      <c r="O30" s="161">
        <f>_xlfn.XLOOKUP(StorageTable[[#This Row],[Tag]],ITSecondTable[Tag],ITSecondTable[TQty],0,0) - StorageTable[[#This Row],[All - Serialized Total]]</f>
        <v>32</v>
      </c>
      <c r="P30" s="5" t="b">
        <f>OR(StorageTable[[#This Row],[In Storage - Count Total]] = StorageTable[[#This Row],[All - Serialized Total]], ISBLANK(StorageTable[[#This Row],[Model]]), ISBLANK(StorageTable[[#This Row],[Brand]]), ISBLANK(StorageTable[[#This Row],[Type]]))</f>
        <v>1</v>
      </c>
      <c r="Q30" s="159">
        <f>_xlfn.LET(_xlpm.countb, COUNTIF(StorageTable[[#This Row],[IT Cage]:[Backup Server Room]], ""),
_xlpm.tbm_blank, COUNTBLANK(StorageTable[[#This Row],[Type]:[Model]]) &gt; 0,
_xlpm.adjcount, IF(_xlpm.tbm_blank, 0, _xlpm.countb),
_xlpm.adjcount)</f>
        <v>0</v>
      </c>
      <c r="R30" s="161" t="b">
        <f>COUNTIF(StorageTable[[#This Row],[Type]:[Model]], "") &gt; 0</f>
        <v>1</v>
      </c>
    </row>
    <row r="31" spans="1:18" x14ac:dyDescent="0.2">
      <c r="A31" s="91" t="str">
        <f>_xlfn.TEXTJOIN("~", TRUE, StorageTable[[#This Row],[Type]],StorageTable[[#This Row],[Brand]],StorageTable[[#This Row],[Model]])</f>
        <v>Dock~HP~HP 2013 UltraSlim Docking Station</v>
      </c>
      <c r="B31" s="157" t="s">
        <v>407</v>
      </c>
      <c r="C31" s="157" t="s">
        <v>403</v>
      </c>
      <c r="D31" s="38" t="s">
        <v>2065</v>
      </c>
      <c r="E31" s="1"/>
      <c r="F31" s="1">
        <v>0</v>
      </c>
      <c r="G31" s="1">
        <v>1</v>
      </c>
      <c r="H31" s="1">
        <v>0</v>
      </c>
      <c r="I31" s="1">
        <v>0</v>
      </c>
      <c r="J31" s="1">
        <v>0</v>
      </c>
      <c r="K31" s="1">
        <v>0</v>
      </c>
      <c r="L31" s="161" t="b">
        <f>COUNTBLANK(StorageTable[[#This Row],[IT Cage]:[Backup Server Room]]) = 0</f>
        <v>0</v>
      </c>
      <c r="M31" s="161">
        <f>SUM(StorageTable[[#This Row],[IT Cage]:[Backup Server Room]])</f>
        <v>1</v>
      </c>
      <c r="N31" s="161">
        <f>_xlfn.XLOOKUP(StorageTable[[#This Row],[Tag]],ITSecondTable[Tag],ITSecondTable[SQty],0,0)</f>
        <v>2</v>
      </c>
      <c r="O31" s="161">
        <f>_xlfn.XLOOKUP(StorageTable[[#This Row],[Tag]],ITSecondTable[Tag],ITSecondTable[TQty],0,0) - StorageTable[[#This Row],[All - Serialized Total]]</f>
        <v>0</v>
      </c>
      <c r="P31" s="12" t="b">
        <f>OR(StorageTable[[#This Row],[In Storage - Count Total]] = StorageTable[[#This Row],[All - Serialized Total]], ISBLANK(StorageTable[[#This Row],[Model]]), ISBLANK(StorageTable[[#This Row],[Brand]]), ISBLANK(StorageTable[[#This Row],[Type]]))</f>
        <v>0</v>
      </c>
      <c r="Q31" s="161">
        <f>_xlfn.LET(_xlpm.countb, COUNTIF(StorageTable[[#This Row],[IT Cage]:[Backup Server Room]], ""),
_xlpm.tbm_blank, COUNTBLANK(StorageTable[[#This Row],[Type]:[Model]]) &gt; 0,
_xlpm.adjcount, IF(_xlpm.tbm_blank, 0, _xlpm.countb),
_xlpm.adjcount)</f>
        <v>1</v>
      </c>
      <c r="R31" s="161" t="b">
        <f>COUNTIF(StorageTable[[#This Row],[Type]:[Model]], "") &gt; 0</f>
        <v>0</v>
      </c>
    </row>
    <row r="32" spans="1:18" x14ac:dyDescent="0.2">
      <c r="A32" s="91" t="str">
        <f>_xlfn.TEXTJOIN("~", TRUE, StorageTable[[#This Row],[Type]],StorageTable[[#This Row],[Brand]],StorageTable[[#This Row],[Model]])</f>
        <v>HDMI Stick~Azulle~A-1164-AA3-4</v>
      </c>
      <c r="B32" s="205" t="s">
        <v>330</v>
      </c>
      <c r="C32" s="205" t="s">
        <v>1528</v>
      </c>
      <c r="D32" s="247" t="s">
        <v>1536</v>
      </c>
      <c r="E32" s="1"/>
      <c r="F32" s="1"/>
      <c r="G32" s="1">
        <v>0</v>
      </c>
      <c r="H32" s="1">
        <v>0</v>
      </c>
      <c r="I32" s="1">
        <v>0</v>
      </c>
      <c r="J32" s="1">
        <v>0</v>
      </c>
      <c r="K32" s="1">
        <v>0</v>
      </c>
      <c r="L32" s="161" t="b">
        <f>COUNTBLANK(StorageTable[[#This Row],[IT Cage]:[Backup Server Room]]) = 0</f>
        <v>0</v>
      </c>
      <c r="M32" s="161">
        <f>SUM(StorageTable[[#This Row],[IT Cage]:[Backup Server Room]])</f>
        <v>0</v>
      </c>
      <c r="N32" s="159">
        <f>_xlfn.XLOOKUP(StorageTable[[#This Row],[Tag]],ITSecondTable[Tag],ITSecondTable[SQty],0,0)</f>
        <v>0</v>
      </c>
      <c r="O32" s="159">
        <f>_xlfn.XLOOKUP(StorageTable[[#This Row],[Tag]],ITSecondTable[Tag],ITSecondTable[TQty],0,0) - StorageTable[[#This Row],[All - Serialized Total]]</f>
        <v>2</v>
      </c>
      <c r="P32" s="5" t="b">
        <f>OR(StorageTable[[#This Row],[In Storage - Count Total]] = StorageTable[[#This Row],[All - Serialized Total]], ISBLANK(StorageTable[[#This Row],[Model]]), ISBLANK(StorageTable[[#This Row],[Brand]]), ISBLANK(StorageTable[[#This Row],[Type]]))</f>
        <v>1</v>
      </c>
      <c r="Q32" s="159">
        <f>_xlfn.LET(_xlpm.countb, COUNTIF(StorageTable[[#This Row],[IT Cage]:[Backup Server Room]], ""),
_xlpm.tbm_blank, COUNTBLANK(StorageTable[[#This Row],[Type]:[Model]]) &gt; 0,
_xlpm.adjcount, IF(_xlpm.tbm_blank, 0, _xlpm.countb),
_xlpm.adjcount)</f>
        <v>2</v>
      </c>
      <c r="R32" s="161" t="b">
        <f>COUNTIF(StorageTable[[#This Row],[Type]:[Model]], "") &gt; 0</f>
        <v>0</v>
      </c>
    </row>
    <row r="33" spans="1:18" x14ac:dyDescent="0.2">
      <c r="A33" s="91" t="str">
        <f>_xlfn.TEXTJOIN("~", TRUE, StorageTable[[#This Row],[Type]],StorageTable[[#This Row],[Brand]],StorageTable[[#This Row],[Model]])</f>
        <v>HDMI Stick~Azulle~Access3</v>
      </c>
      <c r="B33" s="205" t="s">
        <v>330</v>
      </c>
      <c r="C33" s="205" t="s">
        <v>1528</v>
      </c>
      <c r="D33" s="205" t="s">
        <v>1529</v>
      </c>
      <c r="E33" s="1"/>
      <c r="F33" s="1"/>
      <c r="G33" s="1">
        <v>0</v>
      </c>
      <c r="H33" s="1">
        <v>0</v>
      </c>
      <c r="I33" s="1">
        <v>0</v>
      </c>
      <c r="J33" s="1">
        <v>0</v>
      </c>
      <c r="K33" s="1">
        <v>0</v>
      </c>
      <c r="L33" s="160" t="b">
        <f>COUNTBLANK(StorageTable[[#This Row],[IT Cage]:[Backup Server Room]]) = 0</f>
        <v>0</v>
      </c>
      <c r="M33" s="160">
        <f>SUM(StorageTable[[#This Row],[IT Cage]:[Backup Server Room]])</f>
        <v>0</v>
      </c>
      <c r="N33" s="159">
        <f>_xlfn.XLOOKUP(StorageTable[[#This Row],[Tag]],ITSecondTable[Tag],ITSecondTable[SQty],0,0)</f>
        <v>0</v>
      </c>
      <c r="O33" s="159">
        <f>_xlfn.XLOOKUP(StorageTable[[#This Row],[Tag]],ITSecondTable[Tag],ITSecondTable[TQty],0,0) - StorageTable[[#This Row],[All - Serialized Total]]</f>
        <v>6</v>
      </c>
      <c r="P33" s="5" t="b">
        <f>OR(StorageTable[[#This Row],[In Storage - Count Total]] = StorageTable[[#This Row],[All - Serialized Total]], ISBLANK(StorageTable[[#This Row],[Model]]), ISBLANK(StorageTable[[#This Row],[Brand]]), ISBLANK(StorageTable[[#This Row],[Type]]))</f>
        <v>1</v>
      </c>
      <c r="Q33" s="159">
        <f>_xlfn.LET(_xlpm.countb, COUNTIF(StorageTable[[#This Row],[IT Cage]:[Backup Server Room]], ""),
_xlpm.tbm_blank, COUNTBLANK(StorageTable[[#This Row],[Type]:[Model]]) &gt; 0,
_xlpm.adjcount, IF(_xlpm.tbm_blank, 0, _xlpm.countb),
_xlpm.adjcount)</f>
        <v>2</v>
      </c>
      <c r="R33" s="161" t="b">
        <f>COUNTIF(StorageTable[[#This Row],[Type]:[Model]], "") &gt; 0</f>
        <v>0</v>
      </c>
    </row>
    <row r="34" spans="1:18" x14ac:dyDescent="0.2">
      <c r="A34" s="91" t="str">
        <f>_xlfn.TEXTJOIN("~", TRUE, StorageTable[[#This Row],[Type]],StorageTable[[#This Row],[Brand]],StorageTable[[#This Row],[Model]])</f>
        <v>Laptop~Dell~Dell Precision 7530</v>
      </c>
      <c r="B34" s="157" t="s">
        <v>294</v>
      </c>
      <c r="C34" s="157" t="s">
        <v>308</v>
      </c>
      <c r="D34" s="157" t="s">
        <v>1188</v>
      </c>
      <c r="E34" s="1">
        <v>0</v>
      </c>
      <c r="F34" s="1"/>
      <c r="G34" s="1">
        <v>0</v>
      </c>
      <c r="H34" s="1">
        <v>0</v>
      </c>
      <c r="I34" s="1">
        <v>0</v>
      </c>
      <c r="J34" s="1">
        <v>0</v>
      </c>
      <c r="K34" s="1">
        <v>0</v>
      </c>
      <c r="L34" s="160" t="b">
        <f>COUNTBLANK(StorageTable[[#This Row],[IT Cage]:[Backup Server Room]]) = 0</f>
        <v>0</v>
      </c>
      <c r="M34" s="160">
        <f>SUM(StorageTable[[#This Row],[IT Cage]:[Backup Server Room]])</f>
        <v>0</v>
      </c>
      <c r="N34" s="161">
        <f>_xlfn.XLOOKUP(StorageTable[[#This Row],[Tag]],ITSecondTable[Tag],ITSecondTable[SQty],0,0)</f>
        <v>1</v>
      </c>
      <c r="O34" s="161">
        <f>_xlfn.XLOOKUP(StorageTable[[#This Row],[Tag]],ITSecondTable[Tag],ITSecondTable[TQty],0,0) - StorageTable[[#This Row],[All - Serialized Total]]</f>
        <v>0</v>
      </c>
      <c r="P34" s="12" t="b">
        <f>OR(StorageTable[[#This Row],[In Storage - Count Total]] = StorageTable[[#This Row],[All - Serialized Total]], ISBLANK(StorageTable[[#This Row],[Model]]), ISBLANK(StorageTable[[#This Row],[Brand]]), ISBLANK(StorageTable[[#This Row],[Type]]))</f>
        <v>0</v>
      </c>
      <c r="Q34" s="161">
        <f>_xlfn.LET(_xlpm.countb, COUNTIF(StorageTable[[#This Row],[IT Cage]:[Backup Server Room]], ""),
_xlpm.tbm_blank, COUNTBLANK(StorageTable[[#This Row],[Type]:[Model]]) &gt; 0,
_xlpm.adjcount, IF(_xlpm.tbm_blank, 0, _xlpm.countb),
_xlpm.adjcount)</f>
        <v>1</v>
      </c>
      <c r="R34" s="161" t="b">
        <f>COUNTIF(StorageTable[[#This Row],[Type]:[Model]], "") &gt; 0</f>
        <v>0</v>
      </c>
    </row>
    <row r="35" spans="1:18" x14ac:dyDescent="0.2">
      <c r="A35" s="91" t="str">
        <f>_xlfn.TEXTJOIN("~", TRUE, StorageTable[[#This Row],[Type]],StorageTable[[#This Row],[Brand]],StorageTable[[#This Row],[Model]])</f>
        <v>Laptop~Dell~Precision 7730</v>
      </c>
      <c r="B35" s="205" t="s">
        <v>294</v>
      </c>
      <c r="C35" s="205" t="s">
        <v>308</v>
      </c>
      <c r="D35" s="205" t="s">
        <v>1383</v>
      </c>
      <c r="E35" s="1">
        <v>0</v>
      </c>
      <c r="F35" s="1">
        <v>1</v>
      </c>
      <c r="G35" s="1">
        <v>0</v>
      </c>
      <c r="H35" s="1">
        <v>0</v>
      </c>
      <c r="I35" s="1">
        <v>0</v>
      </c>
      <c r="J35" s="1">
        <v>0</v>
      </c>
      <c r="K35" s="1">
        <v>0</v>
      </c>
      <c r="L35" s="160" t="b">
        <f>COUNTBLANK(StorageTable[[#This Row],[IT Cage]:[Backup Server Room]]) = 0</f>
        <v>1</v>
      </c>
      <c r="M35" s="160">
        <f>SUM(StorageTable[[#This Row],[IT Cage]:[Backup Server Room]])</f>
        <v>1</v>
      </c>
      <c r="N35" s="159">
        <f>_xlfn.XLOOKUP(StorageTable[[#This Row],[Tag]],ITSecondTable[Tag],ITSecondTable[SQty],0,0)</f>
        <v>0</v>
      </c>
      <c r="O35" s="159">
        <f>_xlfn.XLOOKUP(StorageTable[[#This Row],[Tag]],ITSecondTable[Tag],ITSecondTable[TQty],0,0) - StorageTable[[#This Row],[All - Serialized Total]]</f>
        <v>1</v>
      </c>
      <c r="P35" s="5" t="b">
        <f>OR(StorageTable[[#This Row],[In Storage - Count Total]] = StorageTable[[#This Row],[All - Serialized Total]], ISBLANK(StorageTable[[#This Row],[Model]]), ISBLANK(StorageTable[[#This Row],[Brand]]), ISBLANK(StorageTable[[#This Row],[Type]]))</f>
        <v>0</v>
      </c>
      <c r="Q35" s="159">
        <f>_xlfn.LET(_xlpm.countb, COUNTIF(StorageTable[[#This Row],[IT Cage]:[Backup Server Room]], ""),
_xlpm.tbm_blank, COUNTBLANK(StorageTable[[#This Row],[Type]:[Model]]) &gt; 0,
_xlpm.adjcount, IF(_xlpm.tbm_blank, 0, _xlpm.countb),
_xlpm.adjcount)</f>
        <v>0</v>
      </c>
      <c r="R35" s="161" t="b">
        <f>COUNTIF(StorageTable[[#This Row],[Type]:[Model]], "") &gt; 0</f>
        <v>0</v>
      </c>
    </row>
    <row r="36" spans="1:18" x14ac:dyDescent="0.2">
      <c r="A36" s="11" t="str">
        <f>_xlfn.TEXTJOIN("~", TRUE, StorageTable[[#This Row],[Type]],StorageTable[[#This Row],[Brand]],StorageTable[[#This Row],[Model]])</f>
        <v>Laptop~HP~HP EliteBook 650 G9</v>
      </c>
      <c r="B36" s="157" t="s">
        <v>294</v>
      </c>
      <c r="C36" s="157" t="s">
        <v>403</v>
      </c>
      <c r="D36" s="157" t="s">
        <v>1659</v>
      </c>
      <c r="E36" s="1">
        <v>0</v>
      </c>
      <c r="F36" s="1">
        <v>0</v>
      </c>
      <c r="G36" s="1">
        <v>0</v>
      </c>
      <c r="H36" s="1">
        <v>0</v>
      </c>
      <c r="I36" s="1">
        <v>0</v>
      </c>
      <c r="J36" s="1">
        <v>0</v>
      </c>
      <c r="K36" s="1">
        <v>0</v>
      </c>
      <c r="L36" s="160" t="b">
        <f>COUNTBLANK(StorageTable[[#This Row],[IT Cage]:[Backup Server Room]]) = 0</f>
        <v>1</v>
      </c>
      <c r="M36" s="160">
        <f>SUM(StorageTable[[#This Row],[IT Cage]:[Backup Server Room]])</f>
        <v>0</v>
      </c>
      <c r="N36" s="159">
        <f>_xlfn.XLOOKUP(StorageTable[[#This Row],[Tag]],ITSecondTable[Tag],ITSecondTable[SQty],0,0)</f>
        <v>0</v>
      </c>
      <c r="O36" s="159">
        <f>_xlfn.XLOOKUP(StorageTable[[#This Row],[Tag]],ITSecondTable[Tag],ITSecondTable[TQty],0,0) - StorageTable[[#This Row],[All - Serialized Total]]</f>
        <v>1</v>
      </c>
      <c r="P36" s="5" t="b">
        <f>OR(StorageTable[[#This Row],[In Storage - Count Total]] = StorageTable[[#This Row],[All - Serialized Total]], ISBLANK(StorageTable[[#This Row],[Model]]), ISBLANK(StorageTable[[#This Row],[Brand]]), ISBLANK(StorageTable[[#This Row],[Type]]))</f>
        <v>1</v>
      </c>
      <c r="Q36" s="159">
        <f>_xlfn.LET(_xlpm.countb, COUNTIF(StorageTable[[#This Row],[IT Cage]:[Backup Server Room]], ""),
_xlpm.tbm_blank, COUNTBLANK(StorageTable[[#This Row],[Type]:[Model]]) &gt; 0,
_xlpm.adjcount, IF(_xlpm.tbm_blank, 0, _xlpm.countb),
_xlpm.adjcount)</f>
        <v>0</v>
      </c>
      <c r="R36" s="161" t="b">
        <f>COUNTIF(StorageTable[[#This Row],[Type]:[Model]], "") &gt; 0</f>
        <v>0</v>
      </c>
    </row>
    <row r="37" spans="1:18" x14ac:dyDescent="0.2">
      <c r="A37" s="11" t="str">
        <f>_xlfn.TEXTJOIN("~", TRUE, StorageTable[[#This Row],[Type]],StorageTable[[#This Row],[Brand]],StorageTable[[#This Row],[Model]])</f>
        <v>Laptop~HP~HP EliteBook 850</v>
      </c>
      <c r="B37" s="157" t="s">
        <v>294</v>
      </c>
      <c r="C37" s="157" t="s">
        <v>403</v>
      </c>
      <c r="D37" s="38" t="s">
        <v>1746</v>
      </c>
      <c r="E37" s="1">
        <v>0</v>
      </c>
      <c r="F37" s="1">
        <v>0</v>
      </c>
      <c r="G37" s="1">
        <v>1</v>
      </c>
      <c r="H37" s="1">
        <v>0</v>
      </c>
      <c r="I37" s="1">
        <v>0</v>
      </c>
      <c r="J37" s="1">
        <v>0</v>
      </c>
      <c r="K37" s="1">
        <v>0</v>
      </c>
      <c r="L37" s="159" t="b">
        <f>COUNTBLANK(StorageTable[[#This Row],[IT Cage]:[Backup Server Room]]) = 0</f>
        <v>1</v>
      </c>
      <c r="M37" s="159">
        <f>SUM(StorageTable[[#This Row],[IT Cage]:[Backup Server Room]])</f>
        <v>1</v>
      </c>
      <c r="N37" s="159">
        <f>_xlfn.XLOOKUP(StorageTable[[#This Row],[Tag]],ITSecondTable[Tag],ITSecondTable[SQty],0,0)</f>
        <v>1</v>
      </c>
      <c r="O37" s="159">
        <f>_xlfn.XLOOKUP(StorageTable[[#This Row],[Tag]],ITSecondTable[Tag],ITSecondTable[TQty],0,0) - StorageTable[[#This Row],[All - Serialized Total]]</f>
        <v>0</v>
      </c>
      <c r="P37" s="5" t="b">
        <f>OR(StorageTable[[#This Row],[In Storage - Count Total]] = StorageTable[[#This Row],[All - Serialized Total]], ISBLANK(StorageTable[[#This Row],[Model]]), ISBLANK(StorageTable[[#This Row],[Brand]]), ISBLANK(StorageTable[[#This Row],[Type]]))</f>
        <v>1</v>
      </c>
      <c r="Q37" s="159">
        <f>_xlfn.LET(_xlpm.countb, COUNTIF(StorageTable[[#This Row],[IT Cage]:[Backup Server Room]], ""),
_xlpm.tbm_blank, COUNTBLANK(StorageTable[[#This Row],[Type]:[Model]]) &gt; 0,
_xlpm.adjcount, IF(_xlpm.tbm_blank, 0, _xlpm.countb),
_xlpm.adjcount)</f>
        <v>0</v>
      </c>
      <c r="R37" s="161" t="b">
        <f>COUNTIF(StorageTable[[#This Row],[Type]:[Model]], "") &gt; 0</f>
        <v>0</v>
      </c>
    </row>
    <row r="38" spans="1:18" x14ac:dyDescent="0.2">
      <c r="A38" s="11" t="str">
        <f>_xlfn.TEXTJOIN("~", TRUE, StorageTable[[#This Row],[Type]],StorageTable[[#This Row],[Brand]],StorageTable[[#This Row],[Model]])</f>
        <v>Laptop~HP~HP EliteBook 850 G2</v>
      </c>
      <c r="B38" s="157" t="s">
        <v>294</v>
      </c>
      <c r="C38" s="157" t="s">
        <v>403</v>
      </c>
      <c r="D38" s="157" t="s">
        <v>1798</v>
      </c>
      <c r="E38" s="1">
        <v>0</v>
      </c>
      <c r="F38" s="1">
        <v>0</v>
      </c>
      <c r="G38" s="1">
        <v>0</v>
      </c>
      <c r="H38" s="1">
        <v>0</v>
      </c>
      <c r="I38" s="1">
        <v>0</v>
      </c>
      <c r="J38" s="1">
        <v>0</v>
      </c>
      <c r="K38" s="1">
        <v>0</v>
      </c>
      <c r="L38" s="160" t="b">
        <f>COUNTBLANK(StorageTable[[#This Row],[IT Cage]:[Backup Server Room]]) = 0</f>
        <v>1</v>
      </c>
      <c r="M38" s="160">
        <f>SUM(StorageTable[[#This Row],[IT Cage]:[Backup Server Room]])</f>
        <v>0</v>
      </c>
      <c r="N38" s="159">
        <f>_xlfn.XLOOKUP(StorageTable[[#This Row],[Tag]],ITSecondTable[Tag],ITSecondTable[SQty],0,0)</f>
        <v>0</v>
      </c>
      <c r="O38" s="159">
        <f>_xlfn.XLOOKUP(StorageTable[[#This Row],[Tag]],ITSecondTable[Tag],ITSecondTable[TQty],0,0) - StorageTable[[#This Row],[All - Serialized Total]]</f>
        <v>1</v>
      </c>
      <c r="P38" s="5" t="b">
        <f>OR(StorageTable[[#This Row],[In Storage - Count Total]] = StorageTable[[#This Row],[All - Serialized Total]], ISBLANK(StorageTable[[#This Row],[Model]]), ISBLANK(StorageTable[[#This Row],[Brand]]), ISBLANK(StorageTable[[#This Row],[Type]]))</f>
        <v>1</v>
      </c>
      <c r="Q38" s="159">
        <f>_xlfn.LET(_xlpm.countb, COUNTIF(StorageTable[[#This Row],[IT Cage]:[Backup Server Room]], ""),
_xlpm.tbm_blank, COUNTBLANK(StorageTable[[#This Row],[Type]:[Model]]) &gt; 0,
_xlpm.adjcount, IF(_xlpm.tbm_blank, 0, _xlpm.countb),
_xlpm.adjcount)</f>
        <v>0</v>
      </c>
      <c r="R38" s="161" t="b">
        <f>COUNTIF(StorageTable[[#This Row],[Type]:[Model]], "") &gt; 0</f>
        <v>0</v>
      </c>
    </row>
    <row r="39" spans="1:18" x14ac:dyDescent="0.2">
      <c r="A39" s="11" t="str">
        <f>_xlfn.TEXTJOIN("~", TRUE, StorageTable[[#This Row],[Type]],StorageTable[[#This Row],[Brand]],StorageTable[[#This Row],[Model]])</f>
        <v>Laptop~HP~HP EliteBook 850 G5</v>
      </c>
      <c r="B39" s="157" t="s">
        <v>294</v>
      </c>
      <c r="C39" s="157" t="s">
        <v>403</v>
      </c>
      <c r="D39" s="157" t="s">
        <v>1197</v>
      </c>
      <c r="E39" s="1">
        <v>0</v>
      </c>
      <c r="F39" s="1">
        <v>0</v>
      </c>
      <c r="G39" s="1">
        <v>0</v>
      </c>
      <c r="H39" s="1">
        <v>0</v>
      </c>
      <c r="I39" s="1">
        <v>0</v>
      </c>
      <c r="J39" s="1">
        <v>0</v>
      </c>
      <c r="K39" s="1">
        <v>0</v>
      </c>
      <c r="L39" s="160" t="b">
        <f>COUNTBLANK(StorageTable[[#This Row],[IT Cage]:[Backup Server Room]]) = 0</f>
        <v>1</v>
      </c>
      <c r="M39" s="160">
        <f>SUM(StorageTable[[#This Row],[IT Cage]:[Backup Server Room]])</f>
        <v>0</v>
      </c>
      <c r="N39" s="159">
        <f>_xlfn.XLOOKUP(StorageTable[[#This Row],[Tag]],ITSecondTable[Tag],ITSecondTable[SQty],0,0)</f>
        <v>0</v>
      </c>
      <c r="O39" s="159">
        <f>_xlfn.XLOOKUP(StorageTable[[#This Row],[Tag]],ITSecondTable[Tag],ITSecondTable[TQty],0,0) - StorageTable[[#This Row],[All - Serialized Total]]</f>
        <v>4</v>
      </c>
      <c r="P39" s="5" t="b">
        <f>OR(StorageTable[[#This Row],[In Storage - Count Total]] = StorageTable[[#This Row],[All - Serialized Total]], ISBLANK(StorageTable[[#This Row],[Model]]), ISBLANK(StorageTable[[#This Row],[Brand]]), ISBLANK(StorageTable[[#This Row],[Type]]))</f>
        <v>1</v>
      </c>
      <c r="Q39" s="159">
        <f>_xlfn.LET(_xlpm.countb, COUNTIF(StorageTable[[#This Row],[IT Cage]:[Backup Server Room]], ""),
_xlpm.tbm_blank, COUNTBLANK(StorageTable[[#This Row],[Type]:[Model]]) &gt; 0,
_xlpm.adjcount, IF(_xlpm.tbm_blank, 0, _xlpm.countb),
_xlpm.adjcount)</f>
        <v>0</v>
      </c>
      <c r="R39" s="161" t="b">
        <f>COUNTIF(StorageTable[[#This Row],[Type]:[Model]], "") &gt; 0</f>
        <v>0</v>
      </c>
    </row>
    <row r="40" spans="1:18" x14ac:dyDescent="0.2">
      <c r="A40" s="11" t="str">
        <f>_xlfn.TEXTJOIN("~", TRUE, StorageTable[[#This Row],[Type]],StorageTable[[#This Row],[Brand]],StorageTable[[#This Row],[Model]])</f>
        <v>Laptop~HP~HP EliteBook 850 G7</v>
      </c>
      <c r="B40" s="157" t="s">
        <v>294</v>
      </c>
      <c r="C40" s="157" t="s">
        <v>403</v>
      </c>
      <c r="D40" s="157" t="s">
        <v>2107</v>
      </c>
      <c r="E40" s="1">
        <v>0</v>
      </c>
      <c r="F40" s="1">
        <v>0</v>
      </c>
      <c r="G40" s="1">
        <v>0</v>
      </c>
      <c r="H40" s="1">
        <v>0</v>
      </c>
      <c r="I40" s="1">
        <v>0</v>
      </c>
      <c r="J40" s="1">
        <v>0</v>
      </c>
      <c r="K40" s="1">
        <v>0</v>
      </c>
      <c r="L40" s="160" t="b">
        <f>COUNTBLANK(StorageTable[[#This Row],[IT Cage]:[Backup Server Room]]) = 0</f>
        <v>1</v>
      </c>
      <c r="M40" s="160">
        <f>SUM(StorageTable[[#This Row],[IT Cage]:[Backup Server Room]])</f>
        <v>0</v>
      </c>
      <c r="N40" s="159">
        <f>_xlfn.XLOOKUP(StorageTable[[#This Row],[Tag]],ITSecondTable[Tag],ITSecondTable[SQty],0,0)</f>
        <v>0</v>
      </c>
      <c r="O40" s="159">
        <f>_xlfn.XLOOKUP(StorageTable[[#This Row],[Tag]],ITSecondTable[Tag],ITSecondTable[TQty],0,0) - StorageTable[[#This Row],[All - Serialized Total]]</f>
        <v>0</v>
      </c>
      <c r="P40" s="5" t="b">
        <f>OR(StorageTable[[#This Row],[In Storage - Count Total]] = StorageTable[[#This Row],[All - Serialized Total]], ISBLANK(StorageTable[[#This Row],[Model]]), ISBLANK(StorageTable[[#This Row],[Brand]]), ISBLANK(StorageTable[[#This Row],[Type]]))</f>
        <v>1</v>
      </c>
      <c r="Q40" s="159">
        <f>_xlfn.LET(_xlpm.countb, COUNTIF(StorageTable[[#This Row],[IT Cage]:[Backup Server Room]], ""),
_xlpm.tbm_blank, COUNTBLANK(StorageTable[[#This Row],[Type]:[Model]]) &gt; 0,
_xlpm.adjcount, IF(_xlpm.tbm_blank, 0, _xlpm.countb),
_xlpm.adjcount)</f>
        <v>0</v>
      </c>
      <c r="R40" s="161" t="b">
        <f>COUNTIF(StorageTable[[#This Row],[Type]:[Model]], "") &gt; 0</f>
        <v>0</v>
      </c>
    </row>
    <row r="41" spans="1:18" x14ac:dyDescent="0.2">
      <c r="A41" s="91" t="str">
        <f>_xlfn.TEXTJOIN("~", TRUE, StorageTable[[#This Row],[Type]],StorageTable[[#This Row],[Brand]],StorageTable[[#This Row],[Model]])</f>
        <v>Laptop~HP~HP ProBook 4440s</v>
      </c>
      <c r="B41" s="157" t="s">
        <v>294</v>
      </c>
      <c r="C41" s="157" t="s">
        <v>403</v>
      </c>
      <c r="D41" s="157" t="s">
        <v>2095</v>
      </c>
      <c r="E41" s="1">
        <v>0</v>
      </c>
      <c r="F41" s="1"/>
      <c r="G41" s="1">
        <v>0</v>
      </c>
      <c r="H41" s="1">
        <v>0</v>
      </c>
      <c r="I41" s="1">
        <v>0</v>
      </c>
      <c r="J41" s="1">
        <v>0</v>
      </c>
      <c r="K41" s="1">
        <v>0</v>
      </c>
      <c r="L41" s="160" t="b">
        <f>COUNTBLANK(StorageTable[[#This Row],[IT Cage]:[Backup Server Room]]) = 0</f>
        <v>0</v>
      </c>
      <c r="M41" s="160">
        <f>SUM(StorageTable[[#This Row],[IT Cage]:[Backup Server Room]])</f>
        <v>0</v>
      </c>
      <c r="N41" s="161">
        <f>_xlfn.XLOOKUP(StorageTable[[#This Row],[Tag]],ITSecondTable[Tag],ITSecondTable[SQty],0,0)</f>
        <v>1</v>
      </c>
      <c r="O41" s="161">
        <f>_xlfn.XLOOKUP(StorageTable[[#This Row],[Tag]],ITSecondTable[Tag],ITSecondTable[TQty],0,0) - StorageTable[[#This Row],[All - Serialized Total]]</f>
        <v>0</v>
      </c>
      <c r="P41" s="12" t="b">
        <f>OR(StorageTable[[#This Row],[In Storage - Count Total]] = StorageTable[[#This Row],[All - Serialized Total]], ISBLANK(StorageTable[[#This Row],[Model]]), ISBLANK(StorageTable[[#This Row],[Brand]]), ISBLANK(StorageTable[[#This Row],[Type]]))</f>
        <v>0</v>
      </c>
      <c r="Q41" s="161">
        <f>_xlfn.LET(_xlpm.countb, COUNTIF(StorageTable[[#This Row],[IT Cage]:[Backup Server Room]], ""),
_xlpm.tbm_blank, COUNTBLANK(StorageTable[[#This Row],[Type]:[Model]]) &gt; 0,
_xlpm.adjcount, IF(_xlpm.tbm_blank, 0, _xlpm.countb),
_xlpm.adjcount)</f>
        <v>1</v>
      </c>
      <c r="R41" s="161" t="b">
        <f>COUNTIF(StorageTable[[#This Row],[Type]:[Model]], "") &gt; 0</f>
        <v>0</v>
      </c>
    </row>
    <row r="42" spans="1:18" x14ac:dyDescent="0.2">
      <c r="A42" s="91" t="str">
        <f>_xlfn.TEXTJOIN("~", TRUE, StorageTable[[#This Row],[Type]],StorageTable[[#This Row],[Brand]],StorageTable[[#This Row],[Model]])</f>
        <v>Laptop~HP~HP ProBook 4530s</v>
      </c>
      <c r="B42" s="157" t="s">
        <v>294</v>
      </c>
      <c r="C42" s="157" t="s">
        <v>403</v>
      </c>
      <c r="D42" s="157" t="s">
        <v>1163</v>
      </c>
      <c r="E42" s="1">
        <v>0</v>
      </c>
      <c r="F42" s="1"/>
      <c r="G42" s="1">
        <v>0</v>
      </c>
      <c r="H42" s="1">
        <v>0</v>
      </c>
      <c r="I42" s="1">
        <v>0</v>
      </c>
      <c r="J42" s="1">
        <v>0</v>
      </c>
      <c r="K42" s="1">
        <v>0</v>
      </c>
      <c r="L42" s="160" t="b">
        <f>COUNTBLANK(StorageTable[[#This Row],[IT Cage]:[Backup Server Room]]) = 0</f>
        <v>0</v>
      </c>
      <c r="M42" s="160">
        <f>SUM(StorageTable[[#This Row],[IT Cage]:[Backup Server Room]])</f>
        <v>0</v>
      </c>
      <c r="N42" s="161">
        <f>_xlfn.XLOOKUP(StorageTable[[#This Row],[Tag]],ITSecondTable[Tag],ITSecondTable[SQty],0,0)</f>
        <v>1</v>
      </c>
      <c r="O42" s="161">
        <f>_xlfn.XLOOKUP(StorageTable[[#This Row],[Tag]],ITSecondTable[Tag],ITSecondTable[TQty],0,0) - StorageTable[[#This Row],[All - Serialized Total]]</f>
        <v>0</v>
      </c>
      <c r="P42" s="12" t="b">
        <f>OR(StorageTable[[#This Row],[In Storage - Count Total]] = StorageTable[[#This Row],[All - Serialized Total]], ISBLANK(StorageTable[[#This Row],[Model]]), ISBLANK(StorageTable[[#This Row],[Brand]]), ISBLANK(StorageTable[[#This Row],[Type]]))</f>
        <v>0</v>
      </c>
      <c r="Q42" s="161">
        <f>_xlfn.LET(_xlpm.countb, COUNTIF(StorageTable[[#This Row],[IT Cage]:[Backup Server Room]], ""),
_xlpm.tbm_blank, COUNTBLANK(StorageTable[[#This Row],[Type]:[Model]]) &gt; 0,
_xlpm.adjcount, IF(_xlpm.tbm_blank, 0, _xlpm.countb),
_xlpm.adjcount)</f>
        <v>1</v>
      </c>
      <c r="R42" s="161" t="b">
        <f>COUNTIF(StorageTable[[#This Row],[Type]:[Model]], "") &gt; 0</f>
        <v>0</v>
      </c>
    </row>
    <row r="43" spans="1:18" x14ac:dyDescent="0.2">
      <c r="A43" s="11" t="str">
        <f>_xlfn.TEXTJOIN("~", TRUE, StorageTable[[#This Row],[Type]],StorageTable[[#This Row],[Brand]],StorageTable[[#This Row],[Model]])</f>
        <v>Laptop~HP~HP ProBook 4540s</v>
      </c>
      <c r="B43" s="157" t="s">
        <v>294</v>
      </c>
      <c r="C43" s="157" t="s">
        <v>403</v>
      </c>
      <c r="D43" s="157" t="s">
        <v>1159</v>
      </c>
      <c r="E43" s="1">
        <v>0</v>
      </c>
      <c r="F43" s="1"/>
      <c r="G43" s="1">
        <v>0</v>
      </c>
      <c r="H43" s="1">
        <v>0</v>
      </c>
      <c r="I43" s="1">
        <v>0</v>
      </c>
      <c r="J43" s="1">
        <v>0</v>
      </c>
      <c r="K43" s="1">
        <v>0</v>
      </c>
      <c r="L43" s="160" t="b">
        <f>COUNTBLANK(StorageTable[[#This Row],[IT Cage]:[Backup Server Room]]) = 0</f>
        <v>0</v>
      </c>
      <c r="M43" s="160">
        <f>SUM(StorageTable[[#This Row],[IT Cage]:[Backup Server Room]])</f>
        <v>0</v>
      </c>
      <c r="N43" s="159">
        <f>_xlfn.XLOOKUP(StorageTable[[#This Row],[Tag]],ITSecondTable[Tag],ITSecondTable[SQty],0,0)</f>
        <v>1</v>
      </c>
      <c r="O43" s="159">
        <f>_xlfn.XLOOKUP(StorageTable[[#This Row],[Tag]],ITSecondTable[Tag],ITSecondTable[TQty],0,0) - StorageTable[[#This Row],[All - Serialized Total]]</f>
        <v>1</v>
      </c>
      <c r="P43" s="5" t="b">
        <f>OR(StorageTable[[#This Row],[In Storage - Count Total]] = StorageTable[[#This Row],[All - Serialized Total]], ISBLANK(StorageTable[[#This Row],[Model]]), ISBLANK(StorageTable[[#This Row],[Brand]]), ISBLANK(StorageTable[[#This Row],[Type]]))</f>
        <v>0</v>
      </c>
      <c r="Q43" s="159">
        <f>_xlfn.LET(_xlpm.countb, COUNTIF(StorageTable[[#This Row],[IT Cage]:[Backup Server Room]], ""),
_xlpm.tbm_blank, COUNTBLANK(StorageTable[[#This Row],[Type]:[Model]]) &gt; 0,
_xlpm.adjcount, IF(_xlpm.tbm_blank, 0, _xlpm.countb),
_xlpm.adjcount)</f>
        <v>1</v>
      </c>
      <c r="R43" s="161" t="b">
        <f>COUNTIF(StorageTable[[#This Row],[Type]:[Model]], "") &gt; 0</f>
        <v>0</v>
      </c>
    </row>
    <row r="44" spans="1:18" x14ac:dyDescent="0.2">
      <c r="A44" s="11" t="str">
        <f>_xlfn.TEXTJOIN("~", TRUE, StorageTable[[#This Row],[Type]],StorageTable[[#This Row],[Brand]],StorageTable[[#This Row],[Model]])</f>
        <v>Laptop~HP~HP ProBook 640 G2</v>
      </c>
      <c r="B44" s="157" t="s">
        <v>294</v>
      </c>
      <c r="C44" s="157" t="s">
        <v>403</v>
      </c>
      <c r="D44" s="157" t="s">
        <v>1175</v>
      </c>
      <c r="E44" s="1">
        <v>0</v>
      </c>
      <c r="F44" s="1"/>
      <c r="G44" s="1">
        <v>1</v>
      </c>
      <c r="H44" s="1">
        <v>0</v>
      </c>
      <c r="I44" s="1">
        <v>0</v>
      </c>
      <c r="J44" s="1">
        <v>0</v>
      </c>
      <c r="K44" s="1">
        <v>0</v>
      </c>
      <c r="L44" s="165" t="b">
        <f>COUNTBLANK(StorageTable[[#This Row],[IT Cage]:[Backup Server Room]]) = 0</f>
        <v>0</v>
      </c>
      <c r="M44" s="165">
        <f>SUM(StorageTable[[#This Row],[IT Cage]:[Backup Server Room]])</f>
        <v>1</v>
      </c>
      <c r="N44" s="159">
        <f>_xlfn.XLOOKUP(StorageTable[[#This Row],[Tag]],ITSecondTable[Tag],ITSecondTable[SQty],0,0)</f>
        <v>2</v>
      </c>
      <c r="O44" s="159">
        <f>_xlfn.XLOOKUP(StorageTable[[#This Row],[Tag]],ITSecondTable[Tag],ITSecondTable[TQty],0,0) - StorageTable[[#This Row],[All - Serialized Total]]</f>
        <v>5</v>
      </c>
      <c r="P44" s="5" t="b">
        <f>OR(StorageTable[[#This Row],[In Storage - Count Total]] = StorageTable[[#This Row],[All - Serialized Total]], ISBLANK(StorageTable[[#This Row],[Model]]), ISBLANK(StorageTable[[#This Row],[Brand]]), ISBLANK(StorageTable[[#This Row],[Type]]))</f>
        <v>0</v>
      </c>
      <c r="Q44" s="159">
        <f>_xlfn.LET(_xlpm.countb, COUNTIF(StorageTable[[#This Row],[IT Cage]:[Backup Server Room]], ""),
_xlpm.tbm_blank, COUNTBLANK(StorageTable[[#This Row],[Type]:[Model]]) &gt; 0,
_xlpm.adjcount, IF(_xlpm.tbm_blank, 0, _xlpm.countb),
_xlpm.adjcount)</f>
        <v>1</v>
      </c>
      <c r="R44" s="161" t="b">
        <f>COUNTIF(StorageTable[[#This Row],[Type]:[Model]], "") &gt; 0</f>
        <v>0</v>
      </c>
    </row>
    <row r="45" spans="1:18" x14ac:dyDescent="0.2">
      <c r="A45" s="11" t="str">
        <f>_xlfn.TEXTJOIN("~", TRUE, StorageTable[[#This Row],[Type]],StorageTable[[#This Row],[Brand]],StorageTable[[#This Row],[Model]])</f>
        <v>Laptop~HP~HP ProBook 640 G3</v>
      </c>
      <c r="B45" s="157" t="s">
        <v>294</v>
      </c>
      <c r="C45" s="157" t="s">
        <v>403</v>
      </c>
      <c r="D45" s="157" t="s">
        <v>1170</v>
      </c>
      <c r="E45" s="1">
        <v>0</v>
      </c>
      <c r="F45" s="1"/>
      <c r="G45" s="1">
        <v>0</v>
      </c>
      <c r="H45" s="1">
        <v>0</v>
      </c>
      <c r="I45" s="1">
        <v>0</v>
      </c>
      <c r="J45" s="1">
        <v>0</v>
      </c>
      <c r="K45" s="1">
        <v>0</v>
      </c>
      <c r="L45" s="160" t="b">
        <f>COUNTBLANK(StorageTable[[#This Row],[IT Cage]:[Backup Server Room]]) = 0</f>
        <v>0</v>
      </c>
      <c r="M45" s="160">
        <f>SUM(StorageTable[[#This Row],[IT Cage]:[Backup Server Room]])</f>
        <v>0</v>
      </c>
      <c r="N45" s="159">
        <f>_xlfn.XLOOKUP(StorageTable[[#This Row],[Tag]],ITSecondTable[Tag],ITSecondTable[SQty],0,0)</f>
        <v>2</v>
      </c>
      <c r="O45" s="159">
        <f>_xlfn.XLOOKUP(StorageTable[[#This Row],[Tag]],ITSecondTable[Tag],ITSecondTable[TQty],0,0) - StorageTable[[#This Row],[All - Serialized Total]]</f>
        <v>15</v>
      </c>
      <c r="P45" s="5" t="b">
        <f>OR(StorageTable[[#This Row],[In Storage - Count Total]] = StorageTable[[#This Row],[All - Serialized Total]], ISBLANK(StorageTable[[#This Row],[Model]]), ISBLANK(StorageTable[[#This Row],[Brand]]), ISBLANK(StorageTable[[#This Row],[Type]]))</f>
        <v>0</v>
      </c>
      <c r="Q45" s="159">
        <f>_xlfn.LET(_xlpm.countb, COUNTIF(StorageTable[[#This Row],[IT Cage]:[Backup Server Room]], ""),
_xlpm.tbm_blank, COUNTBLANK(StorageTable[[#This Row],[Type]:[Model]]) &gt; 0,
_xlpm.adjcount, IF(_xlpm.tbm_blank, 0, _xlpm.countb),
_xlpm.adjcount)</f>
        <v>1</v>
      </c>
      <c r="R45" s="161" t="b">
        <f>COUNTIF(StorageTable[[#This Row],[Type]:[Model]], "") &gt; 0</f>
        <v>0</v>
      </c>
    </row>
    <row r="46" spans="1:18" x14ac:dyDescent="0.2">
      <c r="A46" s="11" t="str">
        <f>_xlfn.TEXTJOIN("~", TRUE, StorageTable[[#This Row],[Type]],StorageTable[[#This Row],[Brand]],StorageTable[[#This Row],[Model]])</f>
        <v>Laptop~HP~HP ProBook 640 G4</v>
      </c>
      <c r="B46" s="38" t="s">
        <v>294</v>
      </c>
      <c r="C46" s="38" t="s">
        <v>403</v>
      </c>
      <c r="D46" s="38" t="s">
        <v>1155</v>
      </c>
      <c r="E46" s="1">
        <v>0</v>
      </c>
      <c r="F46" s="1"/>
      <c r="G46" s="1">
        <v>0</v>
      </c>
      <c r="H46" s="1">
        <v>0</v>
      </c>
      <c r="I46" s="1">
        <v>0</v>
      </c>
      <c r="J46" s="1">
        <v>0</v>
      </c>
      <c r="K46" s="1">
        <v>0</v>
      </c>
      <c r="L46" s="161" t="b">
        <f>COUNTBLANK(StorageTable[[#This Row],[IT Cage]:[Backup Server Room]]) = 0</f>
        <v>0</v>
      </c>
      <c r="M46" s="161">
        <f>SUM(StorageTable[[#This Row],[IT Cage]:[Backup Server Room]])</f>
        <v>0</v>
      </c>
      <c r="N46" s="159">
        <f>_xlfn.XLOOKUP(StorageTable[[#This Row],[Tag]],ITSecondTable[Tag],ITSecondTable[SQty],0,0)</f>
        <v>0</v>
      </c>
      <c r="O46" s="159">
        <f>_xlfn.XLOOKUP(StorageTable[[#This Row],[Tag]],ITSecondTable[Tag],ITSecondTable[TQty],0,0) - StorageTable[[#This Row],[All - Serialized Total]]</f>
        <v>10</v>
      </c>
      <c r="P46" s="5" t="b">
        <f>OR(StorageTable[[#This Row],[In Storage - Count Total]] = StorageTable[[#This Row],[All - Serialized Total]], ISBLANK(StorageTable[[#This Row],[Model]]), ISBLANK(StorageTable[[#This Row],[Brand]]), ISBLANK(StorageTable[[#This Row],[Type]]))</f>
        <v>1</v>
      </c>
      <c r="Q46" s="159">
        <f>_xlfn.LET(_xlpm.countb, COUNTIF(StorageTable[[#This Row],[IT Cage]:[Backup Server Room]], ""),
_xlpm.tbm_blank, COUNTBLANK(StorageTable[[#This Row],[Type]:[Model]]) &gt; 0,
_xlpm.adjcount, IF(_xlpm.tbm_blank, 0, _xlpm.countb),
_xlpm.adjcount)</f>
        <v>1</v>
      </c>
      <c r="R46" s="161" t="b">
        <f>COUNTIF(StorageTable[[#This Row],[Type]:[Model]], "") &gt; 0</f>
        <v>0</v>
      </c>
    </row>
    <row r="47" spans="1:18" x14ac:dyDescent="0.2">
      <c r="A47" s="11" t="str">
        <f>_xlfn.TEXTJOIN("~", TRUE, StorageTable[[#This Row],[Type]],StorageTable[[#This Row],[Brand]],StorageTable[[#This Row],[Model]])</f>
        <v>Laptop~HP~HP ProBook 650 G1</v>
      </c>
      <c r="B47" s="157" t="s">
        <v>294</v>
      </c>
      <c r="C47" s="157" t="s">
        <v>403</v>
      </c>
      <c r="D47" s="157" t="s">
        <v>656</v>
      </c>
      <c r="E47" s="1">
        <v>0</v>
      </c>
      <c r="F47" s="1"/>
      <c r="G47" s="1">
        <v>0</v>
      </c>
      <c r="H47" s="1">
        <v>0</v>
      </c>
      <c r="I47" s="1">
        <v>0</v>
      </c>
      <c r="J47" s="1">
        <v>0</v>
      </c>
      <c r="K47" s="1">
        <v>0</v>
      </c>
      <c r="L47" s="160" t="b">
        <f>COUNTBLANK(StorageTable[[#This Row],[IT Cage]:[Backup Server Room]]) = 0</f>
        <v>0</v>
      </c>
      <c r="M47" s="160">
        <f>SUM(StorageTable[[#This Row],[IT Cage]:[Backup Server Room]])</f>
        <v>0</v>
      </c>
      <c r="N47" s="165">
        <f>_xlfn.XLOOKUP(StorageTable[[#This Row],[Tag]],ITSecondTable[Tag],ITSecondTable[SQty],0,0)</f>
        <v>2</v>
      </c>
      <c r="O47" s="165">
        <f>_xlfn.XLOOKUP(StorageTable[[#This Row],[Tag]],ITSecondTable[Tag],ITSecondTable[TQty],0,0) - StorageTable[[#This Row],[All - Serialized Total]]</f>
        <v>11</v>
      </c>
      <c r="P47" s="5" t="b">
        <f>OR(StorageTable[[#This Row],[In Storage - Count Total]] = StorageTable[[#This Row],[All - Serialized Total]], ISBLANK(StorageTable[[#This Row],[Model]]), ISBLANK(StorageTable[[#This Row],[Brand]]), ISBLANK(StorageTable[[#This Row],[Type]]))</f>
        <v>0</v>
      </c>
      <c r="Q47" s="159">
        <f>_xlfn.LET(_xlpm.countb, COUNTIF(StorageTable[[#This Row],[IT Cage]:[Backup Server Room]], ""),
_xlpm.tbm_blank, COUNTBLANK(StorageTable[[#This Row],[Type]:[Model]]) &gt; 0,
_xlpm.adjcount, IF(_xlpm.tbm_blank, 0, _xlpm.countb),
_xlpm.adjcount)</f>
        <v>1</v>
      </c>
      <c r="R47" s="161" t="b">
        <f>COUNTIF(StorageTable[[#This Row],[Type]:[Model]], "") &gt; 0</f>
        <v>0</v>
      </c>
    </row>
    <row r="48" spans="1:18" x14ac:dyDescent="0.2">
      <c r="A48" s="11" t="str">
        <f>_xlfn.TEXTJOIN("~", TRUE, StorageTable[[#This Row],[Type]],StorageTable[[#This Row],[Brand]],StorageTable[[#This Row],[Model]])</f>
        <v>Laptop~HP~HP ProBook 650 G2</v>
      </c>
      <c r="B48" s="38" t="s">
        <v>294</v>
      </c>
      <c r="C48" s="38" t="s">
        <v>403</v>
      </c>
      <c r="D48" s="38" t="s">
        <v>1179</v>
      </c>
      <c r="E48" s="1">
        <v>0</v>
      </c>
      <c r="F48" s="1"/>
      <c r="G48" s="1">
        <v>0</v>
      </c>
      <c r="H48" s="1">
        <v>0</v>
      </c>
      <c r="I48" s="1">
        <v>0</v>
      </c>
      <c r="J48" s="1">
        <v>0</v>
      </c>
      <c r="K48" s="1">
        <v>0</v>
      </c>
      <c r="L48" s="161" t="b">
        <f>COUNTBLANK(StorageTable[[#This Row],[IT Cage]:[Backup Server Room]]) = 0</f>
        <v>0</v>
      </c>
      <c r="M48" s="161">
        <f>SUM(StorageTable[[#This Row],[IT Cage]:[Backup Server Room]])</f>
        <v>0</v>
      </c>
      <c r="N48" s="159">
        <f>_xlfn.XLOOKUP(StorageTable[[#This Row],[Tag]],ITSecondTable[Tag],ITSecondTable[SQty],0,0)</f>
        <v>0</v>
      </c>
      <c r="O48" s="159">
        <f>_xlfn.XLOOKUP(StorageTable[[#This Row],[Tag]],ITSecondTable[Tag],ITSecondTable[TQty],0,0) - StorageTable[[#This Row],[All - Serialized Total]]</f>
        <v>29</v>
      </c>
      <c r="P48" s="5" t="b">
        <f>OR(StorageTable[[#This Row],[In Storage - Count Total]] = StorageTable[[#This Row],[All - Serialized Total]], ISBLANK(StorageTable[[#This Row],[Model]]), ISBLANK(StorageTable[[#This Row],[Brand]]), ISBLANK(StorageTable[[#This Row],[Type]]))</f>
        <v>1</v>
      </c>
      <c r="Q48" s="159">
        <f>_xlfn.LET(_xlpm.countb, COUNTIF(StorageTable[[#This Row],[IT Cage]:[Backup Server Room]], ""),
_xlpm.tbm_blank, COUNTBLANK(StorageTable[[#This Row],[Type]:[Model]]) &gt; 0,
_xlpm.adjcount, IF(_xlpm.tbm_blank, 0, _xlpm.countb),
_xlpm.adjcount)</f>
        <v>1</v>
      </c>
      <c r="R48" s="161" t="b">
        <f>COUNTIF(StorageTable[[#This Row],[Type]:[Model]], "") &gt; 0</f>
        <v>0</v>
      </c>
    </row>
    <row r="49" spans="1:18" x14ac:dyDescent="0.2">
      <c r="A49" s="11" t="str">
        <f>_xlfn.TEXTJOIN("~", TRUE, StorageTable[[#This Row],[Type]],StorageTable[[#This Row],[Brand]],StorageTable[[#This Row],[Model]])</f>
        <v>Laptop~HP~HP ProBook 650 G3</v>
      </c>
      <c r="B49" s="38" t="s">
        <v>294</v>
      </c>
      <c r="C49" s="38" t="s">
        <v>403</v>
      </c>
      <c r="D49" s="38" t="s">
        <v>1249</v>
      </c>
      <c r="E49" s="1">
        <v>0</v>
      </c>
      <c r="F49" s="1"/>
      <c r="G49" s="1">
        <v>0</v>
      </c>
      <c r="H49" s="1">
        <v>0</v>
      </c>
      <c r="I49" s="1">
        <v>0</v>
      </c>
      <c r="J49" s="1">
        <v>0</v>
      </c>
      <c r="K49" s="1">
        <v>0</v>
      </c>
      <c r="L49" s="161" t="b">
        <f>COUNTBLANK(StorageTable[[#This Row],[IT Cage]:[Backup Server Room]]) = 0</f>
        <v>0</v>
      </c>
      <c r="M49" s="161">
        <f>SUM(StorageTable[[#This Row],[IT Cage]:[Backup Server Room]])</f>
        <v>0</v>
      </c>
      <c r="N49" s="159">
        <f>_xlfn.XLOOKUP(StorageTable[[#This Row],[Tag]],ITSecondTable[Tag],ITSecondTable[SQty],0,0)</f>
        <v>0</v>
      </c>
      <c r="O49" s="159">
        <f>_xlfn.XLOOKUP(StorageTable[[#This Row],[Tag]],ITSecondTable[Tag],ITSecondTable[TQty],0,0) - StorageTable[[#This Row],[All - Serialized Total]]</f>
        <v>1</v>
      </c>
      <c r="P49" s="5" t="b">
        <f>OR(StorageTable[[#This Row],[In Storage - Count Total]] = StorageTable[[#This Row],[All - Serialized Total]], ISBLANK(StorageTable[[#This Row],[Model]]), ISBLANK(StorageTable[[#This Row],[Brand]]), ISBLANK(StorageTable[[#This Row],[Type]]))</f>
        <v>1</v>
      </c>
      <c r="Q49" s="159">
        <f>_xlfn.LET(_xlpm.countb, COUNTIF(StorageTable[[#This Row],[IT Cage]:[Backup Server Room]], ""),
_xlpm.tbm_blank, COUNTBLANK(StorageTable[[#This Row],[Type]:[Model]]) &gt; 0,
_xlpm.adjcount, IF(_xlpm.tbm_blank, 0, _xlpm.countb),
_xlpm.adjcount)</f>
        <v>1</v>
      </c>
      <c r="R49" s="161" t="b">
        <f>COUNTIF(StorageTable[[#This Row],[Type]:[Model]], "") &gt; 0</f>
        <v>0</v>
      </c>
    </row>
    <row r="50" spans="1:18" x14ac:dyDescent="0.2">
      <c r="A50" s="11" t="str">
        <f>_xlfn.TEXTJOIN("~", TRUE, StorageTable[[#This Row],[Type]],StorageTable[[#This Row],[Brand]],StorageTable[[#This Row],[Model]])</f>
        <v>Laptop~HP~HP ProBook 650 G4</v>
      </c>
      <c r="B50" s="38" t="s">
        <v>294</v>
      </c>
      <c r="C50" s="38" t="s">
        <v>403</v>
      </c>
      <c r="D50" s="38" t="s">
        <v>1167</v>
      </c>
      <c r="E50" s="1">
        <v>0</v>
      </c>
      <c r="F50" s="1"/>
      <c r="G50" s="1">
        <v>0</v>
      </c>
      <c r="H50" s="1">
        <v>0</v>
      </c>
      <c r="I50" s="1">
        <v>0</v>
      </c>
      <c r="J50" s="1">
        <v>0</v>
      </c>
      <c r="K50" s="1">
        <v>0</v>
      </c>
      <c r="L50" s="161" t="b">
        <f>COUNTBLANK(StorageTable[[#This Row],[IT Cage]:[Backup Server Room]]) = 0</f>
        <v>0</v>
      </c>
      <c r="M50" s="161">
        <f>SUM(StorageTable[[#This Row],[IT Cage]:[Backup Server Room]])</f>
        <v>0</v>
      </c>
      <c r="N50" s="159">
        <f>_xlfn.XLOOKUP(StorageTable[[#This Row],[Tag]],ITSecondTable[Tag],ITSecondTable[SQty],0,0)</f>
        <v>0</v>
      </c>
      <c r="O50" s="159">
        <f>_xlfn.XLOOKUP(StorageTable[[#This Row],[Tag]],ITSecondTable[Tag],ITSecondTable[TQty],0,0) - StorageTable[[#This Row],[All - Serialized Total]]</f>
        <v>2</v>
      </c>
      <c r="P50" s="5" t="b">
        <f>OR(StorageTable[[#This Row],[In Storage - Count Total]] = StorageTable[[#This Row],[All - Serialized Total]], ISBLANK(StorageTable[[#This Row],[Model]]), ISBLANK(StorageTable[[#This Row],[Brand]]), ISBLANK(StorageTable[[#This Row],[Type]]))</f>
        <v>1</v>
      </c>
      <c r="Q50" s="159">
        <f>_xlfn.LET(_xlpm.countb, COUNTIF(StorageTable[[#This Row],[IT Cage]:[Backup Server Room]], ""),
_xlpm.tbm_blank, COUNTBLANK(StorageTable[[#This Row],[Type]:[Model]]) &gt; 0,
_xlpm.adjcount, IF(_xlpm.tbm_blank, 0, _xlpm.countb),
_xlpm.adjcount)</f>
        <v>1</v>
      </c>
      <c r="R50" s="161" t="b">
        <f>COUNTIF(StorageTable[[#This Row],[Type]:[Model]], "") &gt; 0</f>
        <v>0</v>
      </c>
    </row>
    <row r="51" spans="1:18" x14ac:dyDescent="0.2">
      <c r="A51" s="91" t="str">
        <f>_xlfn.TEXTJOIN("~", TRUE, StorageTable[[#This Row],[Type]],StorageTable[[#This Row],[Brand]],StorageTable[[#This Row],[Model]])</f>
        <v>Laptop~HP~HP ProBook 650 G5</v>
      </c>
      <c r="B51" s="38" t="s">
        <v>294</v>
      </c>
      <c r="C51" s="38" t="s">
        <v>403</v>
      </c>
      <c r="D51" s="38" t="s">
        <v>536</v>
      </c>
      <c r="E51" s="1">
        <v>0</v>
      </c>
      <c r="F51" s="1"/>
      <c r="G51" s="1">
        <v>0</v>
      </c>
      <c r="H51" s="1">
        <v>0</v>
      </c>
      <c r="I51" s="1">
        <v>0</v>
      </c>
      <c r="J51" s="1">
        <v>0</v>
      </c>
      <c r="K51" s="1">
        <v>0</v>
      </c>
      <c r="L51" s="161" t="b">
        <f>COUNTBLANK(StorageTable[[#This Row],[IT Cage]:[Backup Server Room]]) = 0</f>
        <v>0</v>
      </c>
      <c r="M51" s="161">
        <f>SUM(StorageTable[[#This Row],[IT Cage]:[Backup Server Room]])</f>
        <v>0</v>
      </c>
      <c r="N51" s="161">
        <f>_xlfn.XLOOKUP(StorageTable[[#This Row],[Tag]],ITSecondTable[Tag],ITSecondTable[SQty],0,0)</f>
        <v>0</v>
      </c>
      <c r="O51" s="161">
        <f>_xlfn.XLOOKUP(StorageTable[[#This Row],[Tag]],ITSecondTable[Tag],ITSecondTable[TQty],0,0) - StorageTable[[#This Row],[All - Serialized Total]]</f>
        <v>1</v>
      </c>
      <c r="P51" s="12" t="b">
        <f>OR(StorageTable[[#This Row],[In Storage - Count Total]] = StorageTable[[#This Row],[All - Serialized Total]], ISBLANK(StorageTable[[#This Row],[Model]]), ISBLANK(StorageTable[[#This Row],[Brand]]), ISBLANK(StorageTable[[#This Row],[Type]]))</f>
        <v>1</v>
      </c>
      <c r="Q51" s="161">
        <f>_xlfn.LET(_xlpm.countb, COUNTIF(StorageTable[[#This Row],[IT Cage]:[Backup Server Room]], ""),
_xlpm.tbm_blank, COUNTBLANK(StorageTable[[#This Row],[Type]:[Model]]) &gt; 0,
_xlpm.adjcount, IF(_xlpm.tbm_blank, 0, _xlpm.countb),
_xlpm.adjcount)</f>
        <v>1</v>
      </c>
      <c r="R51" s="161" t="b">
        <f>COUNTIF(StorageTable[[#This Row],[Type]:[Model]], "") &gt; 0</f>
        <v>0</v>
      </c>
    </row>
    <row r="52" spans="1:18" x14ac:dyDescent="0.2">
      <c r="A52" s="11" t="str">
        <f>_xlfn.TEXTJOIN("~", TRUE, StorageTable[[#This Row],[Type]],StorageTable[[#This Row],[Brand]],StorageTable[[#This Row],[Model]])</f>
        <v>Laptop~HP~HP ProBook 650 G8</v>
      </c>
      <c r="B52" s="38" t="s">
        <v>294</v>
      </c>
      <c r="C52" s="38" t="s">
        <v>403</v>
      </c>
      <c r="D52" s="38" t="s">
        <v>1593</v>
      </c>
      <c r="E52" s="1">
        <v>0</v>
      </c>
      <c r="F52" s="1">
        <v>0</v>
      </c>
      <c r="G52" s="1">
        <v>0</v>
      </c>
      <c r="H52" s="1">
        <v>0</v>
      </c>
      <c r="I52" s="1">
        <v>0</v>
      </c>
      <c r="J52" s="1">
        <v>0</v>
      </c>
      <c r="K52" s="1">
        <v>0</v>
      </c>
      <c r="L52" s="161" t="b">
        <f>COUNTBLANK(StorageTable[[#This Row],[IT Cage]:[Backup Server Room]]) = 0</f>
        <v>1</v>
      </c>
      <c r="M52" s="161">
        <f>SUM(StorageTable[[#This Row],[IT Cage]:[Backup Server Room]])</f>
        <v>0</v>
      </c>
      <c r="N52" s="159">
        <f>_xlfn.XLOOKUP(StorageTable[[#This Row],[Tag]],ITSecondTable[Tag],ITSecondTable[SQty],0,0)</f>
        <v>0</v>
      </c>
      <c r="O52" s="159">
        <f>_xlfn.XLOOKUP(StorageTable[[#This Row],[Tag]],ITSecondTable[Tag],ITSecondTable[TQty],0,0) - StorageTable[[#This Row],[All - Serialized Total]]</f>
        <v>3</v>
      </c>
      <c r="P52" s="5" t="b">
        <f>OR(StorageTable[[#This Row],[In Storage - Count Total]] = StorageTable[[#This Row],[All - Serialized Total]], ISBLANK(StorageTable[[#This Row],[Model]]), ISBLANK(StorageTable[[#This Row],[Brand]]), ISBLANK(StorageTable[[#This Row],[Type]]))</f>
        <v>1</v>
      </c>
      <c r="Q52" s="159">
        <f>_xlfn.LET(_xlpm.countb, COUNTIF(StorageTable[[#This Row],[IT Cage]:[Backup Server Room]], ""),
_xlpm.tbm_blank, COUNTBLANK(StorageTable[[#This Row],[Type]:[Model]]) &gt; 0,
_xlpm.adjcount, IF(_xlpm.tbm_blank, 0, _xlpm.countb),
_xlpm.adjcount)</f>
        <v>0</v>
      </c>
      <c r="R52" s="161" t="b">
        <f>COUNTIF(StorageTable[[#This Row],[Type]:[Model]], "") &gt; 0</f>
        <v>0</v>
      </c>
    </row>
    <row r="53" spans="1:18" x14ac:dyDescent="0.2">
      <c r="A53" s="11" t="str">
        <f>_xlfn.TEXTJOIN("~", TRUE, StorageTable[[#This Row],[Type]],StorageTable[[#This Row],[Brand]],StorageTable[[#This Row],[Model]])</f>
        <v>Laptop~HP~HP ZBook 15 G3</v>
      </c>
      <c r="B53" s="38" t="s">
        <v>294</v>
      </c>
      <c r="C53" s="38" t="s">
        <v>403</v>
      </c>
      <c r="D53" s="38" t="s">
        <v>1193</v>
      </c>
      <c r="E53" s="1">
        <v>0</v>
      </c>
      <c r="F53" s="1">
        <v>0</v>
      </c>
      <c r="G53" s="1">
        <v>0</v>
      </c>
      <c r="H53" s="1">
        <v>0</v>
      </c>
      <c r="I53" s="1">
        <v>0</v>
      </c>
      <c r="J53" s="1">
        <v>0</v>
      </c>
      <c r="K53" s="1">
        <v>0</v>
      </c>
      <c r="L53" s="161" t="b">
        <f>COUNTBLANK(StorageTable[[#This Row],[IT Cage]:[Backup Server Room]]) = 0</f>
        <v>1</v>
      </c>
      <c r="M53" s="161">
        <f>SUM(StorageTable[[#This Row],[IT Cage]:[Backup Server Room]])</f>
        <v>0</v>
      </c>
      <c r="N53" s="159">
        <f>_xlfn.XLOOKUP(StorageTable[[#This Row],[Tag]],ITSecondTable[Tag],ITSecondTable[SQty],0,0)</f>
        <v>1</v>
      </c>
      <c r="O53" s="159">
        <f>_xlfn.XLOOKUP(StorageTable[[#This Row],[Tag]],ITSecondTable[Tag],ITSecondTable[TQty],0,0) - StorageTable[[#This Row],[All - Serialized Total]]</f>
        <v>2</v>
      </c>
      <c r="P53" s="5" t="b">
        <f>OR(StorageTable[[#This Row],[In Storage - Count Total]] = StorageTable[[#This Row],[All - Serialized Total]], ISBLANK(StorageTable[[#This Row],[Model]]), ISBLANK(StorageTable[[#This Row],[Brand]]), ISBLANK(StorageTable[[#This Row],[Type]]))</f>
        <v>0</v>
      </c>
      <c r="Q53" s="159">
        <f>_xlfn.LET(_xlpm.countb, COUNTIF(StorageTable[[#This Row],[IT Cage]:[Backup Server Room]], ""),
_xlpm.tbm_blank, COUNTBLANK(StorageTable[[#This Row],[Type]:[Model]]) &gt; 0,
_xlpm.adjcount, IF(_xlpm.tbm_blank, 0, _xlpm.countb),
_xlpm.adjcount)</f>
        <v>0</v>
      </c>
      <c r="R53" s="161" t="b">
        <f>COUNTIF(StorageTable[[#This Row],[Type]:[Model]], "") &gt; 0</f>
        <v>0</v>
      </c>
    </row>
    <row r="54" spans="1:18" x14ac:dyDescent="0.2">
      <c r="A54" s="11" t="str">
        <f>_xlfn.TEXTJOIN("~", TRUE, StorageTable[[#This Row],[Type]],StorageTable[[#This Row],[Brand]],StorageTable[[#This Row],[Model]])</f>
        <v>Laptop~HP~HP ZBook 15u G6</v>
      </c>
      <c r="B54" s="38" t="s">
        <v>294</v>
      </c>
      <c r="C54" s="38" t="s">
        <v>403</v>
      </c>
      <c r="D54" s="38" t="s">
        <v>1624</v>
      </c>
      <c r="E54" s="1">
        <v>0</v>
      </c>
      <c r="F54" s="1">
        <v>0</v>
      </c>
      <c r="G54" s="1">
        <v>0</v>
      </c>
      <c r="H54" s="1">
        <v>0</v>
      </c>
      <c r="I54" s="1">
        <v>0</v>
      </c>
      <c r="J54" s="1">
        <v>0</v>
      </c>
      <c r="K54" s="1">
        <v>0</v>
      </c>
      <c r="L54" s="161" t="b">
        <f>COUNTBLANK(StorageTable[[#This Row],[IT Cage]:[Backup Server Room]]) = 0</f>
        <v>1</v>
      </c>
      <c r="M54" s="161">
        <f>SUM(StorageTable[[#This Row],[IT Cage]:[Backup Server Room]])</f>
        <v>0</v>
      </c>
      <c r="N54" s="159">
        <f>_xlfn.XLOOKUP(StorageTable[[#This Row],[Tag]],ITSecondTable[Tag],ITSecondTable[SQty],0,0)</f>
        <v>1</v>
      </c>
      <c r="O54" s="159">
        <f>_xlfn.XLOOKUP(StorageTable[[#This Row],[Tag]],ITSecondTable[Tag],ITSecondTable[TQty],0,0) - StorageTable[[#This Row],[All - Serialized Total]]</f>
        <v>0</v>
      </c>
      <c r="P54" s="5" t="b">
        <f>OR(StorageTable[[#This Row],[In Storage - Count Total]] = StorageTable[[#This Row],[All - Serialized Total]], ISBLANK(StorageTable[[#This Row],[Model]]), ISBLANK(StorageTable[[#This Row],[Brand]]), ISBLANK(StorageTable[[#This Row],[Type]]))</f>
        <v>0</v>
      </c>
      <c r="Q54" s="159">
        <f>_xlfn.LET(_xlpm.countb, COUNTIF(StorageTable[[#This Row],[IT Cage]:[Backup Server Room]], ""),
_xlpm.tbm_blank, COUNTBLANK(StorageTable[[#This Row],[Type]:[Model]]) &gt; 0,
_xlpm.adjcount, IF(_xlpm.tbm_blank, 0, _xlpm.countb),
_xlpm.adjcount)</f>
        <v>0</v>
      </c>
      <c r="R54" s="161" t="b">
        <f>COUNTIF(StorageTable[[#This Row],[Type]:[Model]], "") &gt; 0</f>
        <v>0</v>
      </c>
    </row>
    <row r="55" spans="1:18" x14ac:dyDescent="0.2">
      <c r="A55" s="11" t="str">
        <f>_xlfn.TEXTJOIN("~", TRUE, StorageTable[[#This Row],[Type]],StorageTable[[#This Row],[Brand]],StorageTable[[#This Row],[Model]])</f>
        <v>Laptop~HP~OMEN by HP Laptop 17-cb0xxx</v>
      </c>
      <c r="B55" s="38" t="s">
        <v>294</v>
      </c>
      <c r="C55" s="38" t="s">
        <v>403</v>
      </c>
      <c r="D55" s="38" t="s">
        <v>1705</v>
      </c>
      <c r="E55" s="1">
        <v>0</v>
      </c>
      <c r="F55" s="1">
        <v>0</v>
      </c>
      <c r="G55" s="1">
        <v>0</v>
      </c>
      <c r="H55" s="1">
        <v>0</v>
      </c>
      <c r="I55" s="1">
        <v>0</v>
      </c>
      <c r="J55" s="1">
        <v>0</v>
      </c>
      <c r="K55" s="1">
        <v>0</v>
      </c>
      <c r="L55" s="161" t="b">
        <f>COUNTBLANK(StorageTable[[#This Row],[IT Cage]:[Backup Server Room]]) = 0</f>
        <v>1</v>
      </c>
      <c r="M55" s="161">
        <f>SUM(StorageTable[[#This Row],[IT Cage]:[Backup Server Room]])</f>
        <v>0</v>
      </c>
      <c r="N55" s="159">
        <f>_xlfn.XLOOKUP(StorageTable[[#This Row],[Tag]],ITSecondTable[Tag],ITSecondTable[SQty],0,0)</f>
        <v>0</v>
      </c>
      <c r="O55" s="159">
        <f>_xlfn.XLOOKUP(StorageTable[[#This Row],[Tag]],ITSecondTable[Tag],ITSecondTable[TQty],0,0) - StorageTable[[#This Row],[All - Serialized Total]]</f>
        <v>1</v>
      </c>
      <c r="P55" s="5" t="b">
        <f>OR(StorageTable[[#This Row],[In Storage - Count Total]] = StorageTable[[#This Row],[All - Serialized Total]], ISBLANK(StorageTable[[#This Row],[Model]]), ISBLANK(StorageTable[[#This Row],[Brand]]), ISBLANK(StorageTable[[#This Row],[Type]]))</f>
        <v>1</v>
      </c>
      <c r="Q55" s="159">
        <f>_xlfn.LET(_xlpm.countb, COUNTIF(StorageTable[[#This Row],[IT Cage]:[Backup Server Room]], ""),
_xlpm.tbm_blank, COUNTBLANK(StorageTable[[#This Row],[Type]:[Model]]) &gt; 0,
_xlpm.adjcount, IF(_xlpm.tbm_blank, 0, _xlpm.countb),
_xlpm.adjcount)</f>
        <v>0</v>
      </c>
      <c r="R55" s="161" t="b">
        <f>COUNTIF(StorageTable[[#This Row],[Type]:[Model]], "") &gt; 0</f>
        <v>0</v>
      </c>
    </row>
    <row r="56" spans="1:18" x14ac:dyDescent="0.2">
      <c r="A56" s="91" t="str">
        <f>_xlfn.TEXTJOIN("~", TRUE, StorageTable[[#This Row],[Type]],StorageTable[[#This Row],[Brand]],StorageTable[[#This Row],[Model]])</f>
        <v>Laptop~HP</v>
      </c>
      <c r="B56" s="38" t="s">
        <v>294</v>
      </c>
      <c r="C56" s="38" t="s">
        <v>403</v>
      </c>
      <c r="D56" s="38"/>
      <c r="E56" s="1">
        <v>0</v>
      </c>
      <c r="F56" s="1">
        <v>0</v>
      </c>
      <c r="G56" s="1">
        <v>0</v>
      </c>
      <c r="H56" s="1">
        <v>0</v>
      </c>
      <c r="I56" s="1">
        <v>0</v>
      </c>
      <c r="J56" s="1">
        <v>0</v>
      </c>
      <c r="K56" s="1">
        <v>0</v>
      </c>
      <c r="L56" s="161" t="b">
        <f>COUNTBLANK(StorageTable[[#This Row],[IT Cage]:[Backup Server Room]]) = 0</f>
        <v>1</v>
      </c>
      <c r="M56" s="161">
        <f>SUM(StorageTable[[#This Row],[IT Cage]:[Backup Server Room]])</f>
        <v>0</v>
      </c>
      <c r="N56" s="161">
        <f>_xlfn.XLOOKUP(StorageTable[[#This Row],[Tag]],ITSecondTable[Tag],ITSecondTable[SQty],0,0)</f>
        <v>0</v>
      </c>
      <c r="O56" s="161">
        <f>_xlfn.XLOOKUP(StorageTable[[#This Row],[Tag]],ITSecondTable[Tag],ITSecondTable[TQty],0,0) - StorageTable[[#This Row],[All - Serialized Total]]</f>
        <v>78</v>
      </c>
      <c r="P56" s="5" t="b">
        <f>OR(StorageTable[[#This Row],[In Storage - Count Total]] = StorageTable[[#This Row],[All - Serialized Total]], ISBLANK(StorageTable[[#This Row],[Model]]), ISBLANK(StorageTable[[#This Row],[Brand]]), ISBLANK(StorageTable[[#This Row],[Type]]))</f>
        <v>1</v>
      </c>
      <c r="Q56" s="159">
        <f>_xlfn.LET(_xlpm.countb, COUNTIF(StorageTable[[#This Row],[IT Cage]:[Backup Server Room]], ""),
_xlpm.tbm_blank, COUNTBLANK(StorageTable[[#This Row],[Type]:[Model]]) &gt; 0,
_xlpm.adjcount, IF(_xlpm.tbm_blank, 0, _xlpm.countb),
_xlpm.adjcount)</f>
        <v>0</v>
      </c>
      <c r="R56" s="161" t="b">
        <f>COUNTIF(StorageTable[[#This Row],[Type]:[Model]], "") &gt; 0</f>
        <v>1</v>
      </c>
    </row>
    <row r="57" spans="1:18" x14ac:dyDescent="0.2">
      <c r="A57" s="91" t="str">
        <f>_xlfn.TEXTJOIN("~", TRUE, StorageTable[[#This Row],[Type]],StorageTable[[#This Row],[Brand]],StorageTable[[#This Row],[Model]])</f>
        <v>Laptop</v>
      </c>
      <c r="B57" s="38" t="s">
        <v>294</v>
      </c>
      <c r="C57" s="38"/>
      <c r="D57" s="38"/>
      <c r="E57" s="1">
        <v>0</v>
      </c>
      <c r="F57" s="1">
        <v>0</v>
      </c>
      <c r="G57" s="1">
        <v>0</v>
      </c>
      <c r="H57" s="1">
        <v>0</v>
      </c>
      <c r="I57" s="1">
        <v>0</v>
      </c>
      <c r="J57" s="1">
        <v>0</v>
      </c>
      <c r="K57" s="1">
        <v>0</v>
      </c>
      <c r="L57" s="161" t="b">
        <f>COUNTBLANK(StorageTable[[#This Row],[IT Cage]:[Backup Server Room]]) = 0</f>
        <v>1</v>
      </c>
      <c r="M57" s="161">
        <f>SUM(StorageTable[[#This Row],[IT Cage]:[Backup Server Room]])</f>
        <v>0</v>
      </c>
      <c r="N57" s="161">
        <f>_xlfn.XLOOKUP(StorageTable[[#This Row],[Tag]],ITSecondTable[Tag],ITSecondTable[SQty],0,0)</f>
        <v>0</v>
      </c>
      <c r="O57" s="161">
        <f>_xlfn.XLOOKUP(StorageTable[[#This Row],[Tag]],ITSecondTable[Tag],ITSecondTable[TQty],0,0) - StorageTable[[#This Row],[All - Serialized Total]]</f>
        <v>1</v>
      </c>
      <c r="P57" s="5" t="b">
        <f>OR(StorageTable[[#This Row],[In Storage - Count Total]] = StorageTable[[#This Row],[All - Serialized Total]], ISBLANK(StorageTable[[#This Row],[Model]]), ISBLANK(StorageTable[[#This Row],[Brand]]), ISBLANK(StorageTable[[#This Row],[Type]]))</f>
        <v>1</v>
      </c>
      <c r="Q57" s="159">
        <f>_xlfn.LET(_xlpm.countb, COUNTIF(StorageTable[[#This Row],[IT Cage]:[Backup Server Room]], ""),
_xlpm.tbm_blank, COUNTBLANK(StorageTable[[#This Row],[Type]:[Model]]) &gt; 0,
_xlpm.adjcount, IF(_xlpm.tbm_blank, 0, _xlpm.countb),
_xlpm.adjcount)</f>
        <v>0</v>
      </c>
      <c r="R57" s="161" t="b">
        <f>COUNTIF(StorageTable[[#This Row],[Type]:[Model]], "") &gt; 0</f>
        <v>1</v>
      </c>
    </row>
    <row r="58" spans="1:18" x14ac:dyDescent="0.2">
      <c r="A58" s="11" t="str">
        <f>_xlfn.TEXTJOIN("~", TRUE, StorageTable[[#This Row],[Type]],StorageTable[[#This Row],[Brand]],StorageTable[[#This Row],[Model]])</f>
        <v>Monitor~Acer~V206HQL</v>
      </c>
      <c r="B58" s="38" t="s">
        <v>356</v>
      </c>
      <c r="C58" s="38" t="s">
        <v>443</v>
      </c>
      <c r="D58" s="38" t="s">
        <v>444</v>
      </c>
      <c r="E58" s="166">
        <v>22</v>
      </c>
      <c r="F58" s="1">
        <v>0</v>
      </c>
      <c r="G58" s="1">
        <v>0</v>
      </c>
      <c r="H58" s="1">
        <v>0</v>
      </c>
      <c r="I58" s="1">
        <v>0</v>
      </c>
      <c r="J58" s="1">
        <v>0</v>
      </c>
      <c r="K58" s="1">
        <v>3</v>
      </c>
      <c r="L58" s="159" t="b">
        <f>COUNTBLANK(StorageTable[[#This Row],[IT Cage]:[Backup Server Room]]) = 0</f>
        <v>1</v>
      </c>
      <c r="M58" s="161">
        <f>SUM(StorageTable[[#This Row],[IT Cage]:[Backup Server Room]])</f>
        <v>25</v>
      </c>
      <c r="N58" s="159">
        <f>_xlfn.XLOOKUP(StorageTable[[#This Row],[Tag]],ITSecondTable[Tag],ITSecondTable[SQty],0,0)</f>
        <v>36</v>
      </c>
      <c r="O58" s="159">
        <f>_xlfn.XLOOKUP(StorageTable[[#This Row],[Tag]],ITSecondTable[Tag],ITSecondTable[TQty],0,0) - StorageTable[[#This Row],[All - Serialized Total]]</f>
        <v>5</v>
      </c>
      <c r="P58" s="5" t="b">
        <f>OR(StorageTable[[#This Row],[In Storage - Count Total]] = StorageTable[[#This Row],[All - Serialized Total]], ISBLANK(StorageTable[[#This Row],[Model]]), ISBLANK(StorageTable[[#This Row],[Brand]]), ISBLANK(StorageTable[[#This Row],[Type]]))</f>
        <v>0</v>
      </c>
      <c r="Q58" s="159">
        <f>_xlfn.LET(_xlpm.countb, COUNTIF(StorageTable[[#This Row],[IT Cage]:[Backup Server Room]], ""),
_xlpm.tbm_blank, COUNTBLANK(StorageTable[[#This Row],[Type]:[Model]]) &gt; 0,
_xlpm.adjcount, IF(_xlpm.tbm_blank, 0, _xlpm.countb),
_xlpm.adjcount)</f>
        <v>0</v>
      </c>
      <c r="R58" s="161" t="b">
        <f>COUNTIF(StorageTable[[#This Row],[Type]:[Model]], "") &gt; 0</f>
        <v>0</v>
      </c>
    </row>
    <row r="59" spans="1:18" x14ac:dyDescent="0.2">
      <c r="A59" s="91" t="str">
        <f>_xlfn.TEXTJOIN("~", TRUE, StorageTable[[#This Row],[Type]],StorageTable[[#This Row],[Brand]],StorageTable[[#This Row],[Model]])</f>
        <v>Monitor~Acer~V226HQL</v>
      </c>
      <c r="B59" s="38" t="s">
        <v>356</v>
      </c>
      <c r="C59" s="38" t="s">
        <v>443</v>
      </c>
      <c r="D59" s="38" t="s">
        <v>2074</v>
      </c>
      <c r="E59" s="1">
        <v>1</v>
      </c>
      <c r="F59" s="1">
        <v>0</v>
      </c>
      <c r="G59" s="1">
        <v>0</v>
      </c>
      <c r="H59" s="1">
        <v>0</v>
      </c>
      <c r="I59" s="1">
        <v>0</v>
      </c>
      <c r="J59" s="1">
        <v>0</v>
      </c>
      <c r="K59" s="1">
        <v>0</v>
      </c>
      <c r="L59" s="161" t="b">
        <f>COUNTBLANK(StorageTable[[#This Row],[IT Cage]:[Backup Server Room]]) = 0</f>
        <v>1</v>
      </c>
      <c r="M59" s="161">
        <f>SUM(StorageTable[[#This Row],[IT Cage]:[Backup Server Room]])</f>
        <v>1</v>
      </c>
      <c r="N59" s="161">
        <f>_xlfn.XLOOKUP(StorageTable[[#This Row],[Tag]],ITSecondTable[Tag],ITSecondTable[SQty],0,0)</f>
        <v>2</v>
      </c>
      <c r="O59" s="161">
        <f>_xlfn.XLOOKUP(StorageTable[[#This Row],[Tag]],ITSecondTable[Tag],ITSecondTable[TQty],0,0) - StorageTable[[#This Row],[All - Serialized Total]]</f>
        <v>0</v>
      </c>
      <c r="P59" s="12" t="b">
        <f>OR(StorageTable[[#This Row],[In Storage - Count Total]] = StorageTable[[#This Row],[All - Serialized Total]], ISBLANK(StorageTable[[#This Row],[Model]]), ISBLANK(StorageTable[[#This Row],[Brand]]), ISBLANK(StorageTable[[#This Row],[Type]]))</f>
        <v>0</v>
      </c>
      <c r="Q59" s="161">
        <f>_xlfn.LET(_xlpm.countb, COUNTIF(StorageTable[[#This Row],[IT Cage]:[Backup Server Room]], ""),
_xlpm.tbm_blank, COUNTBLANK(StorageTable[[#This Row],[Type]:[Model]]) &gt; 0,
_xlpm.adjcount, IF(_xlpm.tbm_blank, 0, _xlpm.countb),
_xlpm.adjcount)</f>
        <v>0</v>
      </c>
      <c r="R59" s="161" t="b">
        <f>COUNTIF(StorageTable[[#This Row],[Type]:[Model]], "") &gt; 0</f>
        <v>0</v>
      </c>
    </row>
    <row r="60" spans="1:18" x14ac:dyDescent="0.2">
      <c r="A60" s="11" t="str">
        <f>_xlfn.TEXTJOIN("~", TRUE, StorageTable[[#This Row],[Type]],StorageTable[[#This Row],[Brand]],StorageTable[[#This Row],[Model]])</f>
        <v>Monitor~Acer~V246HQL</v>
      </c>
      <c r="B60" s="38" t="s">
        <v>356</v>
      </c>
      <c r="C60" s="38" t="s">
        <v>443</v>
      </c>
      <c r="D60" s="38" t="s">
        <v>2023</v>
      </c>
      <c r="E60" s="164">
        <v>0</v>
      </c>
      <c r="F60" s="1">
        <v>0</v>
      </c>
      <c r="G60" s="1">
        <v>1</v>
      </c>
      <c r="H60" s="1">
        <v>0</v>
      </c>
      <c r="I60" s="1">
        <v>0</v>
      </c>
      <c r="J60" s="1">
        <v>0</v>
      </c>
      <c r="K60" s="1">
        <v>0</v>
      </c>
      <c r="L60" s="159" t="b">
        <f>COUNTBLANK(StorageTable[[#This Row],[IT Cage]:[Backup Server Room]]) = 0</f>
        <v>1</v>
      </c>
      <c r="M60" s="161">
        <f>SUM(StorageTable[[#This Row],[IT Cage]:[Backup Server Room]])</f>
        <v>1</v>
      </c>
      <c r="N60" s="159">
        <f>_xlfn.XLOOKUP(StorageTable[[#This Row],[Tag]],ITSecondTable[Tag],ITSecondTable[SQty],0,0)</f>
        <v>3</v>
      </c>
      <c r="O60" s="159">
        <f>_xlfn.XLOOKUP(StorageTable[[#This Row],[Tag]],ITSecondTable[Tag],ITSecondTable[TQty],0,0) - StorageTable[[#This Row],[All - Serialized Total]]</f>
        <v>0</v>
      </c>
      <c r="P60" s="5" t="b">
        <f>OR(StorageTable[[#This Row],[In Storage - Count Total]] = StorageTable[[#This Row],[All - Serialized Total]], ISBLANK(StorageTable[[#This Row],[Model]]), ISBLANK(StorageTable[[#This Row],[Brand]]), ISBLANK(StorageTable[[#This Row],[Type]]))</f>
        <v>0</v>
      </c>
      <c r="Q60" s="159">
        <f>_xlfn.LET(_xlpm.countb, COUNTIF(StorageTable[[#This Row],[IT Cage]:[Backup Server Room]], ""),
_xlpm.tbm_blank, COUNTBLANK(StorageTable[[#This Row],[Type]:[Model]]) &gt; 0,
_xlpm.adjcount, IF(_xlpm.tbm_blank, 0, _xlpm.countb),
_xlpm.adjcount)</f>
        <v>0</v>
      </c>
      <c r="R60" s="161" t="b">
        <f>COUNTIF(StorageTable[[#This Row],[Type]:[Model]], "") &gt; 0</f>
        <v>0</v>
      </c>
    </row>
    <row r="61" spans="1:18" x14ac:dyDescent="0.2">
      <c r="A61" s="11" t="str">
        <f>_xlfn.TEXTJOIN("~", TRUE, StorageTable[[#This Row],[Type]],StorageTable[[#This Row],[Brand]],StorageTable[[#This Row],[Model]])</f>
        <v>Monitor~Dell~E2417H</v>
      </c>
      <c r="B61" s="38" t="s">
        <v>356</v>
      </c>
      <c r="C61" s="38" t="s">
        <v>308</v>
      </c>
      <c r="D61" s="38" t="s">
        <v>1954</v>
      </c>
      <c r="E61" s="1"/>
      <c r="F61" s="1">
        <v>0</v>
      </c>
      <c r="G61" s="1">
        <v>0</v>
      </c>
      <c r="H61" s="1">
        <v>0</v>
      </c>
      <c r="I61" s="1">
        <v>0</v>
      </c>
      <c r="J61" s="1">
        <v>0</v>
      </c>
      <c r="K61" s="1">
        <v>0</v>
      </c>
      <c r="L61" s="161" t="b">
        <f>COUNTBLANK(StorageTable[[#This Row],[IT Cage]:[Backup Server Room]]) = 0</f>
        <v>0</v>
      </c>
      <c r="M61" s="160">
        <f>SUM(StorageTable[[#This Row],[IT Cage]:[Backup Server Room]])</f>
        <v>0</v>
      </c>
      <c r="N61" s="159">
        <f>_xlfn.XLOOKUP(StorageTable[[#This Row],[Tag]],ITSecondTable[Tag],ITSecondTable[SQty],0,0)</f>
        <v>1</v>
      </c>
      <c r="O61" s="159">
        <f>_xlfn.XLOOKUP(StorageTable[[#This Row],[Tag]],ITSecondTable[Tag],ITSecondTable[TQty],0,0) - StorageTable[[#This Row],[All - Serialized Total]]</f>
        <v>0</v>
      </c>
      <c r="P61" s="5" t="b">
        <f>OR(StorageTable[[#This Row],[In Storage - Count Total]] = StorageTable[[#This Row],[All - Serialized Total]], ISBLANK(StorageTable[[#This Row],[Model]]), ISBLANK(StorageTable[[#This Row],[Brand]]), ISBLANK(StorageTable[[#This Row],[Type]]))</f>
        <v>0</v>
      </c>
      <c r="Q61" s="159">
        <f>_xlfn.LET(_xlpm.countb, COUNTIF(StorageTable[[#This Row],[IT Cage]:[Backup Server Room]], ""),
_xlpm.tbm_blank, COUNTBLANK(StorageTable[[#This Row],[Type]:[Model]]) &gt; 0,
_xlpm.adjcount, IF(_xlpm.tbm_blank, 0, _xlpm.countb),
_xlpm.adjcount)</f>
        <v>1</v>
      </c>
      <c r="R61" s="161" t="b">
        <f>COUNTIF(StorageTable[[#This Row],[Type]:[Model]], "") &gt; 0</f>
        <v>0</v>
      </c>
    </row>
    <row r="62" spans="1:18" x14ac:dyDescent="0.2">
      <c r="A62" s="11" t="str">
        <f>_xlfn.TEXTJOIN("~", TRUE, StorageTable[[#This Row],[Type]],StorageTable[[#This Row],[Brand]],StorageTable[[#This Row],[Model]])</f>
        <v>Monitor~HP~HP P22 G4</v>
      </c>
      <c r="B62" s="157" t="s">
        <v>356</v>
      </c>
      <c r="C62" s="157" t="s">
        <v>403</v>
      </c>
      <c r="D62" s="157" t="s">
        <v>639</v>
      </c>
      <c r="E62" s="1"/>
      <c r="F62" s="1">
        <v>0</v>
      </c>
      <c r="G62" s="1">
        <v>0</v>
      </c>
      <c r="H62" s="1">
        <v>0</v>
      </c>
      <c r="I62" s="1">
        <v>0</v>
      </c>
      <c r="J62" s="1">
        <v>0</v>
      </c>
      <c r="K62" s="1">
        <v>0</v>
      </c>
      <c r="L62" s="160" t="b">
        <f>COUNTBLANK(StorageTable[[#This Row],[IT Cage]:[Backup Server Room]]) = 0</f>
        <v>0</v>
      </c>
      <c r="M62" s="160">
        <f>SUM(StorageTable[[#This Row],[IT Cage]:[Backup Server Room]])</f>
        <v>0</v>
      </c>
      <c r="N62" s="161">
        <f>_xlfn.XLOOKUP(StorageTable[[#This Row],[Tag]],ITSecondTable[Tag],ITSecondTable[SQty],0,0)</f>
        <v>0</v>
      </c>
      <c r="O62" s="161">
        <f>_xlfn.XLOOKUP(StorageTable[[#This Row],[Tag]],ITSecondTable[Tag],ITSecondTable[TQty],0,0) - StorageTable[[#This Row],[All - Serialized Total]]</f>
        <v>2</v>
      </c>
      <c r="P62" s="5" t="b">
        <f>OR(StorageTable[[#This Row],[In Storage - Count Total]] = StorageTable[[#This Row],[All - Serialized Total]], ISBLANK(StorageTable[[#This Row],[Model]]), ISBLANK(StorageTable[[#This Row],[Brand]]), ISBLANK(StorageTable[[#This Row],[Type]]))</f>
        <v>1</v>
      </c>
      <c r="Q62" s="159">
        <f>_xlfn.LET(_xlpm.countb, COUNTIF(StorageTable[[#This Row],[IT Cage]:[Backup Server Room]], ""),
_xlpm.tbm_blank, COUNTBLANK(StorageTable[[#This Row],[Type]:[Model]]) &gt; 0,
_xlpm.adjcount, IF(_xlpm.tbm_blank, 0, _xlpm.countb),
_xlpm.adjcount)</f>
        <v>1</v>
      </c>
      <c r="R62" s="161" t="b">
        <f>COUNTIF(StorageTable[[#This Row],[Type]:[Model]], "") &gt; 0</f>
        <v>0</v>
      </c>
    </row>
    <row r="63" spans="1:18" x14ac:dyDescent="0.2">
      <c r="A63" s="11" t="str">
        <f>_xlfn.TEXTJOIN("~", TRUE, StorageTable[[#This Row],[Type]],StorageTable[[#This Row],[Brand]],StorageTable[[#This Row],[Model]])</f>
        <v>Monitor~HP~HP P224 Monitor</v>
      </c>
      <c r="B63" s="157" t="s">
        <v>356</v>
      </c>
      <c r="C63" s="157" t="s">
        <v>403</v>
      </c>
      <c r="D63" s="38" t="s">
        <v>645</v>
      </c>
      <c r="E63" s="1">
        <v>8</v>
      </c>
      <c r="F63" s="1">
        <v>0</v>
      </c>
      <c r="G63" s="1">
        <v>1</v>
      </c>
      <c r="H63" s="1">
        <v>0</v>
      </c>
      <c r="I63" s="1">
        <v>0</v>
      </c>
      <c r="J63" s="1">
        <v>0</v>
      </c>
      <c r="K63" s="1">
        <v>0</v>
      </c>
      <c r="L63" s="161" t="b">
        <f>COUNTBLANK(StorageTable[[#This Row],[IT Cage]:[Backup Server Room]]) = 0</f>
        <v>1</v>
      </c>
      <c r="M63" s="160">
        <f>SUM(StorageTable[[#This Row],[IT Cage]:[Backup Server Room]])</f>
        <v>9</v>
      </c>
      <c r="N63" s="159">
        <f>_xlfn.XLOOKUP(StorageTable[[#This Row],[Tag]],ITSecondTable[Tag],ITSecondTable[SQty],0,0)</f>
        <v>11</v>
      </c>
      <c r="O63" s="159">
        <f>_xlfn.XLOOKUP(StorageTable[[#This Row],[Tag]],ITSecondTable[Tag],ITSecondTable[TQty],0,0) - StorageTable[[#This Row],[All - Serialized Total]]</f>
        <v>13</v>
      </c>
      <c r="P63" s="5" t="b">
        <f>OR(StorageTable[[#This Row],[In Storage - Count Total]] = StorageTable[[#This Row],[All - Serialized Total]], ISBLANK(StorageTable[[#This Row],[Model]]), ISBLANK(StorageTable[[#This Row],[Brand]]), ISBLANK(StorageTable[[#This Row],[Type]]))</f>
        <v>0</v>
      </c>
      <c r="Q63" s="159">
        <f>_xlfn.LET(_xlpm.countb, COUNTIF(StorageTable[[#This Row],[IT Cage]:[Backup Server Room]], ""),
_xlpm.tbm_blank, COUNTBLANK(StorageTable[[#This Row],[Type]:[Model]]) &gt; 0,
_xlpm.adjcount, IF(_xlpm.tbm_blank, 0, _xlpm.countb),
_xlpm.adjcount)</f>
        <v>0</v>
      </c>
      <c r="R63" s="161" t="b">
        <f>COUNTIF(StorageTable[[#This Row],[Type]:[Model]], "") &gt; 0</f>
        <v>0</v>
      </c>
    </row>
    <row r="64" spans="1:18" x14ac:dyDescent="0.2">
      <c r="A64" s="11" t="str">
        <f>_xlfn.TEXTJOIN("~", TRUE, StorageTable[[#This Row],[Type]],StorageTable[[#This Row],[Brand]],StorageTable[[#This Row],[Model]])</f>
        <v>Monitor~HP~HP P24v G4 FHD Monitor</v>
      </c>
      <c r="B64" s="38" t="s">
        <v>356</v>
      </c>
      <c r="C64" s="38" t="s">
        <v>403</v>
      </c>
      <c r="D64" s="38" t="s">
        <v>626</v>
      </c>
      <c r="E64" s="1"/>
      <c r="F64" s="1">
        <v>0</v>
      </c>
      <c r="G64" s="1">
        <v>0</v>
      </c>
      <c r="H64" s="1">
        <v>0</v>
      </c>
      <c r="I64" s="1">
        <v>0</v>
      </c>
      <c r="J64" s="1">
        <v>0</v>
      </c>
      <c r="K64" s="1">
        <v>0</v>
      </c>
      <c r="L64" s="161" t="b">
        <f>COUNTBLANK(StorageTable[[#This Row],[IT Cage]:[Backup Server Room]]) = 0</f>
        <v>0</v>
      </c>
      <c r="M64" s="161">
        <f>SUM(StorageTable[[#This Row],[IT Cage]:[Backup Server Room]])</f>
        <v>0</v>
      </c>
      <c r="N64" s="159">
        <f>_xlfn.XLOOKUP(StorageTable[[#This Row],[Tag]],ITSecondTable[Tag],ITSecondTable[SQty],0,0)</f>
        <v>0</v>
      </c>
      <c r="O64" s="159">
        <f>_xlfn.XLOOKUP(StorageTable[[#This Row],[Tag]],ITSecondTable[Tag],ITSecondTable[TQty],0,0) - StorageTable[[#This Row],[All - Serialized Total]]</f>
        <v>3</v>
      </c>
      <c r="P64" s="5" t="b">
        <f>OR(StorageTable[[#This Row],[In Storage - Count Total]] = StorageTable[[#This Row],[All - Serialized Total]], ISBLANK(StorageTable[[#This Row],[Model]]), ISBLANK(StorageTable[[#This Row],[Brand]]), ISBLANK(StorageTable[[#This Row],[Type]]))</f>
        <v>1</v>
      </c>
      <c r="Q64" s="159">
        <f>_xlfn.LET(_xlpm.countb, COUNTIF(StorageTable[[#This Row],[IT Cage]:[Backup Server Room]], ""),
_xlpm.tbm_blank, COUNTBLANK(StorageTable[[#This Row],[Type]:[Model]]) &gt; 0,
_xlpm.adjcount, IF(_xlpm.tbm_blank, 0, _xlpm.countb),
_xlpm.adjcount)</f>
        <v>1</v>
      </c>
      <c r="R64" s="161" t="b">
        <f>COUNTIF(StorageTable[[#This Row],[Type]:[Model]], "") &gt; 0</f>
        <v>0</v>
      </c>
    </row>
    <row r="65" spans="1:18" x14ac:dyDescent="0.2">
      <c r="A65" s="91" t="str">
        <f>_xlfn.TEXTJOIN("~", TRUE, StorageTable[[#This Row],[Type]],StorageTable[[#This Row],[Brand]],StorageTable[[#This Row],[Model]])</f>
        <v>Monitor~HP~HP VH22 Monitor</v>
      </c>
      <c r="B65" s="38" t="s">
        <v>356</v>
      </c>
      <c r="C65" s="38" t="s">
        <v>403</v>
      </c>
      <c r="D65" s="38" t="s">
        <v>2093</v>
      </c>
      <c r="E65" s="1"/>
      <c r="F65" s="1">
        <v>0</v>
      </c>
      <c r="G65" s="1">
        <v>0</v>
      </c>
      <c r="H65" s="1">
        <v>0</v>
      </c>
      <c r="I65" s="1">
        <v>0</v>
      </c>
      <c r="J65" s="1">
        <v>0</v>
      </c>
      <c r="K65" s="1">
        <v>0</v>
      </c>
      <c r="L65" s="161" t="b">
        <f>COUNTBLANK(StorageTable[[#This Row],[IT Cage]:[Backup Server Room]]) = 0</f>
        <v>0</v>
      </c>
      <c r="M65" s="161">
        <f>SUM(StorageTable[[#This Row],[IT Cage]:[Backup Server Room]])</f>
        <v>0</v>
      </c>
      <c r="N65" s="161">
        <f>_xlfn.XLOOKUP(StorageTable[[#This Row],[Tag]],ITSecondTable[Tag],ITSecondTable[SQty],0,0)</f>
        <v>1</v>
      </c>
      <c r="O65" s="161">
        <f>_xlfn.XLOOKUP(StorageTable[[#This Row],[Tag]],ITSecondTable[Tag],ITSecondTable[TQty],0,0) - StorageTable[[#This Row],[All - Serialized Total]]</f>
        <v>0</v>
      </c>
      <c r="P65" s="12" t="b">
        <f>OR(StorageTable[[#This Row],[In Storage - Count Total]] = StorageTable[[#This Row],[All - Serialized Total]], ISBLANK(StorageTable[[#This Row],[Model]]), ISBLANK(StorageTable[[#This Row],[Brand]]), ISBLANK(StorageTable[[#This Row],[Type]]))</f>
        <v>0</v>
      </c>
      <c r="Q65" s="161">
        <f>_xlfn.LET(_xlpm.countb, COUNTIF(StorageTable[[#This Row],[IT Cage]:[Backup Server Room]], ""),
_xlpm.tbm_blank, COUNTBLANK(StorageTable[[#This Row],[Type]:[Model]]) &gt; 0,
_xlpm.adjcount, IF(_xlpm.tbm_blank, 0, _xlpm.countb),
_xlpm.adjcount)</f>
        <v>1</v>
      </c>
      <c r="R65" s="161" t="b">
        <f>COUNTIF(StorageTable[[#This Row],[Type]:[Model]], "") &gt; 0</f>
        <v>0</v>
      </c>
    </row>
    <row r="66" spans="1:18" x14ac:dyDescent="0.2">
      <c r="A66" s="11" t="str">
        <f>_xlfn.TEXTJOIN("~", TRUE, StorageTable[[#This Row],[Type]],StorageTable[[#This Row],[Brand]],StorageTable[[#This Row],[Model]])</f>
        <v>Monitor (Touch)~Dell~P2424HT</v>
      </c>
      <c r="B66" s="157" t="s">
        <v>362</v>
      </c>
      <c r="C66" s="157" t="s">
        <v>308</v>
      </c>
      <c r="D66" s="157" t="s">
        <v>2037</v>
      </c>
      <c r="E66" s="189"/>
      <c r="F66" s="1">
        <v>0</v>
      </c>
      <c r="G66" s="1">
        <v>0</v>
      </c>
      <c r="H66" s="1">
        <v>0</v>
      </c>
      <c r="I66" s="1">
        <v>0</v>
      </c>
      <c r="J66" s="1">
        <v>0</v>
      </c>
      <c r="K66" s="1">
        <v>0</v>
      </c>
      <c r="L66" s="160" t="b">
        <f>COUNTBLANK(StorageTable[[#This Row],[IT Cage]:[Backup Server Room]]) = 0</f>
        <v>0</v>
      </c>
      <c r="M66" s="160">
        <f>SUM(StorageTable[[#This Row],[IT Cage]:[Backup Server Room]])</f>
        <v>0</v>
      </c>
      <c r="N66" s="159">
        <f>_xlfn.XLOOKUP(StorageTable[[#This Row],[Tag]],ITSecondTable[Tag],ITSecondTable[SQty],0,0)</f>
        <v>0</v>
      </c>
      <c r="O66" s="159">
        <f>_xlfn.XLOOKUP(StorageTable[[#This Row],[Tag]],ITSecondTable[Tag],ITSecondTable[TQty],0,0) - StorageTable[[#This Row],[All - Serialized Total]]</f>
        <v>2</v>
      </c>
      <c r="P66" s="5" t="b">
        <f>OR(StorageTable[[#This Row],[In Storage - Count Total]] = StorageTable[[#This Row],[All - Serialized Total]], ISBLANK(StorageTable[[#This Row],[Model]]), ISBLANK(StorageTable[[#This Row],[Brand]]), ISBLANK(StorageTable[[#This Row],[Type]]))</f>
        <v>1</v>
      </c>
      <c r="Q66" s="159">
        <f>_xlfn.LET(_xlpm.countb, COUNTIF(StorageTable[[#This Row],[IT Cage]:[Backup Server Room]], ""),
_xlpm.tbm_blank, COUNTBLANK(StorageTable[[#This Row],[Type]:[Model]]) &gt; 0,
_xlpm.adjcount, IF(_xlpm.tbm_blank, 0, _xlpm.countb),
_xlpm.adjcount)</f>
        <v>1</v>
      </c>
      <c r="R66" s="161" t="b">
        <f>COUNTIF(StorageTable[[#This Row],[Type]:[Model]], "") &gt; 0</f>
        <v>0</v>
      </c>
    </row>
    <row r="67" spans="1:18" x14ac:dyDescent="0.2">
      <c r="A67" s="11" t="str">
        <f>_xlfn.TEXTJOIN("~", TRUE, StorageTable[[#This Row],[Type]],StorageTable[[#This Row],[Brand]],StorageTable[[#This Row],[Model]])</f>
        <v>Monitor (Touch)~HP~HP E24t G4 Touch Monitor</v>
      </c>
      <c r="B67" s="157" t="s">
        <v>362</v>
      </c>
      <c r="C67" s="157" t="s">
        <v>403</v>
      </c>
      <c r="D67" s="157" t="s">
        <v>1956</v>
      </c>
      <c r="E67" s="1"/>
      <c r="F67" s="1">
        <v>0</v>
      </c>
      <c r="G67" s="1">
        <v>0</v>
      </c>
      <c r="H67" s="1">
        <v>0</v>
      </c>
      <c r="I67" s="1">
        <v>0</v>
      </c>
      <c r="J67" s="1">
        <v>0</v>
      </c>
      <c r="K67" s="1">
        <v>0</v>
      </c>
      <c r="L67" s="160" t="b">
        <f>COUNTBLANK(StorageTable[[#This Row],[IT Cage]:[Backup Server Room]]) = 0</f>
        <v>0</v>
      </c>
      <c r="M67" s="160">
        <f>SUM(StorageTable[[#This Row],[IT Cage]:[Backup Server Room]])</f>
        <v>0</v>
      </c>
      <c r="N67" s="159">
        <f>_xlfn.XLOOKUP(StorageTable[[#This Row],[Tag]],ITSecondTable[Tag],ITSecondTable[SQty],0,0)</f>
        <v>1</v>
      </c>
      <c r="O67" s="159">
        <f>_xlfn.XLOOKUP(StorageTable[[#This Row],[Tag]],ITSecondTable[Tag],ITSecondTable[TQty],0,0) - StorageTable[[#This Row],[All - Serialized Total]]</f>
        <v>1</v>
      </c>
      <c r="P67" s="5" t="b">
        <f>OR(StorageTable[[#This Row],[In Storage - Count Total]] = StorageTable[[#This Row],[All - Serialized Total]], ISBLANK(StorageTable[[#This Row],[Model]]), ISBLANK(StorageTable[[#This Row],[Brand]]), ISBLANK(StorageTable[[#This Row],[Type]]))</f>
        <v>0</v>
      </c>
      <c r="Q67" s="159">
        <f>_xlfn.LET(_xlpm.countb, COUNTIF(StorageTable[[#This Row],[IT Cage]:[Backup Server Room]], ""),
_xlpm.tbm_blank, COUNTBLANK(StorageTable[[#This Row],[Type]:[Model]]) &gt; 0,
_xlpm.adjcount, IF(_xlpm.tbm_blank, 0, _xlpm.countb),
_xlpm.adjcount)</f>
        <v>1</v>
      </c>
      <c r="R67" s="161" t="b">
        <f>COUNTIF(StorageTable[[#This Row],[Type]:[Model]], "") &gt; 0</f>
        <v>0</v>
      </c>
    </row>
    <row r="68" spans="1:18" x14ac:dyDescent="0.2">
      <c r="A68" s="91" t="str">
        <f>_xlfn.TEXTJOIN("~", TRUE, StorageTable[[#This Row],[Type]],StorageTable[[#This Row],[Brand]],StorageTable[[#This Row],[Model]])</f>
        <v>Network Switch~HP~1810-8</v>
      </c>
      <c r="B68" s="38" t="s">
        <v>402</v>
      </c>
      <c r="C68" s="38" t="s">
        <v>403</v>
      </c>
      <c r="D68" s="38" t="s">
        <v>408</v>
      </c>
      <c r="E68" s="1"/>
      <c r="F68" s="1">
        <v>0</v>
      </c>
      <c r="G68" s="1">
        <v>0</v>
      </c>
      <c r="H68" s="1">
        <v>0</v>
      </c>
      <c r="I68" s="1">
        <v>0</v>
      </c>
      <c r="J68" s="1">
        <v>0</v>
      </c>
      <c r="K68" s="1"/>
      <c r="L68" s="161" t="b">
        <f>COUNTBLANK(StorageTable[[#This Row],[IT Cage]:[Backup Server Room]]) = 0</f>
        <v>0</v>
      </c>
      <c r="M68" s="161">
        <f>SUM(StorageTable[[#This Row],[IT Cage]:[Backup Server Room]])</f>
        <v>0</v>
      </c>
      <c r="N68" s="161">
        <f>_xlfn.XLOOKUP(StorageTable[[#This Row],[Tag]],ITSecondTable[Tag],ITSecondTable[SQty],0,0)</f>
        <v>0</v>
      </c>
      <c r="O68" s="161">
        <f>_xlfn.XLOOKUP(StorageTable[[#This Row],[Tag]],ITSecondTable[Tag],ITSecondTable[TQty],0,0) - StorageTable[[#This Row],[All - Serialized Total]]</f>
        <v>1</v>
      </c>
      <c r="P68" s="12" t="b">
        <f>OR(StorageTable[[#This Row],[In Storage - Count Total]] = StorageTable[[#This Row],[All - Serialized Total]], ISBLANK(StorageTable[[#This Row],[Model]]), ISBLANK(StorageTable[[#This Row],[Brand]]), ISBLANK(StorageTable[[#This Row],[Type]]))</f>
        <v>1</v>
      </c>
      <c r="Q68" s="161">
        <f>_xlfn.LET(_xlpm.countb, COUNTIF(StorageTable[[#This Row],[IT Cage]:[Backup Server Room]], ""),
_xlpm.tbm_blank, COUNTBLANK(StorageTable[[#This Row],[Type]:[Model]]) &gt; 0,
_xlpm.adjcount, IF(_xlpm.tbm_blank, 0, _xlpm.countb),
_xlpm.adjcount)</f>
        <v>2</v>
      </c>
      <c r="R68" s="161" t="b">
        <f>COUNTIF(StorageTable[[#This Row],[Type]:[Model]], "") &gt; 0</f>
        <v>0</v>
      </c>
    </row>
    <row r="69" spans="1:18" x14ac:dyDescent="0.2">
      <c r="A69" s="91" t="str">
        <f>_xlfn.TEXTJOIN("~", TRUE, StorageTable[[#This Row],[Type]],StorageTable[[#This Row],[Brand]],StorageTable[[#This Row],[Model]])</f>
        <v>Network Switch</v>
      </c>
      <c r="B69" s="38" t="s">
        <v>402</v>
      </c>
      <c r="C69" s="38"/>
      <c r="D69" s="38"/>
      <c r="E69" s="1">
        <v>0</v>
      </c>
      <c r="F69" s="1">
        <v>0</v>
      </c>
      <c r="G69" s="1">
        <v>0</v>
      </c>
      <c r="H69" s="1">
        <v>0</v>
      </c>
      <c r="I69" s="1">
        <v>0</v>
      </c>
      <c r="J69" s="1">
        <v>0</v>
      </c>
      <c r="K69" s="1">
        <v>0</v>
      </c>
      <c r="L69" s="161" t="b">
        <f>COUNTBLANK(StorageTable[[#This Row],[IT Cage]:[Backup Server Room]]) = 0</f>
        <v>1</v>
      </c>
      <c r="M69" s="160">
        <f>SUM(StorageTable[[#This Row],[IT Cage]:[Backup Server Room]])</f>
        <v>0</v>
      </c>
      <c r="N69" s="161">
        <f>_xlfn.XLOOKUP(StorageTable[[#This Row],[Tag]],ITSecondTable[Tag],ITSecondTable[SQty],0,0)</f>
        <v>0</v>
      </c>
      <c r="O69" s="160">
        <f>_xlfn.XLOOKUP(StorageTable[[#This Row],[Tag]],ITSecondTable[Tag],ITSecondTable[TQty],0,0) - StorageTable[[#This Row],[All - Serialized Total]]</f>
        <v>1</v>
      </c>
      <c r="P69" s="5" t="b">
        <f>OR(StorageTable[[#This Row],[In Storage - Count Total]] = StorageTable[[#This Row],[All - Serialized Total]], ISBLANK(StorageTable[[#This Row],[Model]]), ISBLANK(StorageTable[[#This Row],[Brand]]), ISBLANK(StorageTable[[#This Row],[Type]]))</f>
        <v>1</v>
      </c>
      <c r="Q69" s="159">
        <f>_xlfn.LET(_xlpm.countb, COUNTIF(StorageTable[[#This Row],[IT Cage]:[Backup Server Room]], ""),
_xlpm.tbm_blank, COUNTBLANK(StorageTable[[#This Row],[Type]:[Model]]) &gt; 0,
_xlpm.adjcount, IF(_xlpm.tbm_blank, 0, _xlpm.countb),
_xlpm.adjcount)</f>
        <v>0</v>
      </c>
      <c r="R69" s="161" t="b">
        <f>COUNTIF(StorageTable[[#This Row],[Type]:[Model]], "") &gt; 0</f>
        <v>1</v>
      </c>
    </row>
    <row r="70" spans="1:18" x14ac:dyDescent="0.2">
      <c r="A70" s="11" t="str">
        <f>_xlfn.TEXTJOIN("~", TRUE, StorageTable[[#This Row],[Type]],StorageTable[[#This Row],[Brand]],StorageTable[[#This Row],[Model]])</f>
        <v>Printer~Honeywell~PM43</v>
      </c>
      <c r="B70" s="38" t="s">
        <v>340</v>
      </c>
      <c r="C70" s="38" t="s">
        <v>514</v>
      </c>
      <c r="D70" s="38" t="s">
        <v>680</v>
      </c>
      <c r="E70" s="164">
        <v>0</v>
      </c>
      <c r="F70" s="1">
        <v>0</v>
      </c>
      <c r="G70" s="1">
        <v>0</v>
      </c>
      <c r="H70" s="1">
        <v>0</v>
      </c>
      <c r="I70" s="1">
        <v>0</v>
      </c>
      <c r="J70" s="1">
        <v>0</v>
      </c>
      <c r="K70" s="1">
        <v>0</v>
      </c>
      <c r="L70" s="161" t="b">
        <f>COUNTBLANK(StorageTable[[#This Row],[IT Cage]:[Backup Server Room]]) = 0</f>
        <v>1</v>
      </c>
      <c r="M70" s="161">
        <f>SUM(StorageTable[[#This Row],[IT Cage]:[Backup Server Room]])</f>
        <v>0</v>
      </c>
      <c r="N70" s="159">
        <f>_xlfn.XLOOKUP(StorageTable[[#This Row],[Tag]],ITSecondTable[Tag],ITSecondTable[SQty],0,0)</f>
        <v>1</v>
      </c>
      <c r="O70" s="159">
        <f>_xlfn.XLOOKUP(StorageTable[[#This Row],[Tag]],ITSecondTable[Tag],ITSecondTable[TQty],0,0) - StorageTable[[#This Row],[All - Serialized Total]]</f>
        <v>0</v>
      </c>
      <c r="P70" s="5" t="b">
        <f>OR(StorageTable[[#This Row],[In Storage - Count Total]] = StorageTable[[#This Row],[All - Serialized Total]], ISBLANK(StorageTable[[#This Row],[Model]]), ISBLANK(StorageTable[[#This Row],[Brand]]), ISBLANK(StorageTable[[#This Row],[Type]]))</f>
        <v>0</v>
      </c>
      <c r="Q70" s="159">
        <f>_xlfn.LET(_xlpm.countb, COUNTIF(StorageTable[[#This Row],[IT Cage]:[Backup Server Room]], ""),
_xlpm.tbm_blank, COUNTBLANK(StorageTable[[#This Row],[Type]:[Model]]) &gt; 0,
_xlpm.adjcount, IF(_xlpm.tbm_blank, 0, _xlpm.countb),
_xlpm.adjcount)</f>
        <v>0</v>
      </c>
      <c r="R70" s="161" t="b">
        <f>COUNTIF(StorageTable[[#This Row],[Type]:[Model]], "") &gt; 0</f>
        <v>0</v>
      </c>
    </row>
    <row r="71" spans="1:18" x14ac:dyDescent="0.2">
      <c r="A71" s="11" t="str">
        <f>_xlfn.TEXTJOIN("~", TRUE, StorageTable[[#This Row],[Type]],StorageTable[[#This Row],[Brand]],StorageTable[[#This Row],[Model]])</f>
        <v>Printer~Honeywell~PX940</v>
      </c>
      <c r="B71" s="157" t="s">
        <v>340</v>
      </c>
      <c r="C71" s="157" t="s">
        <v>514</v>
      </c>
      <c r="D71" s="157" t="s">
        <v>671</v>
      </c>
      <c r="E71" s="1">
        <v>0</v>
      </c>
      <c r="F71" s="1">
        <v>0</v>
      </c>
      <c r="G71" s="1">
        <v>1</v>
      </c>
      <c r="H71" s="1">
        <v>0</v>
      </c>
      <c r="I71" s="1">
        <v>2</v>
      </c>
      <c r="J71" s="1">
        <v>0</v>
      </c>
      <c r="K71" s="1">
        <v>0</v>
      </c>
      <c r="L71" s="160" t="b">
        <f>COUNTBLANK(StorageTable[[#This Row],[IT Cage]:[Backup Server Room]]) = 0</f>
        <v>1</v>
      </c>
      <c r="M71" s="160">
        <f>SUM(StorageTable[[#This Row],[IT Cage]:[Backup Server Room]])</f>
        <v>3</v>
      </c>
      <c r="N71" s="159">
        <f>_xlfn.XLOOKUP(StorageTable[[#This Row],[Tag]],ITSecondTable[Tag],ITSecondTable[SQty],0,0)</f>
        <v>1</v>
      </c>
      <c r="O71" s="159">
        <f>_xlfn.XLOOKUP(StorageTable[[#This Row],[Tag]],ITSecondTable[Tag],ITSecondTable[TQty],0,0) - StorageTable[[#This Row],[All - Serialized Total]]</f>
        <v>2</v>
      </c>
      <c r="P71" s="5" t="b">
        <f>OR(StorageTable[[#This Row],[In Storage - Count Total]] = StorageTable[[#This Row],[All - Serialized Total]], ISBLANK(StorageTable[[#This Row],[Model]]), ISBLANK(StorageTable[[#This Row],[Brand]]), ISBLANK(StorageTable[[#This Row],[Type]]))</f>
        <v>0</v>
      </c>
      <c r="Q71" s="159">
        <f>_xlfn.LET(_xlpm.countb, COUNTIF(StorageTable[[#This Row],[IT Cage]:[Backup Server Room]], ""),
_xlpm.tbm_blank, COUNTBLANK(StorageTable[[#This Row],[Type]:[Model]]) &gt; 0,
_xlpm.adjcount, IF(_xlpm.tbm_blank, 0, _xlpm.countb),
_xlpm.adjcount)</f>
        <v>0</v>
      </c>
      <c r="R71" s="161" t="b">
        <f>COUNTIF(StorageTable[[#This Row],[Type]:[Model]], "") &gt; 0</f>
        <v>0</v>
      </c>
    </row>
    <row r="72" spans="1:18" x14ac:dyDescent="0.2">
      <c r="A72" s="91" t="str">
        <f>_xlfn.TEXTJOIN("~", TRUE, StorageTable[[#This Row],[Type]],StorageTable[[#This Row],[Brand]],StorageTable[[#This Row],[Model]])</f>
        <v>Printer~HP~Color LaserJet Pro MFP 4301fdn</v>
      </c>
      <c r="B72" s="157" t="s">
        <v>340</v>
      </c>
      <c r="C72" s="157" t="s">
        <v>403</v>
      </c>
      <c r="D72" s="157" t="s">
        <v>559</v>
      </c>
      <c r="E72" s="1">
        <v>0</v>
      </c>
      <c r="F72" s="1">
        <v>0</v>
      </c>
      <c r="G72" s="1">
        <v>0</v>
      </c>
      <c r="H72" s="1">
        <v>0</v>
      </c>
      <c r="I72" s="1">
        <v>0</v>
      </c>
      <c r="J72" s="1">
        <v>0</v>
      </c>
      <c r="K72" s="1">
        <v>0</v>
      </c>
      <c r="L72" s="160" t="b">
        <f>COUNTBLANK(StorageTable[[#This Row],[IT Cage]:[Backup Server Room]]) = 0</f>
        <v>1</v>
      </c>
      <c r="M72" s="160">
        <f>SUM(StorageTable[[#This Row],[IT Cage]:[Backup Server Room]])</f>
        <v>0</v>
      </c>
      <c r="N72" s="161">
        <f>_xlfn.XLOOKUP(StorageTable[[#This Row],[Tag]],ITSecondTable[Tag],ITSecondTable[SQty],0,0)</f>
        <v>0</v>
      </c>
      <c r="O72" s="161">
        <f>_xlfn.XLOOKUP(StorageTable[[#This Row],[Tag]],ITSecondTable[Tag],ITSecondTable[TQty],0,0) - StorageTable[[#This Row],[All - Serialized Total]]</f>
        <v>1</v>
      </c>
      <c r="P72" s="12" t="b">
        <f>OR(StorageTable[[#This Row],[In Storage - Count Total]] = StorageTable[[#This Row],[All - Serialized Total]], ISBLANK(StorageTable[[#This Row],[Model]]), ISBLANK(StorageTable[[#This Row],[Brand]]), ISBLANK(StorageTable[[#This Row],[Type]]))</f>
        <v>1</v>
      </c>
      <c r="Q72" s="161">
        <f>_xlfn.LET(_xlpm.countb, COUNTIF(StorageTable[[#This Row],[IT Cage]:[Backup Server Room]], ""),
_xlpm.tbm_blank, COUNTBLANK(StorageTable[[#This Row],[Type]:[Model]]) &gt; 0,
_xlpm.adjcount, IF(_xlpm.tbm_blank, 0, _xlpm.countb),
_xlpm.adjcount)</f>
        <v>0</v>
      </c>
      <c r="R72" s="161" t="b">
        <f>COUNTIF(StorageTable[[#This Row],[Type]:[Model]], "") &gt; 0</f>
        <v>0</v>
      </c>
    </row>
    <row r="73" spans="1:18" x14ac:dyDescent="0.2">
      <c r="A73" s="11" t="str">
        <f>_xlfn.TEXTJOIN("~", TRUE, StorageTable[[#This Row],[Type]],StorageTable[[#This Row],[Brand]],StorageTable[[#This Row],[Model]])</f>
        <v>Printer~HP~Laser Jet Pro M402dw</v>
      </c>
      <c r="B73" s="157" t="s">
        <v>340</v>
      </c>
      <c r="C73" s="157" t="s">
        <v>403</v>
      </c>
      <c r="D73" s="157" t="s">
        <v>1958</v>
      </c>
      <c r="E73" s="1">
        <v>0</v>
      </c>
      <c r="F73" s="1">
        <v>0</v>
      </c>
      <c r="G73" s="1">
        <v>0</v>
      </c>
      <c r="H73" s="1">
        <v>0</v>
      </c>
      <c r="I73" s="1">
        <v>0</v>
      </c>
      <c r="J73" s="1">
        <v>0</v>
      </c>
      <c r="K73" s="1">
        <v>0</v>
      </c>
      <c r="L73" s="160" t="b">
        <f>COUNTBLANK(StorageTable[[#This Row],[IT Cage]:[Backup Server Room]]) = 0</f>
        <v>1</v>
      </c>
      <c r="M73" s="160">
        <f>SUM(StorageTable[[#This Row],[IT Cage]:[Backup Server Room]])</f>
        <v>0</v>
      </c>
      <c r="N73" s="159">
        <f>_xlfn.XLOOKUP(StorageTable[[#This Row],[Tag]],ITSecondTable[Tag],ITSecondTable[SQty],0,0)</f>
        <v>1</v>
      </c>
      <c r="O73" s="159">
        <f>_xlfn.XLOOKUP(StorageTable[[#This Row],[Tag]],ITSecondTable[Tag],ITSecondTable[TQty],0,0) - StorageTable[[#This Row],[All - Serialized Total]]</f>
        <v>0</v>
      </c>
      <c r="P73" s="5" t="b">
        <f>OR(StorageTable[[#This Row],[In Storage - Count Total]] = StorageTable[[#This Row],[All - Serialized Total]], ISBLANK(StorageTable[[#This Row],[Model]]), ISBLANK(StorageTable[[#This Row],[Brand]]), ISBLANK(StorageTable[[#This Row],[Type]]))</f>
        <v>0</v>
      </c>
      <c r="Q73" s="159">
        <f>_xlfn.LET(_xlpm.countb, COUNTIF(StorageTable[[#This Row],[IT Cage]:[Backup Server Room]], ""),
_xlpm.tbm_blank, COUNTBLANK(StorageTable[[#This Row],[Type]:[Model]]) &gt; 0,
_xlpm.adjcount, IF(_xlpm.tbm_blank, 0, _xlpm.countb),
_xlpm.adjcount)</f>
        <v>0</v>
      </c>
      <c r="R73" s="161" t="b">
        <f>COUNTIF(StorageTable[[#This Row],[Type]:[Model]], "") &gt; 0</f>
        <v>0</v>
      </c>
    </row>
    <row r="74" spans="1:18" x14ac:dyDescent="0.2">
      <c r="A74" s="184" t="str">
        <f>_xlfn.TEXTJOIN("~", TRUE, StorageTable[[#This Row],[Type]],StorageTable[[#This Row],[Brand]],StorageTable[[#This Row],[Model]])</f>
        <v>Printer~HP~LaserJet Pro MFP M225dn</v>
      </c>
      <c r="B74" s="157" t="s">
        <v>340</v>
      </c>
      <c r="C74" s="157" t="s">
        <v>403</v>
      </c>
      <c r="D74" s="157" t="s">
        <v>603</v>
      </c>
      <c r="E74" s="1">
        <v>0</v>
      </c>
      <c r="F74" s="1">
        <v>0</v>
      </c>
      <c r="G74" s="1">
        <v>0</v>
      </c>
      <c r="H74" s="1">
        <v>0</v>
      </c>
      <c r="I74" s="1">
        <v>0</v>
      </c>
      <c r="J74" s="1">
        <v>0</v>
      </c>
      <c r="K74" s="1">
        <v>0</v>
      </c>
      <c r="L74" s="160" t="b">
        <f>COUNTBLANK(StorageTable[[#This Row],[IT Cage]:[Backup Server Room]]) = 0</f>
        <v>1</v>
      </c>
      <c r="M74" s="160">
        <f>SUM(StorageTable[[#This Row],[IT Cage]:[Backup Server Room]])</f>
        <v>0</v>
      </c>
      <c r="N74" s="160">
        <f>_xlfn.XLOOKUP(StorageTable[[#This Row],[Tag]],ITSecondTable[Tag],ITSecondTable[SQty],0,0)</f>
        <v>0</v>
      </c>
      <c r="O74" s="160">
        <f>_xlfn.XLOOKUP(StorageTable[[#This Row],[Tag]],ITSecondTable[Tag],ITSecondTable[TQty],0,0) - StorageTable[[#This Row],[All - Serialized Total]]</f>
        <v>1</v>
      </c>
      <c r="P74" s="12" t="b">
        <f>OR(StorageTable[[#This Row],[In Storage - Count Total]] = StorageTable[[#This Row],[All - Serialized Total]], ISBLANK(StorageTable[[#This Row],[Model]]), ISBLANK(StorageTable[[#This Row],[Brand]]), ISBLANK(StorageTable[[#This Row],[Type]]))</f>
        <v>1</v>
      </c>
      <c r="Q74" s="161">
        <f>_xlfn.LET(_xlpm.countb, COUNTIF(StorageTable[[#This Row],[IT Cage]:[Backup Server Room]], ""),
_xlpm.tbm_blank, COUNTBLANK(StorageTable[[#This Row],[Type]:[Model]]) &gt; 0,
_xlpm.adjcount, IF(_xlpm.tbm_blank, 0, _xlpm.countb),
_xlpm.adjcount)</f>
        <v>0</v>
      </c>
      <c r="R74" s="161" t="b">
        <f>COUNTIF(StorageTable[[#This Row],[Type]:[Model]], "") &gt; 0</f>
        <v>0</v>
      </c>
    </row>
    <row r="75" spans="1:18" x14ac:dyDescent="0.2">
      <c r="A75" s="186" t="str">
        <f>_xlfn.TEXTJOIN("~", TRUE, StorageTable[[#This Row],[Type]],StorageTable[[#This Row],[Brand]],StorageTable[[#This Row],[Model]])</f>
        <v>Printer~Intermec~PM43</v>
      </c>
      <c r="B75" s="157" t="s">
        <v>340</v>
      </c>
      <c r="C75" s="157" t="s">
        <v>679</v>
      </c>
      <c r="D75" s="157" t="s">
        <v>680</v>
      </c>
      <c r="E75" s="1">
        <v>0</v>
      </c>
      <c r="F75" s="1">
        <v>0</v>
      </c>
      <c r="G75" s="1">
        <v>0</v>
      </c>
      <c r="H75" s="1">
        <v>0</v>
      </c>
      <c r="I75" s="1">
        <v>3</v>
      </c>
      <c r="J75" s="1">
        <v>0</v>
      </c>
      <c r="K75" s="1">
        <v>1</v>
      </c>
      <c r="L75" s="160" t="b">
        <f>COUNTBLANK(StorageTable[[#This Row],[IT Cage]:[Backup Server Room]]) = 0</f>
        <v>1</v>
      </c>
      <c r="M75" s="160">
        <f>SUM(StorageTable[[#This Row],[IT Cage]:[Backup Server Room]])</f>
        <v>4</v>
      </c>
      <c r="N75" s="165">
        <f>_xlfn.XLOOKUP(StorageTable[[#This Row],[Tag]],ITSecondTable[Tag],ITSecondTable[SQty],0,0)</f>
        <v>3</v>
      </c>
      <c r="O75" s="165">
        <f>_xlfn.XLOOKUP(StorageTable[[#This Row],[Tag]],ITSecondTable[Tag],ITSecondTable[TQty],0,0) - StorageTable[[#This Row],[All - Serialized Total]]</f>
        <v>3</v>
      </c>
      <c r="P75" s="5" t="b">
        <f>OR(StorageTable[[#This Row],[In Storage - Count Total]] = StorageTable[[#This Row],[All - Serialized Total]], ISBLANK(StorageTable[[#This Row],[Model]]), ISBLANK(StorageTable[[#This Row],[Brand]]), ISBLANK(StorageTable[[#This Row],[Type]]))</f>
        <v>0</v>
      </c>
      <c r="Q75" s="159">
        <f>_xlfn.LET(_xlpm.countb, COUNTIF(StorageTable[[#This Row],[IT Cage]:[Backup Server Room]], ""),
_xlpm.tbm_blank, COUNTBLANK(StorageTable[[#This Row],[Type]:[Model]]) &gt; 0,
_xlpm.adjcount, IF(_xlpm.tbm_blank, 0, _xlpm.countb),
_xlpm.adjcount)</f>
        <v>0</v>
      </c>
      <c r="R75" s="161" t="b">
        <f>COUNTIF(StorageTable[[#This Row],[Type]:[Model]], "") &gt; 0</f>
        <v>0</v>
      </c>
    </row>
    <row r="76" spans="1:18" x14ac:dyDescent="0.2">
      <c r="A76" s="186" t="str">
        <f>_xlfn.TEXTJOIN("~", TRUE, StorageTable[[#This Row],[Type]],StorageTable[[#This Row],[Brand]],StorageTable[[#This Row],[Model]])</f>
        <v>Printer~Sato~CL4NX</v>
      </c>
      <c r="B76" s="157" t="s">
        <v>340</v>
      </c>
      <c r="C76" s="157" t="s">
        <v>478</v>
      </c>
      <c r="D76" s="157" t="s">
        <v>479</v>
      </c>
      <c r="E76" s="1">
        <v>0</v>
      </c>
      <c r="F76" s="1">
        <v>0</v>
      </c>
      <c r="G76" s="1">
        <v>0</v>
      </c>
      <c r="H76" s="1">
        <v>0</v>
      </c>
      <c r="I76" s="187">
        <v>5</v>
      </c>
      <c r="J76" s="1">
        <v>3</v>
      </c>
      <c r="K76" s="1">
        <v>0</v>
      </c>
      <c r="L76" s="160" t="b">
        <f>COUNTBLANK(StorageTable[[#This Row],[IT Cage]:[Backup Server Room]]) = 0</f>
        <v>1</v>
      </c>
      <c r="M76" s="160">
        <f>SUM(StorageTable[[#This Row],[IT Cage]:[Backup Server Room]])</f>
        <v>8</v>
      </c>
      <c r="N76" s="165">
        <f>_xlfn.XLOOKUP(StorageTable[[#This Row],[Tag]],ITSecondTable[Tag],ITSecondTable[SQty],0,0)</f>
        <v>9</v>
      </c>
      <c r="O76" s="165">
        <f>_xlfn.XLOOKUP(StorageTable[[#This Row],[Tag]],ITSecondTable[Tag],ITSecondTable[TQty],0,0) - StorageTable[[#This Row],[All - Serialized Total]]</f>
        <v>31</v>
      </c>
      <c r="P76" s="5" t="b">
        <f>OR(StorageTable[[#This Row],[In Storage - Count Total]] = StorageTable[[#This Row],[All - Serialized Total]], ISBLANK(StorageTable[[#This Row],[Model]]), ISBLANK(StorageTable[[#This Row],[Brand]]), ISBLANK(StorageTable[[#This Row],[Type]]))</f>
        <v>0</v>
      </c>
      <c r="Q76" s="159">
        <f>_xlfn.LET(_xlpm.countb, COUNTIF(StorageTable[[#This Row],[IT Cage]:[Backup Server Room]], ""),
_xlpm.tbm_blank, COUNTBLANK(StorageTable[[#This Row],[Type]:[Model]]) &gt; 0,
_xlpm.adjcount, IF(_xlpm.tbm_blank, 0, _xlpm.countb),
_xlpm.adjcount)</f>
        <v>0</v>
      </c>
      <c r="R76" s="161" t="b">
        <f>COUNTIF(StorageTable[[#This Row],[Type]:[Model]], "") &gt; 0</f>
        <v>0</v>
      </c>
    </row>
    <row r="77" spans="1:18" x14ac:dyDescent="0.2">
      <c r="A77" s="186" t="str">
        <f>_xlfn.TEXTJOIN("~", TRUE, StorageTable[[#This Row],[Type]],StorageTable[[#This Row],[Brand]],StorageTable[[#This Row],[Model]])</f>
        <v>Radio~Motorola~CP200D</v>
      </c>
      <c r="B77" s="157" t="s">
        <v>350</v>
      </c>
      <c r="C77" s="157" t="s">
        <v>519</v>
      </c>
      <c r="D77" s="157" t="s">
        <v>746</v>
      </c>
      <c r="E77" s="166">
        <v>17</v>
      </c>
      <c r="F77" s="1">
        <v>0</v>
      </c>
      <c r="G77" s="1">
        <v>0</v>
      </c>
      <c r="H77" s="1">
        <v>0</v>
      </c>
      <c r="I77" s="1">
        <v>0</v>
      </c>
      <c r="J77" s="1">
        <v>0</v>
      </c>
      <c r="K77" s="1">
        <v>0</v>
      </c>
      <c r="L77" s="160" t="b">
        <f>COUNTBLANK(StorageTable[[#This Row],[IT Cage]:[Backup Server Room]]) = 0</f>
        <v>1</v>
      </c>
      <c r="M77" s="160">
        <f>SUM(StorageTable[[#This Row],[IT Cage]:[Backup Server Room]])</f>
        <v>17</v>
      </c>
      <c r="N77" s="165">
        <f>_xlfn.XLOOKUP(StorageTable[[#This Row],[Tag]],ITSecondTable[Tag],ITSecondTable[SQty],0,0)</f>
        <v>13</v>
      </c>
      <c r="O77" s="165">
        <f>_xlfn.XLOOKUP(StorageTable[[#This Row],[Tag]],ITSecondTable[Tag],ITSecondTable[TQty],0,0) - StorageTable[[#This Row],[All - Serialized Total]]</f>
        <v>3</v>
      </c>
      <c r="P77" s="5" t="b">
        <f>OR(StorageTable[[#This Row],[In Storage - Count Total]] = StorageTable[[#This Row],[All - Serialized Total]], ISBLANK(StorageTable[[#This Row],[Model]]), ISBLANK(StorageTable[[#This Row],[Brand]]), ISBLANK(StorageTable[[#This Row],[Type]]))</f>
        <v>0</v>
      </c>
      <c r="Q77" s="159">
        <f>_xlfn.LET(_xlpm.countb, COUNTIF(StorageTable[[#This Row],[IT Cage]:[Backup Server Room]], ""),
_xlpm.tbm_blank, COUNTBLANK(StorageTable[[#This Row],[Type]:[Model]]) &gt; 0,
_xlpm.adjcount, IF(_xlpm.tbm_blank, 0, _xlpm.countb),
_xlpm.adjcount)</f>
        <v>0</v>
      </c>
      <c r="R77" s="161" t="b">
        <f>COUNTIF(StorageTable[[#This Row],[Type]:[Model]], "") &gt; 0</f>
        <v>0</v>
      </c>
    </row>
    <row r="78" spans="1:18" x14ac:dyDescent="0.2">
      <c r="A78" s="186" t="str">
        <f>_xlfn.TEXTJOIN("~", TRUE, StorageTable[[#This Row],[Type]],StorageTable[[#This Row],[Brand]],StorageTable[[#This Row],[Model]])</f>
        <v>Radio~Motorola~SL300</v>
      </c>
      <c r="B78" s="157" t="s">
        <v>350</v>
      </c>
      <c r="C78" s="157" t="s">
        <v>519</v>
      </c>
      <c r="D78" s="157" t="s">
        <v>520</v>
      </c>
      <c r="E78" s="166">
        <v>2</v>
      </c>
      <c r="F78" s="1">
        <v>0</v>
      </c>
      <c r="G78" s="1">
        <v>0</v>
      </c>
      <c r="H78" s="1">
        <v>0</v>
      </c>
      <c r="I78" s="1">
        <v>0</v>
      </c>
      <c r="J78" s="1">
        <v>0</v>
      </c>
      <c r="K78" s="1">
        <v>0</v>
      </c>
      <c r="L78" s="160" t="b">
        <f>COUNTBLANK(StorageTable[[#This Row],[IT Cage]:[Backup Server Room]]) = 0</f>
        <v>1</v>
      </c>
      <c r="M78" s="160">
        <f>SUM(StorageTable[[#This Row],[IT Cage]:[Backup Server Room]])</f>
        <v>2</v>
      </c>
      <c r="N78" s="165">
        <f>_xlfn.XLOOKUP(StorageTable[[#This Row],[Tag]],ITSecondTable[Tag],ITSecondTable[SQty],0,0)</f>
        <v>2</v>
      </c>
      <c r="O78" s="165">
        <f>_xlfn.XLOOKUP(StorageTable[[#This Row],[Tag]],ITSecondTable[Tag],ITSecondTable[TQty],0,0) - StorageTable[[#This Row],[All - Serialized Total]]</f>
        <v>10</v>
      </c>
      <c r="P78" s="5" t="b">
        <f>OR(StorageTable[[#This Row],[In Storage - Count Total]] = StorageTable[[#This Row],[All - Serialized Total]], ISBLANK(StorageTable[[#This Row],[Model]]), ISBLANK(StorageTable[[#This Row],[Brand]]), ISBLANK(StorageTable[[#This Row],[Type]]))</f>
        <v>1</v>
      </c>
      <c r="Q78" s="159">
        <f>_xlfn.LET(_xlpm.countb, COUNTIF(StorageTable[[#This Row],[IT Cage]:[Backup Server Room]], ""),
_xlpm.tbm_blank, COUNTBLANK(StorageTable[[#This Row],[Type]:[Model]]) &gt; 0,
_xlpm.adjcount, IF(_xlpm.tbm_blank, 0, _xlpm.countb),
_xlpm.adjcount)</f>
        <v>0</v>
      </c>
      <c r="R78" s="161" t="b">
        <f>COUNTIF(StorageTable[[#This Row],[Type]:[Model]], "") &gt; 0</f>
        <v>0</v>
      </c>
    </row>
    <row r="79" spans="1:18" x14ac:dyDescent="0.2">
      <c r="A79" s="184" t="str">
        <f>_xlfn.TEXTJOIN("~", TRUE, StorageTable[[#This Row],[Type]],StorageTable[[#This Row],[Brand]],StorageTable[[#This Row],[Model]])</f>
        <v>Radio~Motorola~SL300 (2 Channel)</v>
      </c>
      <c r="B79" s="157" t="s">
        <v>350</v>
      </c>
      <c r="C79" s="157" t="s">
        <v>519</v>
      </c>
      <c r="D79" s="157" t="s">
        <v>1972</v>
      </c>
      <c r="E79" s="1">
        <v>10</v>
      </c>
      <c r="F79" s="1">
        <v>0</v>
      </c>
      <c r="G79" s="1">
        <v>0</v>
      </c>
      <c r="H79" s="1">
        <v>0</v>
      </c>
      <c r="I79" s="1">
        <v>0</v>
      </c>
      <c r="J79" s="1">
        <v>0</v>
      </c>
      <c r="K79" s="1">
        <v>0</v>
      </c>
      <c r="L79" s="160" t="b">
        <f>COUNTBLANK(StorageTable[[#This Row],[IT Cage]:[Backup Server Room]]) = 0</f>
        <v>1</v>
      </c>
      <c r="M79" s="160">
        <f>SUM(StorageTable[[#This Row],[IT Cage]:[Backup Server Room]])</f>
        <v>10</v>
      </c>
      <c r="N79" s="160">
        <f>_xlfn.XLOOKUP(StorageTable[[#This Row],[Tag]],ITSecondTable[Tag],ITSecondTable[SQty],0,0)</f>
        <v>10</v>
      </c>
      <c r="O79" s="160">
        <f>_xlfn.XLOOKUP(StorageTable[[#This Row],[Tag]],ITSecondTable[Tag],ITSecondTable[TQty],0,0) - StorageTable[[#This Row],[All - Serialized Total]]</f>
        <v>0</v>
      </c>
      <c r="P79" s="12" t="b">
        <f>OR(StorageTable[[#This Row],[In Storage - Count Total]] = StorageTable[[#This Row],[All - Serialized Total]], ISBLANK(StorageTable[[#This Row],[Model]]), ISBLANK(StorageTable[[#This Row],[Brand]]), ISBLANK(StorageTable[[#This Row],[Type]]))</f>
        <v>1</v>
      </c>
      <c r="Q79" s="161">
        <f>_xlfn.LET(_xlpm.countb, COUNTIF(StorageTable[[#This Row],[IT Cage]:[Backup Server Room]], ""),
_xlpm.tbm_blank, COUNTBLANK(StorageTable[[#This Row],[Type]:[Model]]) &gt; 0,
_xlpm.adjcount, IF(_xlpm.tbm_blank, 0, _xlpm.countb),
_xlpm.adjcount)</f>
        <v>0</v>
      </c>
      <c r="R79" s="161" t="b">
        <f>COUNTIF(StorageTable[[#This Row],[Type]:[Model]], "") &gt; 0</f>
        <v>0</v>
      </c>
    </row>
    <row r="80" spans="1:18" x14ac:dyDescent="0.2">
      <c r="A80" s="186" t="str">
        <f>_xlfn.TEXTJOIN("~", TRUE, StorageTable[[#This Row],[Type]],StorageTable[[#This Row],[Brand]],StorageTable[[#This Row],[Model]])</f>
        <v>Router~ASUS~RT-AC66U B1</v>
      </c>
      <c r="B80" s="157" t="s">
        <v>396</v>
      </c>
      <c r="C80" s="157" t="s">
        <v>1963</v>
      </c>
      <c r="D80" s="157" t="s">
        <v>2030</v>
      </c>
      <c r="E80" s="1"/>
      <c r="F80" s="1"/>
      <c r="G80" s="1">
        <v>1</v>
      </c>
      <c r="H80" s="1">
        <v>0</v>
      </c>
      <c r="I80" s="1">
        <v>0</v>
      </c>
      <c r="J80" s="1">
        <v>0</v>
      </c>
      <c r="K80" s="1">
        <v>0</v>
      </c>
      <c r="L80" s="160" t="b">
        <f>COUNTBLANK(StorageTable[[#This Row],[IT Cage]:[Backup Server Room]]) = 0</f>
        <v>0</v>
      </c>
      <c r="M80" s="160">
        <f>SUM(StorageTable[[#This Row],[IT Cage]:[Backup Server Room]])</f>
        <v>1</v>
      </c>
      <c r="N80" s="165">
        <f>_xlfn.XLOOKUP(StorageTable[[#This Row],[Tag]],ITSecondTable[Tag],ITSecondTable[SQty],0,0)</f>
        <v>1</v>
      </c>
      <c r="O80" s="165">
        <f>_xlfn.XLOOKUP(StorageTable[[#This Row],[Tag]],ITSecondTable[Tag],ITSecondTable[TQty],0,0) - StorageTable[[#This Row],[All - Serialized Total]]</f>
        <v>0</v>
      </c>
      <c r="P80" s="5" t="b">
        <f>OR(StorageTable[[#This Row],[In Storage - Count Total]] = StorageTable[[#This Row],[All - Serialized Total]], ISBLANK(StorageTable[[#This Row],[Model]]), ISBLANK(StorageTable[[#This Row],[Brand]]), ISBLANK(StorageTable[[#This Row],[Type]]))</f>
        <v>1</v>
      </c>
      <c r="Q80" s="159">
        <f>_xlfn.LET(_xlpm.countb, COUNTIF(StorageTable[[#This Row],[IT Cage]:[Backup Server Room]], ""),
_xlpm.tbm_blank, COUNTBLANK(StorageTable[[#This Row],[Type]:[Model]]) &gt; 0,
_xlpm.adjcount, IF(_xlpm.tbm_blank, 0, _xlpm.countb),
_xlpm.adjcount)</f>
        <v>2</v>
      </c>
      <c r="R80" s="161" t="b">
        <f>COUNTIF(StorageTable[[#This Row],[Type]:[Model]], "") &gt; 0</f>
        <v>0</v>
      </c>
    </row>
    <row r="81" spans="1:18" x14ac:dyDescent="0.2">
      <c r="A81" s="186" t="str">
        <f>_xlfn.TEXTJOIN("~", TRUE, StorageTable[[#This Row],[Type]],StorageTable[[#This Row],[Brand]],StorageTable[[#This Row],[Model]])</f>
        <v>Router~ASUS~RT-N12</v>
      </c>
      <c r="B81" s="157" t="s">
        <v>396</v>
      </c>
      <c r="C81" s="157" t="s">
        <v>1963</v>
      </c>
      <c r="D81" s="157" t="s">
        <v>1964</v>
      </c>
      <c r="E81" s="1"/>
      <c r="F81" s="1">
        <v>1</v>
      </c>
      <c r="G81" s="1">
        <v>0</v>
      </c>
      <c r="H81" s="1">
        <v>0</v>
      </c>
      <c r="I81" s="1">
        <v>0</v>
      </c>
      <c r="J81" s="1">
        <v>0</v>
      </c>
      <c r="K81" s="1">
        <v>0</v>
      </c>
      <c r="L81" s="165" t="b">
        <f>COUNTBLANK(StorageTable[[#This Row],[IT Cage]:[Backup Server Room]]) = 0</f>
        <v>0</v>
      </c>
      <c r="M81" s="165">
        <f>SUM(StorageTable[[#This Row],[IT Cage]:[Backup Server Room]])</f>
        <v>1</v>
      </c>
      <c r="N81" s="165">
        <f>_xlfn.XLOOKUP(StorageTable[[#This Row],[Tag]],ITSecondTable[Tag],ITSecondTable[SQty],0,0)</f>
        <v>1</v>
      </c>
      <c r="O81" s="165">
        <f>_xlfn.XLOOKUP(StorageTable[[#This Row],[Tag]],ITSecondTable[Tag],ITSecondTable[TQty],0,0) - StorageTable[[#This Row],[All - Serialized Total]]</f>
        <v>0</v>
      </c>
      <c r="P81" s="5" t="b">
        <f>OR(StorageTable[[#This Row],[In Storage - Count Total]] = StorageTable[[#This Row],[All - Serialized Total]], ISBLANK(StorageTable[[#This Row],[Model]]), ISBLANK(StorageTable[[#This Row],[Brand]]), ISBLANK(StorageTable[[#This Row],[Type]]))</f>
        <v>1</v>
      </c>
      <c r="Q81" s="159">
        <f>_xlfn.LET(_xlpm.countb, COUNTIF(StorageTable[[#This Row],[IT Cage]:[Backup Server Room]], ""),
_xlpm.tbm_blank, COUNTBLANK(StorageTable[[#This Row],[Type]:[Model]]) &gt; 0,
_xlpm.adjcount, IF(_xlpm.tbm_blank, 0, _xlpm.countb),
_xlpm.adjcount)</f>
        <v>1</v>
      </c>
      <c r="R81" s="161" t="b">
        <f>COUNTIF(StorageTable[[#This Row],[Type]:[Model]], "") &gt; 0</f>
        <v>0</v>
      </c>
    </row>
    <row r="82" spans="1:18" x14ac:dyDescent="0.2">
      <c r="A82" s="11" t="str">
        <f>_xlfn.TEXTJOIN("~", TRUE, StorageTable[[#This Row],[Type]],StorageTable[[#This Row],[Brand]],StorageTable[[#This Row],[Model]])</f>
        <v>Router~ASUS~RT-N300 B1</v>
      </c>
      <c r="B82" s="38" t="s">
        <v>396</v>
      </c>
      <c r="C82" s="38" t="s">
        <v>1963</v>
      </c>
      <c r="D82" s="38" t="s">
        <v>1966</v>
      </c>
      <c r="E82" s="1"/>
      <c r="F82" s="1">
        <v>1</v>
      </c>
      <c r="G82" s="1">
        <v>0</v>
      </c>
      <c r="H82" s="1">
        <v>0</v>
      </c>
      <c r="I82" s="1">
        <v>0</v>
      </c>
      <c r="J82" s="1">
        <v>0</v>
      </c>
      <c r="K82" s="1">
        <v>0</v>
      </c>
      <c r="L82" s="159" t="b">
        <f>COUNTBLANK(StorageTable[[#This Row],[IT Cage]:[Backup Server Room]]) = 0</f>
        <v>0</v>
      </c>
      <c r="M82" s="165">
        <f>SUM(StorageTable[[#This Row],[IT Cage]:[Backup Server Room]])</f>
        <v>1</v>
      </c>
      <c r="N82" s="159">
        <f>_xlfn.XLOOKUP(StorageTable[[#This Row],[Tag]],ITSecondTable[Tag],ITSecondTable[SQty],0,0)</f>
        <v>1</v>
      </c>
      <c r="O82" s="159">
        <f>_xlfn.XLOOKUP(StorageTable[[#This Row],[Tag]],ITSecondTable[Tag],ITSecondTable[TQty],0,0) - StorageTable[[#This Row],[All - Serialized Total]]</f>
        <v>0</v>
      </c>
      <c r="P82" s="5" t="b">
        <f>OR(StorageTable[[#This Row],[In Storage - Count Total]] = StorageTable[[#This Row],[All - Serialized Total]], ISBLANK(StorageTable[[#This Row],[Model]]), ISBLANK(StorageTable[[#This Row],[Brand]]), ISBLANK(StorageTable[[#This Row],[Type]]))</f>
        <v>1</v>
      </c>
      <c r="Q82" s="159">
        <f>_xlfn.LET(_xlpm.countb, COUNTIF(StorageTable[[#This Row],[IT Cage]:[Backup Server Room]], ""),
_xlpm.tbm_blank, COUNTBLANK(StorageTable[[#This Row],[Type]:[Model]]) &gt; 0,
_xlpm.adjcount, IF(_xlpm.tbm_blank, 0, _xlpm.countb),
_xlpm.adjcount)</f>
        <v>1</v>
      </c>
      <c r="R82" s="161" t="b">
        <f>COUNTIF(StorageTable[[#This Row],[Type]:[Model]], "") &gt; 0</f>
        <v>0</v>
      </c>
    </row>
    <row r="83" spans="1:18" x14ac:dyDescent="0.2">
      <c r="A83" s="186" t="str">
        <f>_xlfn.TEXTJOIN("~", TRUE, StorageTable[[#This Row],[Type]],StorageTable[[#This Row],[Brand]],StorageTable[[#This Row],[Model]])</f>
        <v>Scanner~DataLogic~PBT9500</v>
      </c>
      <c r="B83" s="157" t="s">
        <v>379</v>
      </c>
      <c r="C83" s="157" t="s">
        <v>2039</v>
      </c>
      <c r="D83" s="157" t="s">
        <v>2040</v>
      </c>
      <c r="E83" s="1">
        <v>0</v>
      </c>
      <c r="F83" s="1">
        <v>0</v>
      </c>
      <c r="G83" s="1">
        <v>0</v>
      </c>
      <c r="H83" s="1">
        <v>0</v>
      </c>
      <c r="I83" s="1">
        <v>0</v>
      </c>
      <c r="J83" s="1">
        <v>0</v>
      </c>
      <c r="K83" s="1">
        <v>0</v>
      </c>
      <c r="L83" s="160" t="b">
        <f>COUNTBLANK(StorageTable[[#This Row],[IT Cage]:[Backup Server Room]]) = 0</f>
        <v>1</v>
      </c>
      <c r="M83" s="160">
        <f>SUM(StorageTable[[#This Row],[IT Cage]:[Backup Server Room]])</f>
        <v>0</v>
      </c>
      <c r="N83" s="165">
        <f>_xlfn.XLOOKUP(StorageTable[[#This Row],[Tag]],ITSecondTable[Tag],ITSecondTable[SQty],0,0)</f>
        <v>0</v>
      </c>
      <c r="O83" s="165">
        <f>_xlfn.XLOOKUP(StorageTable[[#This Row],[Tag]],ITSecondTable[Tag],ITSecondTable[TQty],0,0) - StorageTable[[#This Row],[All - Serialized Total]]</f>
        <v>0</v>
      </c>
      <c r="P83" s="5" t="b">
        <f>OR(StorageTable[[#This Row],[In Storage - Count Total]] = StorageTable[[#This Row],[All - Serialized Total]], ISBLANK(StorageTable[[#This Row],[Model]]), ISBLANK(StorageTable[[#This Row],[Brand]]), ISBLANK(StorageTable[[#This Row],[Type]]))</f>
        <v>1</v>
      </c>
      <c r="Q83" s="159">
        <f>_xlfn.LET(_xlpm.countb, COUNTIF(StorageTable[[#This Row],[IT Cage]:[Backup Server Room]], ""),
_xlpm.tbm_blank, COUNTBLANK(StorageTable[[#This Row],[Type]:[Model]]) &gt; 0,
_xlpm.adjcount, IF(_xlpm.tbm_blank, 0, _xlpm.countb),
_xlpm.adjcount)</f>
        <v>0</v>
      </c>
      <c r="R83" s="161" t="b">
        <f>COUNTIF(StorageTable[[#This Row],[Type]:[Model]], "") &gt; 0</f>
        <v>0</v>
      </c>
    </row>
    <row r="84" spans="1:18" x14ac:dyDescent="0.2">
      <c r="A84" s="184" t="str">
        <f>_xlfn.TEXTJOIN("~", TRUE, StorageTable[[#This Row],[Type]],StorageTable[[#This Row],[Brand]],StorageTable[[#This Row],[Model]])</f>
        <v>Scanner~Honeywell~1910i</v>
      </c>
      <c r="B84" s="157" t="s">
        <v>379</v>
      </c>
      <c r="C84" s="157" t="s">
        <v>514</v>
      </c>
      <c r="D84" s="157" t="s">
        <v>2068</v>
      </c>
      <c r="E84" s="1">
        <v>0</v>
      </c>
      <c r="F84" s="1">
        <v>0</v>
      </c>
      <c r="G84" s="1">
        <v>0</v>
      </c>
      <c r="H84" s="1">
        <v>0</v>
      </c>
      <c r="I84" s="1">
        <v>0</v>
      </c>
      <c r="J84" s="1">
        <v>0</v>
      </c>
      <c r="K84" s="1">
        <v>0</v>
      </c>
      <c r="L84" s="160" t="b">
        <f>COUNTBLANK(StorageTable[[#This Row],[IT Cage]:[Backup Server Room]]) = 0</f>
        <v>1</v>
      </c>
      <c r="M84" s="160">
        <f>SUM(StorageTable[[#This Row],[IT Cage]:[Backup Server Room]])</f>
        <v>0</v>
      </c>
      <c r="N84" s="160">
        <f>_xlfn.XLOOKUP(StorageTable[[#This Row],[Tag]],ITSecondTable[Tag],ITSecondTable[SQty],0,0)</f>
        <v>0</v>
      </c>
      <c r="O84" s="160">
        <f>_xlfn.XLOOKUP(StorageTable[[#This Row],[Tag]],ITSecondTable[Tag],ITSecondTable[TQty],0,0) - StorageTable[[#This Row],[All - Serialized Total]]</f>
        <v>1</v>
      </c>
      <c r="P84" s="12" t="b">
        <f>OR(StorageTable[[#This Row],[In Storage - Count Total]] = StorageTable[[#This Row],[All - Serialized Total]], ISBLANK(StorageTable[[#This Row],[Model]]), ISBLANK(StorageTable[[#This Row],[Brand]]), ISBLANK(StorageTable[[#This Row],[Type]]))</f>
        <v>1</v>
      </c>
      <c r="Q84" s="161">
        <f>_xlfn.LET(_xlpm.countb, COUNTIF(StorageTable[[#This Row],[IT Cage]:[Backup Server Room]], ""),
_xlpm.tbm_blank, COUNTBLANK(StorageTable[[#This Row],[Type]:[Model]]) &gt; 0,
_xlpm.adjcount, IF(_xlpm.tbm_blank, 0, _xlpm.countb),
_xlpm.adjcount)</f>
        <v>0</v>
      </c>
      <c r="R84" s="161" t="b">
        <f>COUNTIF(StorageTable[[#This Row],[Type]:[Model]], "") &gt; 0</f>
        <v>0</v>
      </c>
    </row>
    <row r="85" spans="1:18" x14ac:dyDescent="0.2">
      <c r="A85" s="186" t="str">
        <f>_xlfn.TEXTJOIN("~", TRUE, StorageTable[[#This Row],[Type]],StorageTable[[#This Row],[Brand]],StorageTable[[#This Row],[Model]])</f>
        <v>Scanner~Honeywell~1911i</v>
      </c>
      <c r="B85" s="157" t="s">
        <v>379</v>
      </c>
      <c r="C85" s="157" t="s">
        <v>514</v>
      </c>
      <c r="D85" s="157" t="s">
        <v>693</v>
      </c>
      <c r="E85" s="1">
        <v>11</v>
      </c>
      <c r="F85" s="1">
        <v>0</v>
      </c>
      <c r="G85" s="1">
        <v>1</v>
      </c>
      <c r="H85" s="1">
        <v>6</v>
      </c>
      <c r="I85" s="1">
        <v>0</v>
      </c>
      <c r="J85" s="1">
        <v>0</v>
      </c>
      <c r="K85" s="1">
        <v>0</v>
      </c>
      <c r="L85" s="160" t="b">
        <f>COUNTBLANK(StorageTable[[#This Row],[IT Cage]:[Backup Server Room]]) = 0</f>
        <v>1</v>
      </c>
      <c r="M85" s="160">
        <f>SUM(StorageTable[[#This Row],[IT Cage]:[Backup Server Room]])</f>
        <v>18</v>
      </c>
      <c r="N85" s="165">
        <f>_xlfn.XLOOKUP(StorageTable[[#This Row],[Tag]],ITSecondTable[Tag],ITSecondTable[SQty],0,0)</f>
        <v>11</v>
      </c>
      <c r="O85" s="165">
        <f>_xlfn.XLOOKUP(StorageTable[[#This Row],[Tag]],ITSecondTable[Tag],ITSecondTable[TQty],0,0) - StorageTable[[#This Row],[All - Serialized Total]]</f>
        <v>27</v>
      </c>
      <c r="P85" s="5" t="b">
        <f>OR(StorageTable[[#This Row],[In Storage - Count Total]] = StorageTable[[#This Row],[All - Serialized Total]], ISBLANK(StorageTable[[#This Row],[Model]]), ISBLANK(StorageTable[[#This Row],[Brand]]), ISBLANK(StorageTable[[#This Row],[Type]]))</f>
        <v>0</v>
      </c>
      <c r="Q85" s="159">
        <f>_xlfn.LET(_xlpm.countb, COUNTIF(StorageTable[[#This Row],[IT Cage]:[Backup Server Room]], ""),
_xlpm.tbm_blank, COUNTBLANK(StorageTable[[#This Row],[Type]:[Model]]) &gt; 0,
_xlpm.adjcount, IF(_xlpm.tbm_blank, 0, _xlpm.countb),
_xlpm.adjcount)</f>
        <v>0</v>
      </c>
      <c r="R85" s="161" t="b">
        <f>COUNTIF(StorageTable[[#This Row],[Type]:[Model]], "") &gt; 0</f>
        <v>0</v>
      </c>
    </row>
    <row r="86" spans="1:18" x14ac:dyDescent="0.2">
      <c r="A86" s="11" t="str">
        <f>_xlfn.TEXTJOIN("~", TRUE, StorageTable[[#This Row],[Type]],StorageTable[[#This Row],[Brand]],StorageTable[[#This Row],[Model]])</f>
        <v>Scanner~Honeywell~1980i</v>
      </c>
      <c r="B86" s="38" t="s">
        <v>379</v>
      </c>
      <c r="C86" s="38" t="s">
        <v>514</v>
      </c>
      <c r="D86" s="38" t="s">
        <v>2041</v>
      </c>
      <c r="E86" s="1">
        <v>0</v>
      </c>
      <c r="F86" s="1">
        <v>0</v>
      </c>
      <c r="G86" s="1">
        <v>0</v>
      </c>
      <c r="H86" s="1">
        <v>0</v>
      </c>
      <c r="I86" s="1">
        <v>0</v>
      </c>
      <c r="J86" s="1">
        <v>0</v>
      </c>
      <c r="K86" s="1">
        <v>0</v>
      </c>
      <c r="L86" s="161" t="b">
        <f>COUNTBLANK(StorageTable[[#This Row],[IT Cage]:[Backup Server Room]]) = 0</f>
        <v>1</v>
      </c>
      <c r="M86" s="160">
        <f>SUM(StorageTable[[#This Row],[IT Cage]:[Backup Server Room]])</f>
        <v>0</v>
      </c>
      <c r="N86" s="159">
        <f>_xlfn.XLOOKUP(StorageTable[[#This Row],[Tag]],ITSecondTable[Tag],ITSecondTable[SQty],0,0)</f>
        <v>1</v>
      </c>
      <c r="O86" s="159">
        <f>_xlfn.XLOOKUP(StorageTable[[#This Row],[Tag]],ITSecondTable[Tag],ITSecondTable[TQty],0,0) - StorageTable[[#This Row],[All - Serialized Total]]</f>
        <v>0</v>
      </c>
      <c r="P86" s="5" t="b">
        <f>OR(StorageTable[[#This Row],[In Storage - Count Total]] = StorageTable[[#This Row],[All - Serialized Total]], ISBLANK(StorageTable[[#This Row],[Model]]), ISBLANK(StorageTable[[#This Row],[Brand]]), ISBLANK(StorageTable[[#This Row],[Type]]))</f>
        <v>0</v>
      </c>
      <c r="Q86" s="159">
        <f>_xlfn.LET(_xlpm.countb, COUNTIF(StorageTable[[#This Row],[IT Cage]:[Backup Server Room]], ""),
_xlpm.tbm_blank, COUNTBLANK(StorageTable[[#This Row],[Type]:[Model]]) &gt; 0,
_xlpm.adjcount, IF(_xlpm.tbm_blank, 0, _xlpm.countb),
_xlpm.adjcount)</f>
        <v>0</v>
      </c>
      <c r="R86" s="161" t="b">
        <f>COUNTIF(StorageTable[[#This Row],[Type]:[Model]], "") &gt; 0</f>
        <v>0</v>
      </c>
    </row>
    <row r="87" spans="1:18" x14ac:dyDescent="0.2">
      <c r="A87" s="184" t="str">
        <f>_xlfn.TEXTJOIN("~", TRUE, StorageTable[[#This Row],[Type]],StorageTable[[#This Row],[Brand]],StorageTable[[#This Row],[Model]])</f>
        <v>Scanner~Zebra~DS3878</v>
      </c>
      <c r="B87" s="157" t="s">
        <v>379</v>
      </c>
      <c r="C87" s="157" t="s">
        <v>450</v>
      </c>
      <c r="D87" s="157" t="s">
        <v>451</v>
      </c>
      <c r="E87" s="1">
        <v>1</v>
      </c>
      <c r="F87" s="1">
        <v>0</v>
      </c>
      <c r="G87" s="1">
        <v>1</v>
      </c>
      <c r="H87" s="1">
        <v>0</v>
      </c>
      <c r="I87" s="1">
        <v>0</v>
      </c>
      <c r="J87" s="1">
        <v>0</v>
      </c>
      <c r="K87" s="1">
        <v>0</v>
      </c>
      <c r="L87" s="160" t="b">
        <f>COUNTBLANK(StorageTable[[#This Row],[IT Cage]:[Backup Server Room]]) = 0</f>
        <v>1</v>
      </c>
      <c r="M87" s="160">
        <f>SUM(StorageTable[[#This Row],[IT Cage]:[Backup Server Room]])</f>
        <v>2</v>
      </c>
      <c r="N87" s="160">
        <f>_xlfn.XLOOKUP(StorageTable[[#This Row],[Tag]],ITSecondTable[Tag],ITSecondTable[SQty],0,0)</f>
        <v>0</v>
      </c>
      <c r="O87" s="160">
        <f>_xlfn.XLOOKUP(StorageTable[[#This Row],[Tag]],ITSecondTable[Tag],ITSecondTable[TQty],0,0) - StorageTable[[#This Row],[All - Serialized Total]]</f>
        <v>2</v>
      </c>
      <c r="P87" s="5" t="b">
        <f>OR(StorageTable[[#This Row],[In Storage - Count Total]] = StorageTable[[#This Row],[All - Serialized Total]], ISBLANK(StorageTable[[#This Row],[Model]]), ISBLANK(StorageTable[[#This Row],[Brand]]), ISBLANK(StorageTable[[#This Row],[Type]]))</f>
        <v>0</v>
      </c>
      <c r="Q87" s="159">
        <f>_xlfn.LET(_xlpm.countb, COUNTIF(StorageTable[[#This Row],[IT Cage]:[Backup Server Room]], ""),
_xlpm.tbm_blank, COUNTBLANK(StorageTable[[#This Row],[Type]:[Model]]) &gt; 0,
_xlpm.adjcount, IF(_xlpm.tbm_blank, 0, _xlpm.countb),
_xlpm.adjcount)</f>
        <v>0</v>
      </c>
      <c r="R87" s="161" t="b">
        <f>COUNTIF(StorageTable[[#This Row],[Type]:[Model]], "") &gt; 0</f>
        <v>0</v>
      </c>
    </row>
    <row r="88" spans="1:18" x14ac:dyDescent="0.2">
      <c r="A88" s="186" t="str">
        <f>_xlfn.TEXTJOIN("~", TRUE, StorageTable[[#This Row],[Type]],StorageTable[[#This Row],[Brand]],StorageTable[[#This Row],[Model]])</f>
        <v>Scanner Base~Honeywell~CCB02-100BT-07N</v>
      </c>
      <c r="B88" s="157" t="s">
        <v>386</v>
      </c>
      <c r="C88" s="157" t="s">
        <v>514</v>
      </c>
      <c r="D88" s="157" t="s">
        <v>515</v>
      </c>
      <c r="E88" s="1">
        <v>26</v>
      </c>
      <c r="F88" s="1">
        <v>0</v>
      </c>
      <c r="G88" s="1">
        <v>1</v>
      </c>
      <c r="H88" s="1">
        <v>3</v>
      </c>
      <c r="I88" s="1">
        <v>0</v>
      </c>
      <c r="J88" s="1">
        <v>0</v>
      </c>
      <c r="K88" s="1">
        <v>0</v>
      </c>
      <c r="L88" s="160" t="b">
        <f>COUNTBLANK(StorageTable[[#This Row],[IT Cage]:[Backup Server Room]]) = 0</f>
        <v>1</v>
      </c>
      <c r="M88" s="160">
        <f>SUM(StorageTable[[#This Row],[IT Cage]:[Backup Server Room]])</f>
        <v>30</v>
      </c>
      <c r="N88" s="165">
        <f>_xlfn.XLOOKUP(StorageTable[[#This Row],[Tag]],ITSecondTable[Tag],ITSecondTable[SQty],0,0)</f>
        <v>21</v>
      </c>
      <c r="O88" s="165">
        <f>_xlfn.XLOOKUP(StorageTable[[#This Row],[Tag]],ITSecondTable[Tag],ITSecondTable[TQty],0,0) - StorageTable[[#This Row],[All - Serialized Total]]</f>
        <v>12</v>
      </c>
      <c r="P88" s="226" t="b">
        <f>OR(StorageTable[[#This Row],[In Storage - Count Total]] = StorageTable[[#This Row],[All - Serialized Total]], ISBLANK(StorageTable[[#This Row],[Model]]), ISBLANK(StorageTable[[#This Row],[Brand]]), ISBLANK(StorageTable[[#This Row],[Type]]))</f>
        <v>0</v>
      </c>
      <c r="Q88" s="165">
        <f>_xlfn.LET(_xlpm.countb, COUNTIF(StorageTable[[#This Row],[IT Cage]:[Backup Server Room]], ""),
_xlpm.tbm_blank, COUNTBLANK(StorageTable[[#This Row],[Type]:[Model]]) &gt; 0,
_xlpm.adjcount, IF(_xlpm.tbm_blank, 0, _xlpm.countb),
_xlpm.adjcount)</f>
        <v>0</v>
      </c>
      <c r="R88" s="160" t="b">
        <f>COUNTIF(StorageTable[[#This Row],[Type]:[Model]], "") &gt; 0</f>
        <v>0</v>
      </c>
    </row>
    <row r="89" spans="1:18" x14ac:dyDescent="0.2">
      <c r="A89" s="184" t="str">
        <f>_xlfn.TEXTJOIN("~", TRUE, StorageTable[[#This Row],[Type]],StorageTable[[#This Row],[Brand]],StorageTable[[#This Row],[Model]])</f>
        <v>Server</v>
      </c>
      <c r="B89" s="157" t="s">
        <v>422</v>
      </c>
      <c r="C89" s="157"/>
      <c r="D89" s="157"/>
      <c r="E89" s="1">
        <v>0</v>
      </c>
      <c r="F89" s="1">
        <v>0</v>
      </c>
      <c r="G89" s="1">
        <v>0</v>
      </c>
      <c r="H89" s="1">
        <v>0</v>
      </c>
      <c r="I89" s="1">
        <v>0</v>
      </c>
      <c r="J89" s="1">
        <v>0</v>
      </c>
      <c r="K89" s="1">
        <v>0</v>
      </c>
      <c r="L89" s="160" t="b">
        <f>COUNTBLANK(StorageTable[[#This Row],[IT Cage]:[Backup Server Room]]) = 0</f>
        <v>1</v>
      </c>
      <c r="M89" s="160">
        <f>SUM(StorageTable[[#This Row],[IT Cage]:[Backup Server Room]])</f>
        <v>0</v>
      </c>
      <c r="N89" s="160">
        <f>_xlfn.XLOOKUP(StorageTable[[#This Row],[Tag]],ITSecondTable[Tag],ITSecondTable[SQty],0,0)</f>
        <v>0</v>
      </c>
      <c r="O89" s="160">
        <f>_xlfn.XLOOKUP(StorageTable[[#This Row],[Tag]],ITSecondTable[Tag],ITSecondTable[TQty],0,0) - StorageTable[[#This Row],[All - Serialized Total]]</f>
        <v>0</v>
      </c>
      <c r="P89" s="226" t="b">
        <f>OR(StorageTable[[#This Row],[In Storage - Count Total]] = StorageTable[[#This Row],[All - Serialized Total]], ISBLANK(StorageTable[[#This Row],[Model]]), ISBLANK(StorageTable[[#This Row],[Brand]]), ISBLANK(StorageTable[[#This Row],[Type]]))</f>
        <v>1</v>
      </c>
      <c r="Q89" s="165">
        <f>_xlfn.LET(_xlpm.countb, COUNTIF(StorageTable[[#This Row],[IT Cage]:[Backup Server Room]], ""),
_xlpm.tbm_blank, COUNTBLANK(StorageTable[[#This Row],[Type]:[Model]]) &gt; 0,
_xlpm.adjcount, IF(_xlpm.tbm_blank, 0, _xlpm.countb),
_xlpm.adjcount)</f>
        <v>0</v>
      </c>
      <c r="R89" s="160" t="b">
        <f>COUNTIF(StorageTable[[#This Row],[Type]:[Model]], "") &gt; 0</f>
        <v>1</v>
      </c>
    </row>
    <row r="90" spans="1:18" x14ac:dyDescent="0.2">
      <c r="A90" s="186" t="str">
        <f>_xlfn.TEXTJOIN("~", TRUE, StorageTable[[#This Row],[Type]],StorageTable[[#This Row],[Brand]],StorageTable[[#This Row],[Model]])</f>
        <v>Tablet~Microsoft~Surface Pro</v>
      </c>
      <c r="B90" s="157" t="s">
        <v>323</v>
      </c>
      <c r="C90" s="157" t="s">
        <v>562</v>
      </c>
      <c r="D90" s="157" t="s">
        <v>563</v>
      </c>
      <c r="E90" s="1">
        <v>0</v>
      </c>
      <c r="F90" s="1">
        <v>0</v>
      </c>
      <c r="G90" s="1">
        <v>0</v>
      </c>
      <c r="H90" s="1">
        <v>0</v>
      </c>
      <c r="I90" s="1">
        <v>0</v>
      </c>
      <c r="J90" s="1">
        <v>0</v>
      </c>
      <c r="K90" s="1">
        <v>0</v>
      </c>
      <c r="L90" s="160" t="b">
        <f>COUNTBLANK(StorageTable[[#This Row],[IT Cage]:[Backup Server Room]]) = 0</f>
        <v>1</v>
      </c>
      <c r="M90" s="160">
        <f>SUM(StorageTable[[#This Row],[IT Cage]:[Backup Server Room]])</f>
        <v>0</v>
      </c>
      <c r="N90" s="165">
        <f>_xlfn.XLOOKUP(StorageTable[[#This Row],[Tag]],ITSecondTable[Tag],ITSecondTable[SQty],0,0)</f>
        <v>0</v>
      </c>
      <c r="O90" s="165">
        <f>_xlfn.XLOOKUP(StorageTable[[#This Row],[Tag]],ITSecondTable[Tag],ITSecondTable[TQty],0,0) - StorageTable[[#This Row],[All - Serialized Total]]</f>
        <v>12</v>
      </c>
      <c r="P90" s="226" t="b">
        <f>OR(StorageTable[[#This Row],[In Storage - Count Total]] = StorageTable[[#This Row],[All - Serialized Total]], ISBLANK(StorageTable[[#This Row],[Model]]), ISBLANK(StorageTable[[#This Row],[Brand]]), ISBLANK(StorageTable[[#This Row],[Type]]))</f>
        <v>1</v>
      </c>
      <c r="Q90" s="165">
        <f>_xlfn.LET(_xlpm.countb, COUNTIF(StorageTable[[#This Row],[IT Cage]:[Backup Server Room]], ""),
_xlpm.tbm_blank, COUNTBLANK(StorageTable[[#This Row],[Type]:[Model]]) &gt; 0,
_xlpm.adjcount, IF(_xlpm.tbm_blank, 0, _xlpm.countb),
_xlpm.adjcount)</f>
        <v>0</v>
      </c>
      <c r="R90" s="160" t="b">
        <f>COUNTIF(StorageTable[[#This Row],[Type]:[Model]], "") &gt; 0</f>
        <v>0</v>
      </c>
    </row>
    <row r="91" spans="1:18" x14ac:dyDescent="0.2">
      <c r="A91" s="186" t="str">
        <f>_xlfn.TEXTJOIN("~", TRUE, StorageTable[[#This Row],[Type]],StorageTable[[#This Row],[Brand]],StorageTable[[#This Row],[Model]])</f>
        <v>Tablet~Microsoft~Surface Pro 3</v>
      </c>
      <c r="B91" s="157" t="s">
        <v>323</v>
      </c>
      <c r="C91" s="157" t="s">
        <v>562</v>
      </c>
      <c r="D91" s="157" t="s">
        <v>1440</v>
      </c>
      <c r="E91" s="1">
        <v>0</v>
      </c>
      <c r="F91" s="1">
        <v>0</v>
      </c>
      <c r="G91" s="1">
        <v>0</v>
      </c>
      <c r="H91" s="1">
        <v>0</v>
      </c>
      <c r="I91" s="1">
        <v>0</v>
      </c>
      <c r="J91" s="1">
        <v>0</v>
      </c>
      <c r="K91" s="1">
        <v>0</v>
      </c>
      <c r="L91" s="160" t="b">
        <f>COUNTBLANK(StorageTable[[#This Row],[IT Cage]:[Backup Server Room]]) = 0</f>
        <v>1</v>
      </c>
      <c r="M91" s="160">
        <f>SUM(StorageTable[[#This Row],[IT Cage]:[Backup Server Room]])</f>
        <v>0</v>
      </c>
      <c r="N91" s="165">
        <f>_xlfn.XLOOKUP(StorageTable[[#This Row],[Tag]],ITSecondTable[Tag],ITSecondTable[SQty],0,0)</f>
        <v>0</v>
      </c>
      <c r="O91" s="165">
        <f>_xlfn.XLOOKUP(StorageTable[[#This Row],[Tag]],ITSecondTable[Tag],ITSecondTable[TQty],0,0) - StorageTable[[#This Row],[All - Serialized Total]]</f>
        <v>1</v>
      </c>
      <c r="P91" s="226" t="b">
        <f>OR(StorageTable[[#This Row],[In Storage - Count Total]] = StorageTable[[#This Row],[All - Serialized Total]], ISBLANK(StorageTable[[#This Row],[Model]]), ISBLANK(StorageTable[[#This Row],[Brand]]), ISBLANK(StorageTable[[#This Row],[Type]]))</f>
        <v>1</v>
      </c>
      <c r="Q91" s="165">
        <f>_xlfn.LET(_xlpm.countb, COUNTIF(StorageTable[[#This Row],[IT Cage]:[Backup Server Room]], ""),
_xlpm.tbm_blank, COUNTBLANK(StorageTable[[#This Row],[Type]:[Model]]) &gt; 0,
_xlpm.adjcount, IF(_xlpm.tbm_blank, 0, _xlpm.countb),
_xlpm.adjcount)</f>
        <v>0</v>
      </c>
      <c r="R91" s="160" t="b">
        <f>COUNTIF(StorageTable[[#This Row],[Type]:[Model]], "") &gt; 0</f>
        <v>0</v>
      </c>
    </row>
    <row r="92" spans="1:18" x14ac:dyDescent="0.2">
      <c r="A92" s="186" t="str">
        <f>_xlfn.TEXTJOIN("~", TRUE, StorageTable[[#This Row],[Type]],StorageTable[[#This Row],[Brand]],StorageTable[[#This Row],[Model]])</f>
        <v>Tablet~Microsoft~Surface Pro 4</v>
      </c>
      <c r="B92" s="157" t="s">
        <v>323</v>
      </c>
      <c r="C92" s="157" t="s">
        <v>562</v>
      </c>
      <c r="D92" s="157" t="s">
        <v>1674</v>
      </c>
      <c r="E92" s="1">
        <v>0</v>
      </c>
      <c r="F92" s="1">
        <v>0</v>
      </c>
      <c r="G92" s="1">
        <v>0</v>
      </c>
      <c r="H92" s="1">
        <v>0</v>
      </c>
      <c r="I92" s="1">
        <v>0</v>
      </c>
      <c r="J92" s="1">
        <v>0</v>
      </c>
      <c r="K92" s="1">
        <v>0</v>
      </c>
      <c r="L92" s="160" t="b">
        <f>COUNTBLANK(StorageTable[[#This Row],[IT Cage]:[Backup Server Room]]) = 0</f>
        <v>1</v>
      </c>
      <c r="M92" s="160">
        <f>SUM(StorageTable[[#This Row],[IT Cage]:[Backup Server Room]])</f>
        <v>0</v>
      </c>
      <c r="N92" s="165">
        <f>_xlfn.XLOOKUP(StorageTable[[#This Row],[Tag]],ITSecondTable[Tag],ITSecondTable[SQty],0,0)</f>
        <v>0</v>
      </c>
      <c r="O92" s="165">
        <f>_xlfn.XLOOKUP(StorageTable[[#This Row],[Tag]],ITSecondTable[Tag],ITSecondTable[TQty],0,0) - StorageTable[[#This Row],[All - Serialized Total]]</f>
        <v>0</v>
      </c>
      <c r="P92" s="226" t="b">
        <f>OR(StorageTable[[#This Row],[In Storage - Count Total]] = StorageTable[[#This Row],[All - Serialized Total]], ISBLANK(StorageTable[[#This Row],[Model]]), ISBLANK(StorageTable[[#This Row],[Brand]]), ISBLANK(StorageTable[[#This Row],[Type]]))</f>
        <v>1</v>
      </c>
      <c r="Q92" s="165">
        <f>_xlfn.LET(_xlpm.countb, COUNTIF(StorageTable[[#This Row],[IT Cage]:[Backup Server Room]], ""),
_xlpm.tbm_blank, COUNTBLANK(StorageTable[[#This Row],[Type]:[Model]]) &gt; 0,
_xlpm.adjcount, IF(_xlpm.tbm_blank, 0, _xlpm.countb),
_xlpm.adjcount)</f>
        <v>0</v>
      </c>
      <c r="R92" s="160" t="b">
        <f>COUNTIF(StorageTable[[#This Row],[Type]:[Model]], "") &gt; 0</f>
        <v>0</v>
      </c>
    </row>
    <row r="93" spans="1:18" x14ac:dyDescent="0.2">
      <c r="A93" s="184" t="str">
        <f>_xlfn.TEXTJOIN("~", TRUE, StorageTable[[#This Row],[Type]],StorageTable[[#This Row],[Brand]],StorageTable[[#This Row],[Model]])</f>
        <v>Tablet~Microsoft~Surface Pro Model 1796</v>
      </c>
      <c r="B93" s="157" t="s">
        <v>323</v>
      </c>
      <c r="C93" s="157" t="s">
        <v>562</v>
      </c>
      <c r="D93" s="157" t="s">
        <v>1507</v>
      </c>
      <c r="E93" s="1"/>
      <c r="F93" s="1">
        <v>0</v>
      </c>
      <c r="G93" s="1">
        <v>1</v>
      </c>
      <c r="H93" s="1">
        <v>0</v>
      </c>
      <c r="I93" s="1">
        <v>0</v>
      </c>
      <c r="J93" s="1">
        <v>0</v>
      </c>
      <c r="K93" s="1">
        <v>0</v>
      </c>
      <c r="L93" s="160" t="b">
        <f>COUNTBLANK(StorageTable[[#This Row],[IT Cage]:[Backup Server Room]]) = 0</f>
        <v>0</v>
      </c>
      <c r="M93" s="160">
        <f>SUM(StorageTable[[#This Row],[IT Cage]:[Backup Server Room]])</f>
        <v>1</v>
      </c>
      <c r="N93" s="160">
        <f>_xlfn.XLOOKUP(StorageTable[[#This Row],[Tag]],ITSecondTable[Tag],ITSecondTable[SQty],0,0)</f>
        <v>1</v>
      </c>
      <c r="O93" s="160">
        <f>_xlfn.XLOOKUP(StorageTable[[#This Row],[Tag]],ITSecondTable[Tag],ITSecondTable[TQty],0,0) - StorageTable[[#This Row],[All - Serialized Total]]</f>
        <v>0</v>
      </c>
      <c r="P93" s="246" t="b">
        <f>OR(StorageTable[[#This Row],[In Storage - Count Total]] = StorageTable[[#This Row],[All - Serialized Total]], ISBLANK(StorageTable[[#This Row],[Model]]), ISBLANK(StorageTable[[#This Row],[Brand]]), ISBLANK(StorageTable[[#This Row],[Type]]))</f>
        <v>1</v>
      </c>
      <c r="Q93" s="160">
        <f>_xlfn.LET(_xlpm.countb, COUNTIF(StorageTable[[#This Row],[IT Cage]:[Backup Server Room]], ""),
_xlpm.tbm_blank, COUNTBLANK(StorageTable[[#This Row],[Type]:[Model]]) &gt; 0,
_xlpm.adjcount, IF(_xlpm.tbm_blank, 0, _xlpm.countb),
_xlpm.adjcount)</f>
        <v>1</v>
      </c>
      <c r="R93" s="160" t="b">
        <f>COUNTIF(StorageTable[[#This Row],[Type]:[Model]], "") &gt; 0</f>
        <v>0</v>
      </c>
    </row>
    <row r="94" spans="1:18" x14ac:dyDescent="0.2">
      <c r="A94" s="186" t="str">
        <f>_xlfn.TEXTJOIN("~", TRUE, StorageTable[[#This Row],[Type]],StorageTable[[#This Row],[Brand]],StorageTable[[#This Row],[Model]])</f>
        <v>Tablet~Microsoft~Surface Pro Model 1866</v>
      </c>
      <c r="B94" s="157" t="s">
        <v>323</v>
      </c>
      <c r="C94" s="157" t="s">
        <v>562</v>
      </c>
      <c r="D94" s="157" t="s">
        <v>580</v>
      </c>
      <c r="E94" s="1">
        <v>0</v>
      </c>
      <c r="F94" s="1">
        <v>0</v>
      </c>
      <c r="G94" s="1">
        <v>0</v>
      </c>
      <c r="H94" s="1">
        <v>0</v>
      </c>
      <c r="I94" s="1">
        <v>0</v>
      </c>
      <c r="J94" s="1">
        <v>0</v>
      </c>
      <c r="K94" s="1">
        <v>0</v>
      </c>
      <c r="L94" s="160" t="b">
        <f>COUNTBLANK(StorageTable[[#This Row],[IT Cage]:[Backup Server Room]]) = 0</f>
        <v>1</v>
      </c>
      <c r="M94" s="160">
        <f>SUM(StorageTable[[#This Row],[IT Cage]:[Backup Server Room]])</f>
        <v>0</v>
      </c>
      <c r="N94" s="165">
        <f>_xlfn.XLOOKUP(StorageTable[[#This Row],[Tag]],ITSecondTable[Tag],ITSecondTable[SQty],0,0)</f>
        <v>0</v>
      </c>
      <c r="O94" s="165">
        <f>_xlfn.XLOOKUP(StorageTable[[#This Row],[Tag]],ITSecondTable[Tag],ITSecondTable[TQty],0,0) - StorageTable[[#This Row],[All - Serialized Total]]</f>
        <v>1</v>
      </c>
      <c r="P94" s="226" t="b">
        <f>OR(StorageTable[[#This Row],[In Storage - Count Total]] = StorageTable[[#This Row],[All - Serialized Total]], ISBLANK(StorageTable[[#This Row],[Model]]), ISBLANK(StorageTable[[#This Row],[Brand]]), ISBLANK(StorageTable[[#This Row],[Type]]))</f>
        <v>1</v>
      </c>
      <c r="Q94" s="165">
        <f>_xlfn.LET(_xlpm.countb, COUNTIF(StorageTable[[#This Row],[IT Cage]:[Backup Server Room]], ""),
_xlpm.tbm_blank, COUNTBLANK(StorageTable[[#This Row],[Type]:[Model]]) &gt; 0,
_xlpm.adjcount, IF(_xlpm.tbm_blank, 0, _xlpm.countb),
_xlpm.adjcount)</f>
        <v>0</v>
      </c>
      <c r="R94" s="160" t="b">
        <f>COUNTIF(StorageTable[[#This Row],[Type]:[Model]], "") &gt; 0</f>
        <v>0</v>
      </c>
    </row>
    <row r="95" spans="1:18" x14ac:dyDescent="0.2">
      <c r="A95" s="184" t="str">
        <f>_xlfn.TEXTJOIN("~", TRUE, StorageTable[[#This Row],[Type]],StorageTable[[#This Row],[Brand]],StorageTable[[#This Row],[Model]])</f>
        <v>Tablet~Microsoft</v>
      </c>
      <c r="B95" s="157" t="s">
        <v>323</v>
      </c>
      <c r="C95" s="157" t="s">
        <v>562</v>
      </c>
      <c r="D95" s="157"/>
      <c r="E95" s="1">
        <v>0</v>
      </c>
      <c r="F95" s="1">
        <v>0</v>
      </c>
      <c r="G95" s="1">
        <v>0</v>
      </c>
      <c r="H95" s="1">
        <v>0</v>
      </c>
      <c r="I95" s="1">
        <v>0</v>
      </c>
      <c r="J95" s="1">
        <v>0</v>
      </c>
      <c r="K95" s="1">
        <v>0</v>
      </c>
      <c r="L95" s="160" t="b">
        <f>COUNTBLANK(StorageTable[[#This Row],[IT Cage]:[Backup Server Room]]) = 0</f>
        <v>1</v>
      </c>
      <c r="M95" s="160">
        <f>SUM(StorageTable[[#This Row],[IT Cage]:[Backup Server Room]])</f>
        <v>0</v>
      </c>
      <c r="N95" s="160">
        <f>_xlfn.XLOOKUP(StorageTable[[#This Row],[Tag]],ITSecondTable[Tag],ITSecondTable[SQty],0,0)</f>
        <v>0</v>
      </c>
      <c r="O95" s="160">
        <f>_xlfn.XLOOKUP(StorageTable[[#This Row],[Tag]],ITSecondTable[Tag],ITSecondTable[TQty],0,0) - StorageTable[[#This Row],[All - Serialized Total]]</f>
        <v>1</v>
      </c>
      <c r="P95" s="226" t="b">
        <f>OR(StorageTable[[#This Row],[In Storage - Count Total]] = StorageTable[[#This Row],[All - Serialized Total]], ISBLANK(StorageTable[[#This Row],[Model]]), ISBLANK(StorageTable[[#This Row],[Brand]]), ISBLANK(StorageTable[[#This Row],[Type]]))</f>
        <v>1</v>
      </c>
      <c r="Q95" s="165">
        <f>_xlfn.LET(_xlpm.countb, COUNTIF(StorageTable[[#This Row],[IT Cage]:[Backup Server Room]], ""),
_xlpm.tbm_blank, COUNTBLANK(StorageTable[[#This Row],[Type]:[Model]]) &gt; 0,
_xlpm.adjcount, IF(_xlpm.tbm_blank, 0, _xlpm.countb),
_xlpm.adjcount)</f>
        <v>0</v>
      </c>
      <c r="R95" s="160" t="b">
        <f>COUNTIF(StorageTable[[#This Row],[Type]:[Model]], "") &gt; 0</f>
        <v>1</v>
      </c>
    </row>
    <row r="96" spans="1:18" x14ac:dyDescent="0.2">
      <c r="A96" s="184" t="str">
        <f>_xlfn.TEXTJOIN("~", TRUE, StorageTable[[#This Row],[Type]],StorageTable[[#This Row],[Brand]],StorageTable[[#This Row],[Model]])</f>
        <v>Tablet</v>
      </c>
      <c r="B96" s="157" t="s">
        <v>323</v>
      </c>
      <c r="C96" s="157"/>
      <c r="D96" s="157"/>
      <c r="E96" s="1">
        <v>0</v>
      </c>
      <c r="F96" s="1">
        <v>0</v>
      </c>
      <c r="G96" s="1">
        <v>0</v>
      </c>
      <c r="H96" s="1">
        <v>0</v>
      </c>
      <c r="I96" s="1">
        <v>0</v>
      </c>
      <c r="J96" s="1">
        <v>0</v>
      </c>
      <c r="K96" s="1">
        <v>0</v>
      </c>
      <c r="L96" s="160" t="b">
        <f>COUNTBLANK(StorageTable[[#This Row],[IT Cage]:[Backup Server Room]]) = 0</f>
        <v>1</v>
      </c>
      <c r="M96" s="160">
        <f>SUM(StorageTable[[#This Row],[IT Cage]:[Backup Server Room]])</f>
        <v>0</v>
      </c>
      <c r="N96" s="160">
        <f>_xlfn.XLOOKUP(StorageTable[[#This Row],[Tag]],ITSecondTable[Tag],ITSecondTable[SQty],0,0)</f>
        <v>0</v>
      </c>
      <c r="O96" s="160">
        <f>_xlfn.XLOOKUP(StorageTable[[#This Row],[Tag]],ITSecondTable[Tag],ITSecondTable[TQty],0,0) - StorageTable[[#This Row],[All - Serialized Total]]</f>
        <v>15</v>
      </c>
      <c r="P96" s="226" t="b">
        <f>OR(StorageTable[[#This Row],[In Storage - Count Total]] = StorageTable[[#This Row],[All - Serialized Total]], ISBLANK(StorageTable[[#This Row],[Model]]), ISBLANK(StorageTable[[#This Row],[Brand]]), ISBLANK(StorageTable[[#This Row],[Type]]))</f>
        <v>1</v>
      </c>
      <c r="Q96" s="165">
        <f>_xlfn.LET(_xlpm.countb, COUNTIF(StorageTable[[#This Row],[IT Cage]:[Backup Server Room]], ""),
_xlpm.tbm_blank, COUNTBLANK(StorageTable[[#This Row],[Type]:[Model]]) &gt; 0,
_xlpm.adjcount, IF(_xlpm.tbm_blank, 0, _xlpm.countb),
_xlpm.adjcount)</f>
        <v>0</v>
      </c>
      <c r="R96" s="160" t="b">
        <f>COUNTIF(StorageTable[[#This Row],[Type]:[Model]], "") &gt; 0</f>
        <v>1</v>
      </c>
    </row>
    <row r="97" spans="1:18" x14ac:dyDescent="0.2">
      <c r="A97" s="186" t="str">
        <f>_xlfn.TEXTJOIN("~", TRUE, StorageTable[[#This Row],[Type]],StorageTable[[#This Row],[Brand]],StorageTable[[#This Row],[Model]])</f>
        <v>TV~RCA~SLD40HG45RQ</v>
      </c>
      <c r="B97" s="157" t="s">
        <v>371</v>
      </c>
      <c r="C97" s="157" t="s">
        <v>1998</v>
      </c>
      <c r="D97" s="157" t="s">
        <v>1999</v>
      </c>
      <c r="E97" s="1">
        <v>0</v>
      </c>
      <c r="F97" s="1">
        <v>0</v>
      </c>
      <c r="G97" s="1">
        <v>0</v>
      </c>
      <c r="H97" s="1">
        <v>0</v>
      </c>
      <c r="I97" s="1">
        <v>0</v>
      </c>
      <c r="J97" s="1">
        <v>0</v>
      </c>
      <c r="K97" s="1">
        <v>0</v>
      </c>
      <c r="L97" s="160" t="b">
        <f>COUNTBLANK(StorageTable[[#This Row],[IT Cage]:[Backup Server Room]]) = 0</f>
        <v>1</v>
      </c>
      <c r="M97" s="160">
        <f>SUM(StorageTable[[#This Row],[IT Cage]:[Backup Server Room]])</f>
        <v>0</v>
      </c>
      <c r="N97" s="165">
        <f>_xlfn.XLOOKUP(StorageTable[[#This Row],[Tag]],ITSecondTable[Tag],ITSecondTable[SQty],0,0)</f>
        <v>1</v>
      </c>
      <c r="O97" s="165">
        <f>_xlfn.XLOOKUP(StorageTable[[#This Row],[Tag]],ITSecondTable[Tag],ITSecondTable[TQty],0,0) - StorageTable[[#This Row],[All - Serialized Total]]</f>
        <v>0</v>
      </c>
      <c r="P97" s="226" t="b">
        <f>OR(StorageTable[[#This Row],[In Storage - Count Total]] = StorageTable[[#This Row],[All - Serialized Total]], ISBLANK(StorageTable[[#This Row],[Model]]), ISBLANK(StorageTable[[#This Row],[Brand]]), ISBLANK(StorageTable[[#This Row],[Type]]))</f>
        <v>0</v>
      </c>
      <c r="Q97" s="165">
        <f>_xlfn.LET(_xlpm.countb, COUNTIF(StorageTable[[#This Row],[IT Cage]:[Backup Server Room]], ""),
_xlpm.tbm_blank, COUNTBLANK(StorageTable[[#This Row],[Type]:[Model]]) &gt; 0,
_xlpm.adjcount, IF(_xlpm.tbm_blank, 0, _xlpm.countb),
_xlpm.adjcount)</f>
        <v>0</v>
      </c>
      <c r="R97" s="160" t="b">
        <f>COUNTIF(StorageTable[[#This Row],[Type]:[Model]], "") &gt; 0</f>
        <v>0</v>
      </c>
    </row>
    <row r="98" spans="1:18" x14ac:dyDescent="0.2">
      <c r="A98" s="184" t="str">
        <f>_xlfn.TEXTJOIN("~", TRUE, StorageTable[[#This Row],[Type]],StorageTable[[#This Row],[Brand]],StorageTable[[#This Row],[Model]])</f>
        <v>TV~Vizio~V505-G9</v>
      </c>
      <c r="B98" s="157" t="s">
        <v>371</v>
      </c>
      <c r="C98" s="157" t="s">
        <v>387</v>
      </c>
      <c r="D98" s="157" t="s">
        <v>388</v>
      </c>
      <c r="E98" s="1">
        <v>0</v>
      </c>
      <c r="F98" s="1">
        <v>0</v>
      </c>
      <c r="G98" s="1">
        <v>0</v>
      </c>
      <c r="H98" s="1">
        <v>0</v>
      </c>
      <c r="I98" s="1">
        <v>0</v>
      </c>
      <c r="J98" s="1">
        <v>0</v>
      </c>
      <c r="K98" s="1">
        <v>0</v>
      </c>
      <c r="L98" s="160" t="b">
        <f>COUNTBLANK(StorageTable[[#This Row],[IT Cage]:[Backup Server Room]]) = 0</f>
        <v>1</v>
      </c>
      <c r="M98" s="160">
        <f>SUM(StorageTable[[#This Row],[IT Cage]:[Backup Server Room]])</f>
        <v>0</v>
      </c>
      <c r="N98" s="160">
        <f>_xlfn.XLOOKUP(StorageTable[[#This Row],[Tag]],ITSecondTable[Tag],ITSecondTable[SQty],0,0)</f>
        <v>0</v>
      </c>
      <c r="O98" s="160">
        <f>_xlfn.XLOOKUP(StorageTable[[#This Row],[Tag]],ITSecondTable[Tag],ITSecondTable[TQty],0,0) - StorageTable[[#This Row],[All - Serialized Total]]</f>
        <v>1</v>
      </c>
      <c r="P98" s="226" t="b">
        <f>OR(StorageTable[[#This Row],[In Storage - Count Total]] = StorageTable[[#This Row],[All - Serialized Total]], ISBLANK(StorageTable[[#This Row],[Model]]), ISBLANK(StorageTable[[#This Row],[Brand]]), ISBLANK(StorageTable[[#This Row],[Type]]))</f>
        <v>1</v>
      </c>
      <c r="Q98" s="165">
        <f>_xlfn.LET(_xlpm.countb, COUNTIF(StorageTable[[#This Row],[IT Cage]:[Backup Server Room]], ""),
_xlpm.tbm_blank, COUNTBLANK(StorageTable[[#This Row],[Type]:[Model]]) &gt; 0,
_xlpm.adjcount, IF(_xlpm.tbm_blank, 0, _xlpm.countb),
_xlpm.adjcount)</f>
        <v>0</v>
      </c>
      <c r="R98" s="160" t="b">
        <f>COUNTIF(StorageTable[[#This Row],[Type]:[Model]], "") &gt; 0</f>
        <v>0</v>
      </c>
    </row>
    <row r="99" spans="1:18" x14ac:dyDescent="0.2">
      <c r="A99" s="184" t="str">
        <f>_xlfn.TEXTJOIN("~", TRUE, StorageTable[[#This Row],[Type]],StorageTable[[#This Row],[Brand]],StorageTable[[#This Row],[Model]])</f>
        <v>TV~Vizio</v>
      </c>
      <c r="B99" s="157" t="s">
        <v>371</v>
      </c>
      <c r="C99" s="157" t="s">
        <v>387</v>
      </c>
      <c r="D99" s="157"/>
      <c r="E99" s="1">
        <v>0</v>
      </c>
      <c r="F99" s="1">
        <v>0</v>
      </c>
      <c r="G99" s="1">
        <v>0</v>
      </c>
      <c r="H99" s="1">
        <v>0</v>
      </c>
      <c r="I99" s="1">
        <v>0</v>
      </c>
      <c r="J99" s="1">
        <v>0</v>
      </c>
      <c r="K99" s="1">
        <v>0</v>
      </c>
      <c r="L99" s="160" t="b">
        <f>COUNTBLANK(StorageTable[[#This Row],[IT Cage]:[Backup Server Room]]) = 0</f>
        <v>1</v>
      </c>
      <c r="M99" s="160">
        <f>SUM(StorageTable[[#This Row],[IT Cage]:[Backup Server Room]])</f>
        <v>0</v>
      </c>
      <c r="N99" s="160">
        <f>_xlfn.XLOOKUP(StorageTable[[#This Row],[Tag]],ITSecondTable[Tag],ITSecondTable[SQty],0,0)</f>
        <v>0</v>
      </c>
      <c r="O99" s="160">
        <f>_xlfn.XLOOKUP(StorageTable[[#This Row],[Tag]],ITSecondTable[Tag],ITSecondTable[TQty],0,0) - StorageTable[[#This Row],[All - Serialized Total]]</f>
        <v>0</v>
      </c>
      <c r="P99" s="226" t="b">
        <f>OR(StorageTable[[#This Row],[In Storage - Count Total]] = StorageTable[[#This Row],[All - Serialized Total]], ISBLANK(StorageTable[[#This Row],[Model]]), ISBLANK(StorageTable[[#This Row],[Brand]]), ISBLANK(StorageTable[[#This Row],[Type]]))</f>
        <v>1</v>
      </c>
      <c r="Q99" s="165">
        <f>_xlfn.LET(_xlpm.countb, COUNTIF(StorageTable[[#This Row],[IT Cage]:[Backup Server Room]], ""),
_xlpm.tbm_blank, COUNTBLANK(StorageTable[[#This Row],[Type]:[Model]]) &gt; 0,
_xlpm.adjcount, IF(_xlpm.tbm_blank, 0, _xlpm.countb),
_xlpm.adjcount)</f>
        <v>0</v>
      </c>
      <c r="R99" s="160" t="b">
        <f>COUNTIF(StorageTable[[#This Row],[Type]:[Model]], "") &gt; 0</f>
        <v>1</v>
      </c>
    </row>
    <row r="100" spans="1:18" x14ac:dyDescent="0.2">
      <c r="A100" s="184" t="str">
        <f>_xlfn.TEXTJOIN("~", TRUE, StorageTable[[#This Row],[Type]],StorageTable[[#This Row],[Brand]],StorageTable[[#This Row],[Model]])</f>
        <v>Virtual Server~N/A~N/A</v>
      </c>
      <c r="B100" s="157" t="s">
        <v>426</v>
      </c>
      <c r="C100" s="157" t="s">
        <v>226</v>
      </c>
      <c r="D100" s="157" t="s">
        <v>226</v>
      </c>
      <c r="E100" s="1">
        <v>0</v>
      </c>
      <c r="F100" s="1">
        <v>0</v>
      </c>
      <c r="G100" s="1">
        <v>0</v>
      </c>
      <c r="H100" s="1">
        <v>0</v>
      </c>
      <c r="I100" s="1">
        <v>0</v>
      </c>
      <c r="J100" s="1">
        <v>0</v>
      </c>
      <c r="K100" s="1">
        <v>0</v>
      </c>
      <c r="L100" s="160" t="b">
        <f>COUNTBLANK(StorageTable[[#This Row],[IT Cage]:[Backup Server Room]]) = 0</f>
        <v>1</v>
      </c>
      <c r="M100" s="160">
        <f>SUM(StorageTable[[#This Row],[IT Cage]:[Backup Server Room]])</f>
        <v>0</v>
      </c>
      <c r="N100" s="160">
        <f>_xlfn.XLOOKUP(StorageTable[[#This Row],[Tag]],ITSecondTable[Tag],ITSecondTable[SQty],0,0)</f>
        <v>0</v>
      </c>
      <c r="O100" s="160">
        <f>_xlfn.XLOOKUP(StorageTable[[#This Row],[Tag]],ITSecondTable[Tag],ITSecondTable[TQty],0,0) - StorageTable[[#This Row],[All - Serialized Total]]</f>
        <v>0</v>
      </c>
      <c r="P100" s="246" t="b">
        <f>OR(StorageTable[[#This Row],[In Storage - Count Total]] = StorageTable[[#This Row],[All - Serialized Total]], ISBLANK(StorageTable[[#This Row],[Model]]), ISBLANK(StorageTable[[#This Row],[Brand]]), ISBLANK(StorageTable[[#This Row],[Type]]))</f>
        <v>1</v>
      </c>
      <c r="Q100" s="160">
        <f>_xlfn.LET(_xlpm.countb, COUNTIF(StorageTable[[#This Row],[IT Cage]:[Backup Server Room]], ""),
_xlpm.tbm_blank, COUNTBLANK(StorageTable[[#This Row],[Type]:[Model]]) &gt; 0,
_xlpm.adjcount, IF(_xlpm.tbm_blank, 0, _xlpm.countb),
_xlpm.adjcount)</f>
        <v>0</v>
      </c>
      <c r="R100" s="160" t="b">
        <f>COUNTIF(StorageTable[[#This Row],[Type]:[Model]], "") &gt; 0</f>
        <v>0</v>
      </c>
    </row>
    <row r="101" spans="1:18" x14ac:dyDescent="0.2">
      <c r="A101" s="184" t="str">
        <f>_xlfn.TEXTJOIN("~", TRUE, StorageTable[[#This Row],[Type]],StorageTable[[#This Row],[Brand]],StorageTable[[#This Row],[Model]])</f>
        <v>Desktop~HP~HP ProDesk 600 G6 DM</v>
      </c>
      <c r="B101" s="157" t="s">
        <v>304</v>
      </c>
      <c r="C101" s="157" t="s">
        <v>403</v>
      </c>
      <c r="D101" s="157" t="s">
        <v>3801</v>
      </c>
      <c r="E101" s="360"/>
      <c r="F101" s="360">
        <v>0</v>
      </c>
      <c r="G101" s="360">
        <v>1</v>
      </c>
      <c r="H101" s="360">
        <v>0</v>
      </c>
      <c r="I101" s="360">
        <v>0</v>
      </c>
      <c r="J101" s="360">
        <v>0</v>
      </c>
      <c r="K101" s="360">
        <v>0</v>
      </c>
      <c r="L101" s="160" t="b">
        <f>COUNTBLANK(StorageTable[[#This Row],[IT Cage]:[Backup Server Room]]) = 0</f>
        <v>0</v>
      </c>
      <c r="M101" s="160">
        <f>SUM(StorageTable[[#This Row],[IT Cage]:[Backup Server Room]])</f>
        <v>1</v>
      </c>
      <c r="N101" s="160">
        <f>_xlfn.XLOOKUP(StorageTable[[#This Row],[Tag]],ITSecondTable[Tag],ITSecondTable[SQty],0,0)</f>
        <v>1</v>
      </c>
      <c r="O101" s="160">
        <f>_xlfn.XLOOKUP(StorageTable[[#This Row],[Tag]],ITSecondTable[Tag],ITSecondTable[TQty],0,0) - StorageTable[[#This Row],[All - Serialized Total]]</f>
        <v>0</v>
      </c>
      <c r="P101" s="246" t="b">
        <f>OR(StorageTable[[#This Row],[In Storage - Count Total]] = StorageTable[[#This Row],[All - Serialized Total]], ISBLANK(StorageTable[[#This Row],[Model]]), ISBLANK(StorageTable[[#This Row],[Brand]]), ISBLANK(StorageTable[[#This Row],[Type]]))</f>
        <v>1</v>
      </c>
      <c r="Q101" s="160">
        <f>_xlfn.LET(_xlpm.countb, COUNTIF(StorageTable[[#This Row],[IT Cage]:[Backup Server Room]], ""),
_xlpm.tbm_blank, COUNTBLANK(StorageTable[[#This Row],[Type]:[Model]]) &gt; 0,
_xlpm.adjcount, IF(_xlpm.tbm_blank, 0, _xlpm.countb),
_xlpm.adjcount)</f>
        <v>1</v>
      </c>
      <c r="R101" s="160" t="b">
        <f>COUNTIF(StorageTable[[#This Row],[Type]:[Model]], "") &gt; 0</f>
        <v>0</v>
      </c>
    </row>
  </sheetData>
  <mergeCells count="2">
    <mergeCell ref="O2:P2"/>
    <mergeCell ref="A1:R1"/>
  </mergeCells>
  <phoneticPr fontId="47" type="noConversion"/>
  <conditionalFormatting sqref="M5:M101">
    <cfRule type="expression" dxfId="9" priority="36">
      <formula xml:space="preserve"> NOT($L5)</formula>
    </cfRule>
  </conditionalFormatting>
  <conditionalFormatting sqref="E5:K101">
    <cfRule type="containsBlanks" dxfId="8" priority="4">
      <formula>LEN(TRIM(E5))=0</formula>
    </cfRule>
  </conditionalFormatting>
  <conditionalFormatting sqref="B10:D12 F11:R11 B5:R9 E10:E11 B13:R100 F10 H10:R10 F12 H12:R12">
    <cfRule type="expression" dxfId="7" priority="1908">
      <formula>$R5</formula>
    </cfRule>
  </conditionalFormatting>
  <conditionalFormatting sqref="N5:O101">
    <cfRule type="expression" dxfId="6" priority="1910">
      <formula>AND($R5, $N5 &gt; $M5)</formula>
    </cfRule>
  </conditionalFormatting>
  <conditionalFormatting sqref="B101:D101">
    <cfRule type="expression" dxfId="5" priority="1">
      <formula>$R101</formula>
    </cfRule>
  </conditionalFormatting>
  <dataValidations count="1">
    <dataValidation type="list" allowBlank="1" showInputMessage="1" showErrorMessage="1" sqref="B5:B101" xr:uid="{29797C6B-939B-48D7-805A-635A738C50A7}">
      <formula1>DeviceTypes</formula1>
    </dataValidation>
  </dataValidations>
  <pageMargins left="0.7" right="0.7" top="0.75" bottom="0.75" header="0.3" footer="0.3"/>
  <pageSetup orientation="portrait"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BF69E-5EF1-4B39-B318-B603CD9F6DC4}">
  <sheetPr codeName="Sheet1"/>
  <dimension ref="A1:L392"/>
  <sheetViews>
    <sheetView tabSelected="1" zoomScale="70" zoomScaleNormal="70" workbookViewId="0">
      <selection activeCell="A3" sqref="A3"/>
    </sheetView>
  </sheetViews>
  <sheetFormatPr defaultRowHeight="14.25" x14ac:dyDescent="0.2"/>
  <cols>
    <col min="1" max="1" width="17.44140625" bestFit="1" customWidth="1"/>
    <col min="2" max="2" width="18.33203125" hidden="1" customWidth="1"/>
    <col min="3" max="3" width="27.21875" bestFit="1" customWidth="1"/>
    <col min="4" max="4" width="27.109375" bestFit="1" customWidth="1"/>
    <col min="5" max="5" width="19.109375" bestFit="1" customWidth="1"/>
    <col min="6" max="6" width="80.88671875" bestFit="1" customWidth="1"/>
    <col min="7" max="7" width="12.6640625" bestFit="1" customWidth="1"/>
    <col min="8" max="8" width="4.5546875" bestFit="1" customWidth="1"/>
    <col min="9" max="9" width="6.88671875" bestFit="1" customWidth="1"/>
    <col min="10" max="10" width="9.44140625" customWidth="1"/>
    <col min="11" max="11" width="34.6640625" bestFit="1" customWidth="1"/>
    <col min="12" max="12" width="19.44140625" bestFit="1" customWidth="1"/>
    <col min="13" max="13" width="7.21875" bestFit="1" customWidth="1"/>
    <col min="14" max="14" width="5.33203125" bestFit="1" customWidth="1"/>
    <col min="15" max="15" width="6" bestFit="1" customWidth="1"/>
    <col min="16" max="16" width="14.21875" bestFit="1" customWidth="1"/>
    <col min="17" max="17" width="9" bestFit="1" customWidth="1"/>
    <col min="18" max="18" width="9.33203125" bestFit="1" customWidth="1"/>
    <col min="19" max="19" width="8.5546875" bestFit="1" customWidth="1"/>
    <col min="20" max="20" width="9.6640625" bestFit="1" customWidth="1"/>
    <col min="21" max="21" width="18.5546875" bestFit="1" customWidth="1"/>
    <col min="22" max="22" width="7.44140625" bestFit="1" customWidth="1"/>
    <col min="23" max="23" width="21.109375" bestFit="1" customWidth="1"/>
    <col min="24" max="24" width="30.109375" bestFit="1" customWidth="1"/>
    <col min="25" max="25" width="8.5546875" bestFit="1" customWidth="1"/>
    <col min="26" max="26" width="8.33203125" bestFit="1" customWidth="1"/>
    <col min="27" max="27" width="7.88671875" bestFit="1" customWidth="1"/>
    <col min="28" max="28" width="25" bestFit="1" customWidth="1"/>
    <col min="29" max="29" width="19.77734375" bestFit="1" customWidth="1"/>
    <col min="30" max="30" width="16.77734375" bestFit="1" customWidth="1"/>
    <col min="31" max="33" width="19.77734375" bestFit="1" customWidth="1"/>
    <col min="34" max="34" width="33.109375" bestFit="1" customWidth="1"/>
    <col min="35" max="35" width="27.44140625" bestFit="1" customWidth="1"/>
    <col min="36" max="36" width="10.88671875" bestFit="1" customWidth="1"/>
    <col min="37" max="37" width="16.109375" bestFit="1" customWidth="1"/>
    <col min="38" max="38" width="23.44140625" bestFit="1" customWidth="1"/>
    <col min="39" max="39" width="18" bestFit="1" customWidth="1"/>
    <col min="40" max="42" width="19" bestFit="1" customWidth="1"/>
    <col min="43" max="43" width="18.6640625" bestFit="1" customWidth="1"/>
    <col min="44" max="47" width="19" bestFit="1" customWidth="1"/>
    <col min="48" max="48" width="22.21875" bestFit="1" customWidth="1"/>
    <col min="49" max="49" width="23" bestFit="1" customWidth="1"/>
    <col min="50" max="50" width="22.21875" bestFit="1" customWidth="1"/>
    <col min="51" max="51" width="23" bestFit="1" customWidth="1"/>
    <col min="52" max="52" width="22.21875" bestFit="1" customWidth="1"/>
    <col min="53" max="53" width="23.44140625" bestFit="1" customWidth="1"/>
    <col min="54" max="55" width="25" bestFit="1" customWidth="1"/>
    <col min="56" max="56" width="15.5546875" bestFit="1" customWidth="1"/>
    <col min="57" max="57" width="16.77734375" bestFit="1" customWidth="1"/>
    <col min="58" max="58" width="21.109375" bestFit="1" customWidth="1"/>
    <col min="59" max="59" width="32.21875" bestFit="1" customWidth="1"/>
    <col min="60" max="60" width="29.109375" bestFit="1" customWidth="1"/>
    <col min="61" max="66" width="13.88671875" bestFit="1" customWidth="1"/>
    <col min="67" max="68" width="9.44140625" bestFit="1" customWidth="1"/>
    <col min="69" max="69" width="6.33203125" bestFit="1" customWidth="1"/>
    <col min="70" max="70" width="14.6640625" bestFit="1" customWidth="1"/>
    <col min="71" max="71" width="7.21875" bestFit="1" customWidth="1"/>
    <col min="72" max="72" width="13.44140625" bestFit="1" customWidth="1"/>
    <col min="73" max="73" width="7.88671875" bestFit="1" customWidth="1"/>
    <col min="74" max="74" width="11.88671875" bestFit="1" customWidth="1"/>
    <col min="75" max="75" width="7.21875" bestFit="1" customWidth="1"/>
    <col min="76" max="76" width="7.109375" bestFit="1" customWidth="1"/>
    <col min="77" max="77" width="15" bestFit="1" customWidth="1"/>
    <col min="78" max="78" width="11.88671875" bestFit="1" customWidth="1"/>
    <col min="79" max="80" width="13.5546875" bestFit="1" customWidth="1"/>
    <col min="81" max="81" width="22.6640625" bestFit="1" customWidth="1"/>
    <col min="82" max="83" width="9.77734375" bestFit="1" customWidth="1"/>
    <col min="84" max="84" width="9.44140625" bestFit="1" customWidth="1"/>
    <col min="85" max="85" width="11.6640625" bestFit="1" customWidth="1"/>
  </cols>
  <sheetData>
    <row r="1" spans="1:12" ht="19.5" x14ac:dyDescent="0.2">
      <c r="A1" s="279" t="s">
        <v>2206</v>
      </c>
      <c r="B1" s="280"/>
      <c r="C1" s="280"/>
      <c r="D1" s="280"/>
      <c r="E1" s="281"/>
      <c r="F1" s="213"/>
      <c r="G1" s="272">
        <f>COUNTIF(ActiveDirectoryComputers[Needs Upgrade], TRUE)</f>
        <v>56</v>
      </c>
      <c r="H1" s="272"/>
      <c r="K1" s="261" t="s">
        <v>6</v>
      </c>
      <c r="L1" t="s" vm="1">
        <v>2435</v>
      </c>
    </row>
    <row r="2" spans="1:12" x14ac:dyDescent="0.2">
      <c r="A2" t="s">
        <v>2207</v>
      </c>
      <c r="B2" t="s">
        <v>2208</v>
      </c>
      <c r="C2" t="s">
        <v>2209</v>
      </c>
      <c r="D2" t="s">
        <v>2210</v>
      </c>
      <c r="E2" t="s">
        <v>2211</v>
      </c>
      <c r="F2" t="s">
        <v>2439</v>
      </c>
      <c r="G2" s="76" t="s">
        <v>2428</v>
      </c>
      <c r="H2" s="76" t="s">
        <v>3409</v>
      </c>
      <c r="I2" t="s">
        <v>3800</v>
      </c>
    </row>
    <row r="3" spans="1:12" x14ac:dyDescent="0.2">
      <c r="A3" s="113" t="s">
        <v>334</v>
      </c>
      <c r="B3" s="113"/>
      <c r="C3" s="113" t="s">
        <v>2224</v>
      </c>
      <c r="D3" s="113" t="s">
        <v>2423</v>
      </c>
      <c r="E3" s="113"/>
      <c r="F3" s="113" t="s">
        <v>2505</v>
      </c>
      <c r="G3" s="113" t="b" cm="1">
        <f t="array" ref="G3">COntains(ActiveDirectoryComputers[[#This Row],[computer.operatingSystem]], "Pro")</f>
        <v>1</v>
      </c>
      <c r="H3" s="311" t="b">
        <v>1</v>
      </c>
      <c r="I3" s="312" t="b">
        <v>1</v>
      </c>
      <c r="J3" s="307"/>
      <c r="K3" s="258" t="s">
        <v>2429</v>
      </c>
      <c r="L3" s="1" t="s">
        <v>2431</v>
      </c>
    </row>
    <row r="4" spans="1:12" x14ac:dyDescent="0.2">
      <c r="A4" s="113" t="s">
        <v>394</v>
      </c>
      <c r="B4" s="113"/>
      <c r="C4" s="113" t="s">
        <v>2224</v>
      </c>
      <c r="D4" s="113" t="s">
        <v>2423</v>
      </c>
      <c r="E4" s="113"/>
      <c r="F4" s="113" t="s">
        <v>2506</v>
      </c>
      <c r="G4" s="113" t="b" cm="1">
        <f t="array" ref="G4">COntains(ActiveDirectoryComputers[[#This Row],[computer.operatingSystem]], "Pro")</f>
        <v>1</v>
      </c>
      <c r="H4" s="311" t="b">
        <v>0</v>
      </c>
      <c r="I4" s="312" t="b">
        <v>1</v>
      </c>
      <c r="J4" s="307"/>
      <c r="K4" s="154" t="s">
        <v>2213</v>
      </c>
      <c r="L4" s="151"/>
    </row>
    <row r="5" spans="1:12" x14ac:dyDescent="0.2">
      <c r="A5" s="113" t="s">
        <v>3662</v>
      </c>
      <c r="B5" s="113"/>
      <c r="C5" s="113" t="s">
        <v>2326</v>
      </c>
      <c r="D5" s="113" t="s">
        <v>2423</v>
      </c>
      <c r="E5" s="113"/>
      <c r="F5" s="113" t="s">
        <v>3663</v>
      </c>
      <c r="G5" s="113" t="b" cm="1">
        <f t="array" ref="G5">COntains(ActiveDirectoryComputers[[#This Row],[computer.operatingSystem]], "Pro")</f>
        <v>0</v>
      </c>
      <c r="H5" s="311" t="b">
        <v>1</v>
      </c>
      <c r="I5" s="312" t="b">
        <v>1</v>
      </c>
      <c r="J5" s="307"/>
      <c r="K5" s="259" t="s">
        <v>2214</v>
      </c>
      <c r="L5" s="151"/>
    </row>
    <row r="6" spans="1:12" x14ac:dyDescent="0.2">
      <c r="A6" s="113" t="s">
        <v>3334</v>
      </c>
      <c r="B6" s="113"/>
      <c r="C6" s="113" t="s">
        <v>2326</v>
      </c>
      <c r="D6" s="113" t="s">
        <v>2423</v>
      </c>
      <c r="E6" s="113"/>
      <c r="F6" s="113" t="s">
        <v>3664</v>
      </c>
      <c r="G6" s="113" t="b" cm="1">
        <f t="array" ref="G6">COntains(ActiveDirectoryComputers[[#This Row],[computer.operatingSystem]], "Pro")</f>
        <v>0</v>
      </c>
      <c r="H6" s="311" t="b">
        <v>1</v>
      </c>
      <c r="I6" s="312" t="b">
        <v>1</v>
      </c>
      <c r="J6" s="307"/>
      <c r="K6" s="260" t="s">
        <v>1227</v>
      </c>
      <c r="L6" s="151">
        <v>1</v>
      </c>
    </row>
    <row r="7" spans="1:12" x14ac:dyDescent="0.2">
      <c r="A7" s="113" t="s">
        <v>3335</v>
      </c>
      <c r="B7" s="113"/>
      <c r="C7" s="113" t="s">
        <v>2326</v>
      </c>
      <c r="D7" s="113" t="s">
        <v>2423</v>
      </c>
      <c r="E7" s="113"/>
      <c r="F7" s="113" t="s">
        <v>3336</v>
      </c>
      <c r="G7" s="113" t="b" cm="1">
        <f t="array" ref="G7">COntains(ActiveDirectoryComputers[[#This Row],[computer.operatingSystem]], "Pro")</f>
        <v>0</v>
      </c>
      <c r="H7" s="311" t="b">
        <v>1</v>
      </c>
      <c r="I7" s="312" t="b">
        <v>1</v>
      </c>
      <c r="J7" s="307"/>
      <c r="K7" s="260" t="s">
        <v>464</v>
      </c>
      <c r="L7" s="151">
        <v>1</v>
      </c>
    </row>
    <row r="8" spans="1:12" x14ac:dyDescent="0.2">
      <c r="A8" s="113" t="s">
        <v>3337</v>
      </c>
      <c r="B8" s="113"/>
      <c r="C8" s="113" t="s">
        <v>2326</v>
      </c>
      <c r="D8" s="113" t="s">
        <v>2423</v>
      </c>
      <c r="E8" s="113"/>
      <c r="F8" s="113" t="s">
        <v>3665</v>
      </c>
      <c r="G8" s="113" t="b" cm="1">
        <f t="array" ref="G8">COntains(ActiveDirectoryComputers[[#This Row],[computer.operatingSystem]], "Pro")</f>
        <v>0</v>
      </c>
      <c r="H8" s="311" t="b">
        <v>1</v>
      </c>
      <c r="I8" s="312" t="b">
        <v>1</v>
      </c>
      <c r="J8" s="307"/>
      <c r="K8" s="260" t="s">
        <v>472</v>
      </c>
      <c r="L8" s="151">
        <v>1</v>
      </c>
    </row>
    <row r="9" spans="1:12" x14ac:dyDescent="0.2">
      <c r="A9" s="113" t="s">
        <v>3338</v>
      </c>
      <c r="B9" s="113"/>
      <c r="C9" s="113" t="s">
        <v>2326</v>
      </c>
      <c r="D9" s="113" t="s">
        <v>2423</v>
      </c>
      <c r="E9" s="113"/>
      <c r="F9" s="113" t="s">
        <v>3339</v>
      </c>
      <c r="G9" s="113" t="b" cm="1">
        <f t="array" ref="G9">COntains(ActiveDirectoryComputers[[#This Row],[computer.operatingSystem]], "Pro")</f>
        <v>0</v>
      </c>
      <c r="H9" s="311" t="b">
        <v>1</v>
      </c>
      <c r="I9" s="312" t="b">
        <v>1</v>
      </c>
      <c r="J9" s="307"/>
      <c r="K9" s="260" t="s">
        <v>476</v>
      </c>
      <c r="L9" s="151">
        <v>1</v>
      </c>
    </row>
    <row r="10" spans="1:12" x14ac:dyDescent="0.2">
      <c r="A10" s="113" t="s">
        <v>3342</v>
      </c>
      <c r="B10" s="113"/>
      <c r="C10" s="113" t="s">
        <v>2326</v>
      </c>
      <c r="D10" s="113" t="s">
        <v>2423</v>
      </c>
      <c r="E10" s="113"/>
      <c r="F10" s="113" t="s">
        <v>3343</v>
      </c>
      <c r="G10" s="113" t="b" cm="1">
        <f t="array" ref="G10">COntains(ActiveDirectoryComputers[[#This Row],[computer.operatingSystem]], "Pro")</f>
        <v>0</v>
      </c>
      <c r="H10" s="311" t="b">
        <v>1</v>
      </c>
      <c r="I10" s="312" t="b">
        <v>1</v>
      </c>
      <c r="J10" s="307"/>
      <c r="K10" s="260" t="s">
        <v>485</v>
      </c>
      <c r="L10" s="151">
        <v>1</v>
      </c>
    </row>
    <row r="11" spans="1:12" x14ac:dyDescent="0.2">
      <c r="A11" s="113" t="s">
        <v>3344</v>
      </c>
      <c r="B11" s="113"/>
      <c r="C11" s="113" t="s">
        <v>2326</v>
      </c>
      <c r="D11" s="113" t="s">
        <v>2423</v>
      </c>
      <c r="E11" s="113"/>
      <c r="F11" s="113" t="s">
        <v>3666</v>
      </c>
      <c r="G11" s="113" t="b" cm="1">
        <f t="array" ref="G11">COntains(ActiveDirectoryComputers[[#This Row],[computer.operatingSystem]], "Pro")</f>
        <v>0</v>
      </c>
      <c r="H11" s="311" t="b">
        <v>1</v>
      </c>
      <c r="I11" s="312" t="b">
        <v>1</v>
      </c>
      <c r="J11" s="307"/>
      <c r="K11" s="260" t="s">
        <v>795</v>
      </c>
      <c r="L11" s="151">
        <v>1</v>
      </c>
    </row>
    <row r="12" spans="1:12" x14ac:dyDescent="0.2">
      <c r="A12" s="113" t="s">
        <v>3345</v>
      </c>
      <c r="B12" s="113"/>
      <c r="C12" s="113" t="s">
        <v>2326</v>
      </c>
      <c r="D12" s="113" t="s">
        <v>2423</v>
      </c>
      <c r="E12" s="113"/>
      <c r="F12" s="113" t="s">
        <v>3346</v>
      </c>
      <c r="G12" s="113" t="b" cm="1">
        <f t="array" ref="G12">COntains(ActiveDirectoryComputers[[#This Row],[computer.operatingSystem]], "Pro")</f>
        <v>0</v>
      </c>
      <c r="H12" s="311" t="b">
        <v>1</v>
      </c>
      <c r="I12" s="312" t="b">
        <v>1</v>
      </c>
      <c r="J12" s="307"/>
      <c r="K12" s="260" t="s">
        <v>420</v>
      </c>
      <c r="L12" s="151">
        <v>1</v>
      </c>
    </row>
    <row r="13" spans="1:12" x14ac:dyDescent="0.2">
      <c r="A13" s="113" t="s">
        <v>3347</v>
      </c>
      <c r="B13" s="113"/>
      <c r="C13" s="113" t="s">
        <v>2326</v>
      </c>
      <c r="D13" s="113" t="s">
        <v>2423</v>
      </c>
      <c r="E13" s="113"/>
      <c r="F13" s="113" t="s">
        <v>3348</v>
      </c>
      <c r="G13" s="113" t="b" cm="1">
        <f t="array" ref="G13">COntains(ActiveDirectoryComputers[[#This Row],[computer.operatingSystem]], "Pro")</f>
        <v>0</v>
      </c>
      <c r="H13" s="311" t="b">
        <v>1</v>
      </c>
      <c r="I13" s="312" t="b">
        <v>1</v>
      </c>
      <c r="J13" s="307"/>
      <c r="K13" s="260" t="s">
        <v>1372</v>
      </c>
      <c r="L13" s="151">
        <v>1</v>
      </c>
    </row>
    <row r="14" spans="1:12" x14ac:dyDescent="0.2">
      <c r="A14" s="331" t="s">
        <v>3349</v>
      </c>
      <c r="B14" s="331"/>
      <c r="C14" s="331" t="s">
        <v>2326</v>
      </c>
      <c r="D14" s="331" t="s">
        <v>2423</v>
      </c>
      <c r="E14" s="331"/>
      <c r="F14" s="331" t="s">
        <v>3350</v>
      </c>
      <c r="G14" s="113" t="b" cm="1">
        <f t="array" ref="G14">COntains(ActiveDirectoryComputers[[#This Row],[computer.operatingSystem]], "Pro")</f>
        <v>0</v>
      </c>
      <c r="H14" s="311" t="b">
        <v>1</v>
      </c>
      <c r="I14" s="339" t="b">
        <v>1</v>
      </c>
      <c r="J14" s="307"/>
      <c r="K14" s="260" t="s">
        <v>1438</v>
      </c>
      <c r="L14" s="151">
        <v>1</v>
      </c>
    </row>
    <row r="15" spans="1:12" x14ac:dyDescent="0.2">
      <c r="A15" s="331" t="s">
        <v>3351</v>
      </c>
      <c r="B15" s="331"/>
      <c r="C15" s="331" t="s">
        <v>2326</v>
      </c>
      <c r="D15" s="331" t="s">
        <v>2423</v>
      </c>
      <c r="E15" s="331"/>
      <c r="F15" s="331" t="s">
        <v>3352</v>
      </c>
      <c r="G15" s="113" t="b" cm="1">
        <f t="array" ref="G15">COntains(ActiveDirectoryComputers[[#This Row],[computer.operatingSystem]], "Pro")</f>
        <v>0</v>
      </c>
      <c r="H15" s="311" t="b">
        <v>1</v>
      </c>
      <c r="I15" s="339" t="b">
        <v>1</v>
      </c>
      <c r="J15" s="307"/>
      <c r="K15" s="260" t="s">
        <v>1461</v>
      </c>
      <c r="L15" s="151">
        <v>1</v>
      </c>
    </row>
    <row r="16" spans="1:12" x14ac:dyDescent="0.2">
      <c r="A16" s="331" t="s">
        <v>3353</v>
      </c>
      <c r="B16" s="331"/>
      <c r="C16" s="331" t="s">
        <v>2326</v>
      </c>
      <c r="D16" s="331" t="s">
        <v>2423</v>
      </c>
      <c r="E16" s="331"/>
      <c r="F16" s="331" t="s">
        <v>3354</v>
      </c>
      <c r="G16" s="113" t="b" cm="1">
        <f t="array" ref="G16">COntains(ActiveDirectoryComputers[[#This Row],[computer.operatingSystem]], "Pro")</f>
        <v>0</v>
      </c>
      <c r="H16" s="311" t="b">
        <v>1</v>
      </c>
      <c r="I16" s="339" t="b">
        <v>1</v>
      </c>
      <c r="J16" s="307"/>
      <c r="K16" s="260" t="s">
        <v>297</v>
      </c>
      <c r="L16" s="151">
        <v>1</v>
      </c>
    </row>
    <row r="17" spans="1:12" x14ac:dyDescent="0.2">
      <c r="A17" s="331" t="s">
        <v>3355</v>
      </c>
      <c r="B17" s="331"/>
      <c r="C17" s="331" t="s">
        <v>2326</v>
      </c>
      <c r="D17" s="331" t="s">
        <v>2423</v>
      </c>
      <c r="E17" s="331"/>
      <c r="F17" s="331" t="s">
        <v>3356</v>
      </c>
      <c r="G17" s="113" t="b" cm="1">
        <f t="array" ref="G17">COntains(ActiveDirectoryComputers[[#This Row],[computer.operatingSystem]], "Pro")</f>
        <v>0</v>
      </c>
      <c r="H17" s="311" t="b">
        <v>1</v>
      </c>
      <c r="I17" s="339" t="b">
        <v>1</v>
      </c>
      <c r="J17" s="307"/>
      <c r="K17" s="260" t="s">
        <v>1556</v>
      </c>
      <c r="L17" s="151">
        <v>1</v>
      </c>
    </row>
    <row r="18" spans="1:12" x14ac:dyDescent="0.2">
      <c r="A18" s="331" t="s">
        <v>3357</v>
      </c>
      <c r="B18" s="331"/>
      <c r="C18" s="331" t="s">
        <v>2326</v>
      </c>
      <c r="D18" s="331" t="s">
        <v>2423</v>
      </c>
      <c r="E18" s="331"/>
      <c r="F18" s="331" t="s">
        <v>3358</v>
      </c>
      <c r="G18" s="113" t="b" cm="1">
        <f t="array" ref="G18">COntains(ActiveDirectoryComputers[[#This Row],[computer.operatingSystem]], "Pro")</f>
        <v>0</v>
      </c>
      <c r="H18" s="311" t="b">
        <v>1</v>
      </c>
      <c r="I18" s="339" t="b">
        <v>1</v>
      </c>
      <c r="J18" s="307"/>
      <c r="K18" s="260" t="s">
        <v>1577</v>
      </c>
      <c r="L18" s="151">
        <v>1</v>
      </c>
    </row>
    <row r="19" spans="1:12" x14ac:dyDescent="0.2">
      <c r="A19" s="331" t="s">
        <v>3359</v>
      </c>
      <c r="B19" s="331"/>
      <c r="C19" s="331" t="s">
        <v>2326</v>
      </c>
      <c r="D19" s="331" t="s">
        <v>2423</v>
      </c>
      <c r="E19" s="331"/>
      <c r="F19" s="331" t="s">
        <v>3360</v>
      </c>
      <c r="G19" s="113" t="b" cm="1">
        <f t="array" ref="G19">COntains(ActiveDirectoryComputers[[#This Row],[computer.operatingSystem]], "Pro")</f>
        <v>0</v>
      </c>
      <c r="H19" s="311" t="b">
        <v>1</v>
      </c>
      <c r="I19" s="339" t="b">
        <v>1</v>
      </c>
      <c r="J19" s="307"/>
      <c r="K19" s="260" t="s">
        <v>1602</v>
      </c>
      <c r="L19" s="151">
        <v>1</v>
      </c>
    </row>
    <row r="20" spans="1:12" x14ac:dyDescent="0.2">
      <c r="A20" s="331" t="s">
        <v>3361</v>
      </c>
      <c r="B20" s="331"/>
      <c r="C20" s="331" t="s">
        <v>2326</v>
      </c>
      <c r="D20" s="331" t="s">
        <v>2423</v>
      </c>
      <c r="E20" s="331"/>
      <c r="F20" s="331" t="s">
        <v>3362</v>
      </c>
      <c r="G20" s="113" t="b" cm="1">
        <f t="array" ref="G20">COntains(ActiveDirectoryComputers[[#This Row],[computer.operatingSystem]], "Pro")</f>
        <v>0</v>
      </c>
      <c r="H20" s="311" t="b">
        <v>1</v>
      </c>
      <c r="I20" s="339" t="b">
        <v>1</v>
      </c>
      <c r="J20" s="307"/>
      <c r="K20" s="260" t="s">
        <v>1635</v>
      </c>
      <c r="L20" s="151">
        <v>1</v>
      </c>
    </row>
    <row r="21" spans="1:12" x14ac:dyDescent="0.2">
      <c r="A21" s="113" t="s">
        <v>3363</v>
      </c>
      <c r="B21" s="113"/>
      <c r="C21" s="113" t="s">
        <v>2326</v>
      </c>
      <c r="D21" s="113" t="s">
        <v>2423</v>
      </c>
      <c r="E21" s="113"/>
      <c r="F21" s="113" t="s">
        <v>3364</v>
      </c>
      <c r="G21" s="113" t="b" cm="1">
        <f t="array" ref="G21">COntains(ActiveDirectoryComputers[[#This Row],[computer.operatingSystem]], "Pro")</f>
        <v>0</v>
      </c>
      <c r="H21" s="311" t="b">
        <v>1</v>
      </c>
      <c r="I21" s="312" t="b">
        <v>1</v>
      </c>
      <c r="J21" s="307"/>
      <c r="K21" s="260" t="s">
        <v>1646</v>
      </c>
      <c r="L21" s="151">
        <v>1</v>
      </c>
    </row>
    <row r="22" spans="1:12" x14ac:dyDescent="0.2">
      <c r="A22" s="113" t="s">
        <v>3365</v>
      </c>
      <c r="B22" s="113"/>
      <c r="C22" s="113" t="s">
        <v>2326</v>
      </c>
      <c r="D22" s="113" t="s">
        <v>2423</v>
      </c>
      <c r="E22" s="113"/>
      <c r="F22" s="113" t="s">
        <v>3366</v>
      </c>
      <c r="G22" s="113" t="b" cm="1">
        <f t="array" ref="G22">COntains(ActiveDirectoryComputers[[#This Row],[computer.operatingSystem]], "Pro")</f>
        <v>0</v>
      </c>
      <c r="H22" s="311" t="b">
        <v>1</v>
      </c>
      <c r="I22" s="312" t="b">
        <v>1</v>
      </c>
      <c r="J22" s="307"/>
      <c r="K22" s="260" t="s">
        <v>1650</v>
      </c>
      <c r="L22" s="151">
        <v>1</v>
      </c>
    </row>
    <row r="23" spans="1:12" x14ac:dyDescent="0.2">
      <c r="A23" s="331" t="s">
        <v>3367</v>
      </c>
      <c r="B23" s="331"/>
      <c r="C23" s="331" t="s">
        <v>2326</v>
      </c>
      <c r="D23" s="331" t="s">
        <v>2423</v>
      </c>
      <c r="E23" s="331"/>
      <c r="F23" s="331" t="s">
        <v>3368</v>
      </c>
      <c r="G23" s="113" t="b" cm="1">
        <f t="array" ref="G23">COntains(ActiveDirectoryComputers[[#This Row],[computer.operatingSystem]], "Pro")</f>
        <v>0</v>
      </c>
      <c r="H23" s="311" t="b">
        <v>1</v>
      </c>
      <c r="I23" s="339" t="b">
        <v>1</v>
      </c>
      <c r="J23" s="307"/>
      <c r="K23" s="260" t="s">
        <v>1658</v>
      </c>
      <c r="L23" s="151">
        <v>1</v>
      </c>
    </row>
    <row r="24" spans="1:12" x14ac:dyDescent="0.2">
      <c r="A24" s="113" t="s">
        <v>3369</v>
      </c>
      <c r="B24" s="113"/>
      <c r="C24" s="113" t="s">
        <v>2326</v>
      </c>
      <c r="D24" s="113" t="s">
        <v>2423</v>
      </c>
      <c r="E24" s="113"/>
      <c r="F24" s="113" t="s">
        <v>3370</v>
      </c>
      <c r="G24" s="113" t="b" cm="1">
        <f t="array" ref="G24">COntains(ActiveDirectoryComputers[[#This Row],[computer.operatingSystem]], "Pro")</f>
        <v>0</v>
      </c>
      <c r="H24" s="311" t="b">
        <v>1</v>
      </c>
      <c r="I24" s="312" t="b">
        <v>1</v>
      </c>
      <c r="J24" s="307"/>
      <c r="K24" s="260" t="s">
        <v>1668</v>
      </c>
      <c r="L24" s="151">
        <v>1</v>
      </c>
    </row>
    <row r="25" spans="1:12" x14ac:dyDescent="0.2">
      <c r="A25" s="113" t="s">
        <v>3371</v>
      </c>
      <c r="B25" s="113"/>
      <c r="C25" s="113" t="s">
        <v>2326</v>
      </c>
      <c r="D25" s="113" t="s">
        <v>2423</v>
      </c>
      <c r="E25" s="113"/>
      <c r="F25" s="113" t="s">
        <v>3372</v>
      </c>
      <c r="G25" s="113" t="b" cm="1">
        <f t="array" ref="G25">COntains(ActiveDirectoryComputers[[#This Row],[computer.operatingSystem]], "Pro")</f>
        <v>0</v>
      </c>
      <c r="H25" s="311" t="b">
        <v>1</v>
      </c>
      <c r="I25" s="312" t="b">
        <v>1</v>
      </c>
      <c r="J25" s="307"/>
      <c r="K25" s="260" t="s">
        <v>512</v>
      </c>
      <c r="L25" s="151">
        <v>1</v>
      </c>
    </row>
    <row r="26" spans="1:12" x14ac:dyDescent="0.2">
      <c r="A26" s="113" t="s">
        <v>3373</v>
      </c>
      <c r="B26" s="113"/>
      <c r="C26" s="113" t="s">
        <v>2326</v>
      </c>
      <c r="D26" s="113" t="s">
        <v>2423</v>
      </c>
      <c r="E26" s="113"/>
      <c r="F26" s="113" t="s">
        <v>3374</v>
      </c>
      <c r="G26" s="113" t="b" cm="1">
        <f t="array" ref="G26">COntains(ActiveDirectoryComputers[[#This Row],[computer.operatingSystem]], "Pro")</f>
        <v>0</v>
      </c>
      <c r="H26" s="311" t="b">
        <v>1</v>
      </c>
      <c r="I26" s="312" t="b">
        <v>1</v>
      </c>
      <c r="J26" s="307"/>
      <c r="K26" s="260" t="s">
        <v>1683</v>
      </c>
      <c r="L26" s="151">
        <v>1</v>
      </c>
    </row>
    <row r="27" spans="1:12" x14ac:dyDescent="0.2">
      <c r="A27" s="113" t="s">
        <v>3375</v>
      </c>
      <c r="B27" s="113"/>
      <c r="C27" s="113" t="s">
        <v>2326</v>
      </c>
      <c r="D27" s="113" t="s">
        <v>2423</v>
      </c>
      <c r="E27" s="113"/>
      <c r="F27" s="113" t="s">
        <v>3376</v>
      </c>
      <c r="G27" s="113" t="b" cm="1">
        <f t="array" ref="G27">COntains(ActiveDirectoryComputers[[#This Row],[computer.operatingSystem]], "Pro")</f>
        <v>0</v>
      </c>
      <c r="H27" s="311" t="b">
        <v>1</v>
      </c>
      <c r="I27" s="312" t="b">
        <v>1</v>
      </c>
      <c r="J27" s="307"/>
      <c r="K27" s="260" t="s">
        <v>1685</v>
      </c>
      <c r="L27" s="151">
        <v>1</v>
      </c>
    </row>
    <row r="28" spans="1:12" x14ac:dyDescent="0.2">
      <c r="A28" s="113" t="s">
        <v>3618</v>
      </c>
      <c r="B28" s="113"/>
      <c r="C28" s="113" t="s">
        <v>2326</v>
      </c>
      <c r="D28" s="113" t="s">
        <v>2423</v>
      </c>
      <c r="E28" s="113"/>
      <c r="F28" s="113" t="s">
        <v>3619</v>
      </c>
      <c r="G28" s="113" t="b" cm="1">
        <f t="array" ref="G28">COntains(ActiveDirectoryComputers[[#This Row],[computer.operatingSystem]], "Pro")</f>
        <v>0</v>
      </c>
      <c r="H28" s="311" t="b">
        <v>1</v>
      </c>
      <c r="I28" s="312" t="b">
        <v>1</v>
      </c>
      <c r="J28" s="307"/>
      <c r="K28" s="260" t="s">
        <v>1707</v>
      </c>
      <c r="L28" s="151">
        <v>1</v>
      </c>
    </row>
    <row r="29" spans="1:12" x14ac:dyDescent="0.2">
      <c r="A29" s="331" t="s">
        <v>3632</v>
      </c>
      <c r="B29" s="331"/>
      <c r="C29" s="331" t="s">
        <v>2326</v>
      </c>
      <c r="D29" s="331" t="s">
        <v>2423</v>
      </c>
      <c r="E29" s="331"/>
      <c r="F29" s="331" t="s">
        <v>3633</v>
      </c>
      <c r="G29" s="113" t="b" cm="1">
        <f t="array" ref="G29">COntains(ActiveDirectoryComputers[[#This Row],[computer.operatingSystem]], "Pro")</f>
        <v>0</v>
      </c>
      <c r="H29" s="311" t="b">
        <v>1</v>
      </c>
      <c r="I29" s="339" t="b">
        <v>1</v>
      </c>
      <c r="J29" s="307"/>
      <c r="K29" s="260" t="s">
        <v>1740</v>
      </c>
      <c r="L29" s="151">
        <v>1</v>
      </c>
    </row>
    <row r="30" spans="1:12" x14ac:dyDescent="0.2">
      <c r="A30" s="331" t="s">
        <v>3634</v>
      </c>
      <c r="B30" s="331"/>
      <c r="C30" s="331" t="s">
        <v>2326</v>
      </c>
      <c r="D30" s="331" t="s">
        <v>2423</v>
      </c>
      <c r="E30" s="331"/>
      <c r="F30" s="331" t="s">
        <v>3635</v>
      </c>
      <c r="G30" s="113" t="b" cm="1">
        <f t="array" ref="G30">COntains(ActiveDirectoryComputers[[#This Row],[computer.operatingSystem]], "Pro")</f>
        <v>0</v>
      </c>
      <c r="H30" s="311" t="b">
        <v>1</v>
      </c>
      <c r="I30" s="339" t="b">
        <v>1</v>
      </c>
      <c r="J30" s="307"/>
      <c r="K30" s="260" t="s">
        <v>1777</v>
      </c>
      <c r="L30" s="151">
        <v>1</v>
      </c>
    </row>
    <row r="31" spans="1:12" x14ac:dyDescent="0.2">
      <c r="A31" s="331" t="s">
        <v>3636</v>
      </c>
      <c r="B31" s="331"/>
      <c r="C31" s="331" t="s">
        <v>2326</v>
      </c>
      <c r="D31" s="331" t="s">
        <v>2423</v>
      </c>
      <c r="E31" s="331"/>
      <c r="F31" s="331" t="s">
        <v>3637</v>
      </c>
      <c r="G31" s="113" t="b" cm="1">
        <f t="array" ref="G31">COntains(ActiveDirectoryComputers[[#This Row],[computer.operatingSystem]], "Pro")</f>
        <v>0</v>
      </c>
      <c r="H31" s="311" t="b">
        <v>1</v>
      </c>
      <c r="I31" s="339" t="b">
        <v>1</v>
      </c>
      <c r="J31" s="307"/>
      <c r="K31" s="260" t="s">
        <v>1793</v>
      </c>
      <c r="L31" s="151">
        <v>1</v>
      </c>
    </row>
    <row r="32" spans="1:12" x14ac:dyDescent="0.2">
      <c r="A32" s="113" t="s">
        <v>3638</v>
      </c>
      <c r="B32" s="113"/>
      <c r="C32" s="113" t="s">
        <v>2326</v>
      </c>
      <c r="D32" s="113" t="s">
        <v>2423</v>
      </c>
      <c r="E32" s="113"/>
      <c r="F32" s="113" t="s">
        <v>3639</v>
      </c>
      <c r="G32" s="113" t="b" cm="1">
        <f t="array" ref="G32">COntains(ActiveDirectoryComputers[[#This Row],[computer.operatingSystem]], "Pro")</f>
        <v>0</v>
      </c>
      <c r="H32" s="311" t="b">
        <v>1</v>
      </c>
      <c r="I32" s="312" t="b">
        <v>1</v>
      </c>
      <c r="J32" s="307"/>
      <c r="K32" s="259" t="s">
        <v>2434</v>
      </c>
      <c r="L32" s="151">
        <v>26</v>
      </c>
    </row>
    <row r="33" spans="1:12" x14ac:dyDescent="0.2">
      <c r="A33" s="113" t="s">
        <v>3640</v>
      </c>
      <c r="B33" s="113"/>
      <c r="C33" s="113" t="s">
        <v>2326</v>
      </c>
      <c r="D33" s="113" t="s">
        <v>2423</v>
      </c>
      <c r="E33" s="113"/>
      <c r="F33" s="113" t="s">
        <v>3641</v>
      </c>
      <c r="G33" s="113" t="b" cm="1">
        <f t="array" ref="G33">COntains(ActiveDirectoryComputers[[#This Row],[computer.operatingSystem]], "Pro")</f>
        <v>0</v>
      </c>
      <c r="H33" s="311" t="b">
        <v>1</v>
      </c>
      <c r="I33" s="339" t="b">
        <v>1</v>
      </c>
      <c r="J33" s="307"/>
      <c r="K33" s="154" t="s">
        <v>2436</v>
      </c>
      <c r="L33" s="151">
        <v>26</v>
      </c>
    </row>
    <row r="34" spans="1:12" x14ac:dyDescent="0.2">
      <c r="A34" s="331" t="s">
        <v>3642</v>
      </c>
      <c r="B34" s="331"/>
      <c r="C34" s="331" t="s">
        <v>2326</v>
      </c>
      <c r="D34" s="331" t="s">
        <v>2423</v>
      </c>
      <c r="E34" s="331"/>
      <c r="F34" s="331" t="s">
        <v>3643</v>
      </c>
      <c r="G34" s="113" t="b" cm="1">
        <f t="array" ref="G34">COntains(ActiveDirectoryComputers[[#This Row],[computer.operatingSystem]], "Pro")</f>
        <v>0</v>
      </c>
      <c r="H34" s="311" t="b">
        <v>1</v>
      </c>
      <c r="I34" s="339" t="b">
        <v>1</v>
      </c>
      <c r="J34" s="307"/>
      <c r="K34" s="154" t="s">
        <v>2219</v>
      </c>
      <c r="L34" s="151">
        <v>11</v>
      </c>
    </row>
    <row r="35" spans="1:12" x14ac:dyDescent="0.2">
      <c r="A35" s="331" t="s">
        <v>3644</v>
      </c>
      <c r="B35" s="331"/>
      <c r="C35" s="331" t="s">
        <v>2326</v>
      </c>
      <c r="D35" s="331" t="s">
        <v>2423</v>
      </c>
      <c r="E35" s="331"/>
      <c r="F35" s="331" t="s">
        <v>3645</v>
      </c>
      <c r="G35" s="113" t="b" cm="1">
        <f t="array" ref="G35">COntains(ActiveDirectoryComputers[[#This Row],[computer.operatingSystem]], "Pro")</f>
        <v>0</v>
      </c>
      <c r="H35" s="311" t="b">
        <v>1</v>
      </c>
      <c r="I35" s="339" t="b">
        <v>1</v>
      </c>
      <c r="J35" s="307"/>
      <c r="K35" s="154" t="s">
        <v>2225</v>
      </c>
      <c r="L35" s="151">
        <v>9</v>
      </c>
    </row>
    <row r="36" spans="1:12" x14ac:dyDescent="0.2">
      <c r="A36" s="113" t="s">
        <v>3620</v>
      </c>
      <c r="B36" s="113"/>
      <c r="C36" s="113" t="s">
        <v>2326</v>
      </c>
      <c r="D36" s="113" t="s">
        <v>2423</v>
      </c>
      <c r="E36" s="113"/>
      <c r="F36" s="113" t="s">
        <v>3621</v>
      </c>
      <c r="G36" s="113" t="b" cm="1">
        <f t="array" ref="G36">COntains(ActiveDirectoryComputers[[#This Row],[computer.operatingSystem]], "Pro")</f>
        <v>0</v>
      </c>
      <c r="H36" s="311" t="b">
        <v>1</v>
      </c>
      <c r="I36" s="339" t="b">
        <v>1</v>
      </c>
      <c r="J36" s="307"/>
      <c r="K36" s="154" t="s">
        <v>2252</v>
      </c>
      <c r="L36" s="151"/>
    </row>
    <row r="37" spans="1:12" x14ac:dyDescent="0.2">
      <c r="A37" s="331" t="s">
        <v>3646</v>
      </c>
      <c r="B37" s="331"/>
      <c r="C37" s="331" t="s">
        <v>2326</v>
      </c>
      <c r="D37" s="331" t="s">
        <v>2423</v>
      </c>
      <c r="E37" s="331"/>
      <c r="F37" s="331" t="s">
        <v>3647</v>
      </c>
      <c r="G37" s="113" t="b" cm="1">
        <f t="array" ref="G37">COntains(ActiveDirectoryComputers[[#This Row],[computer.operatingSystem]], "Pro")</f>
        <v>0</v>
      </c>
      <c r="H37" s="311" t="b">
        <v>1</v>
      </c>
      <c r="I37" s="339" t="b">
        <v>1</v>
      </c>
      <c r="J37" s="307"/>
      <c r="K37" s="259" t="s">
        <v>2302</v>
      </c>
      <c r="L37" s="151"/>
    </row>
    <row r="38" spans="1:12" x14ac:dyDescent="0.2">
      <c r="A38" s="113" t="s">
        <v>3667</v>
      </c>
      <c r="B38" s="113"/>
      <c r="C38" s="113" t="s">
        <v>2326</v>
      </c>
      <c r="D38" s="113" t="s">
        <v>2423</v>
      </c>
      <c r="E38" s="113"/>
      <c r="F38" s="113" t="s">
        <v>3668</v>
      </c>
      <c r="G38" s="113" t="b" cm="1">
        <f t="array" ref="G38">COntains(ActiveDirectoryComputers[[#This Row],[computer.operatingSystem]], "Pro")</f>
        <v>0</v>
      </c>
      <c r="H38" s="311" t="b">
        <v>1</v>
      </c>
      <c r="I38" s="339" t="b">
        <v>1</v>
      </c>
      <c r="J38" s="307"/>
      <c r="K38" s="260" t="s">
        <v>1566</v>
      </c>
      <c r="L38" s="151">
        <v>1</v>
      </c>
    </row>
    <row r="39" spans="1:12" x14ac:dyDescent="0.2">
      <c r="A39" s="113" t="s">
        <v>3669</v>
      </c>
      <c r="B39" s="113"/>
      <c r="C39" s="113" t="s">
        <v>2326</v>
      </c>
      <c r="D39" s="113" t="s">
        <v>2423</v>
      </c>
      <c r="E39" s="113"/>
      <c r="F39" s="113" t="s">
        <v>3670</v>
      </c>
      <c r="G39" s="113" t="b" cm="1">
        <f t="array" ref="G39">COntains(ActiveDirectoryComputers[[#This Row],[computer.operatingSystem]], "Pro")</f>
        <v>0</v>
      </c>
      <c r="H39" s="311" t="b">
        <v>1</v>
      </c>
      <c r="I39" s="339" t="b">
        <v>1</v>
      </c>
      <c r="J39" s="307"/>
      <c r="K39" s="259" t="s">
        <v>2432</v>
      </c>
      <c r="L39" s="151">
        <v>1</v>
      </c>
    </row>
    <row r="40" spans="1:12" x14ac:dyDescent="0.2">
      <c r="A40" s="113" t="s">
        <v>3671</v>
      </c>
      <c r="B40" s="113"/>
      <c r="C40" s="113" t="s">
        <v>2326</v>
      </c>
      <c r="D40" s="113" t="s">
        <v>2423</v>
      </c>
      <c r="E40" s="113"/>
      <c r="F40" s="113" t="s">
        <v>3672</v>
      </c>
      <c r="G40" s="113" t="b" cm="1">
        <f t="array" ref="G40">COntains(ActiveDirectoryComputers[[#This Row],[computer.operatingSystem]], "Pro")</f>
        <v>0</v>
      </c>
      <c r="H40" s="311" t="b">
        <v>1</v>
      </c>
      <c r="I40" s="339" t="b">
        <v>1</v>
      </c>
      <c r="J40" s="307"/>
      <c r="K40" s="259" t="s">
        <v>2231</v>
      </c>
      <c r="L40" s="151"/>
    </row>
    <row r="41" spans="1:12" x14ac:dyDescent="0.2">
      <c r="A41" s="113" t="s">
        <v>3673</v>
      </c>
      <c r="B41" s="113"/>
      <c r="C41" s="113" t="s">
        <v>2326</v>
      </c>
      <c r="D41" s="113" t="s">
        <v>2423</v>
      </c>
      <c r="E41" s="113"/>
      <c r="F41" s="113" t="s">
        <v>3674</v>
      </c>
      <c r="G41" s="113" t="b" cm="1">
        <f t="array" ref="G41">COntains(ActiveDirectoryComputers[[#This Row],[computer.operatingSystem]], "Pro")</f>
        <v>0</v>
      </c>
      <c r="H41" s="311" t="b">
        <v>1</v>
      </c>
      <c r="I41" s="339" t="b">
        <v>1</v>
      </c>
      <c r="J41" s="307"/>
      <c r="K41" s="260" t="s">
        <v>574</v>
      </c>
      <c r="L41" s="151">
        <v>1</v>
      </c>
    </row>
    <row r="42" spans="1:12" x14ac:dyDescent="0.2">
      <c r="A42" s="113" t="s">
        <v>3675</v>
      </c>
      <c r="B42" s="113"/>
      <c r="C42" s="113" t="s">
        <v>2326</v>
      </c>
      <c r="D42" s="113" t="s">
        <v>2423</v>
      </c>
      <c r="E42" s="113"/>
      <c r="F42" s="113" t="s">
        <v>3676</v>
      </c>
      <c r="G42" s="113" t="b" cm="1">
        <f t="array" ref="G42">COntains(ActiveDirectoryComputers[[#This Row],[computer.operatingSystem]], "Pro")</f>
        <v>0</v>
      </c>
      <c r="H42" s="311" t="b">
        <v>1</v>
      </c>
      <c r="I42" s="339" t="b">
        <v>1</v>
      </c>
      <c r="J42" s="307"/>
      <c r="K42" s="259" t="s">
        <v>2433</v>
      </c>
      <c r="L42" s="151">
        <v>1</v>
      </c>
    </row>
    <row r="43" spans="1:12" x14ac:dyDescent="0.2">
      <c r="A43" s="113" t="s">
        <v>3677</v>
      </c>
      <c r="B43" s="113"/>
      <c r="C43" s="113" t="s">
        <v>2326</v>
      </c>
      <c r="D43" s="113" t="s">
        <v>2423</v>
      </c>
      <c r="E43" s="113"/>
      <c r="F43" s="113" t="s">
        <v>3678</v>
      </c>
      <c r="G43" s="113" t="b" cm="1">
        <f t="array" ref="G43">COntains(ActiveDirectoryComputers[[#This Row],[computer.operatingSystem]], "Pro")</f>
        <v>0</v>
      </c>
      <c r="H43" s="311" t="b">
        <v>1</v>
      </c>
      <c r="I43" s="339" t="b">
        <v>1</v>
      </c>
      <c r="J43" s="307"/>
      <c r="K43" s="259" t="s">
        <v>2214</v>
      </c>
      <c r="L43" s="151"/>
    </row>
    <row r="44" spans="1:12" x14ac:dyDescent="0.2">
      <c r="A44" s="113" t="s">
        <v>3679</v>
      </c>
      <c r="B44" s="113"/>
      <c r="C44" s="113" t="s">
        <v>2326</v>
      </c>
      <c r="D44" s="113" t="s">
        <v>2423</v>
      </c>
      <c r="E44" s="113"/>
      <c r="F44" s="113" t="s">
        <v>3680</v>
      </c>
      <c r="G44" s="113" t="b" cm="1">
        <f t="array" ref="G44">COntains(ActiveDirectoryComputers[[#This Row],[computer.operatingSystem]], "Pro")</f>
        <v>0</v>
      </c>
      <c r="H44" s="311" t="b">
        <v>1</v>
      </c>
      <c r="I44" s="339" t="b">
        <v>1</v>
      </c>
      <c r="J44" s="307"/>
      <c r="K44" s="260" t="s">
        <v>539</v>
      </c>
      <c r="L44" s="151">
        <v>1</v>
      </c>
    </row>
    <row r="45" spans="1:12" x14ac:dyDescent="0.2">
      <c r="A45" s="113" t="s">
        <v>3681</v>
      </c>
      <c r="B45" s="113"/>
      <c r="C45" s="113" t="s">
        <v>2326</v>
      </c>
      <c r="D45" s="113" t="s">
        <v>2423</v>
      </c>
      <c r="E45" s="113"/>
      <c r="F45" s="113" t="s">
        <v>3682</v>
      </c>
      <c r="G45" s="113" t="b" cm="1">
        <f t="array" ref="G45">COntains(ActiveDirectoryComputers[[#This Row],[computer.operatingSystem]], "Pro")</f>
        <v>0</v>
      </c>
      <c r="H45" s="311" t="b">
        <v>1</v>
      </c>
      <c r="I45" s="339" t="b">
        <v>1</v>
      </c>
      <c r="J45" s="307"/>
      <c r="K45" s="260" t="s">
        <v>1595</v>
      </c>
      <c r="L45" s="151">
        <v>1</v>
      </c>
    </row>
    <row r="46" spans="1:12" x14ac:dyDescent="0.2">
      <c r="A46" s="113" t="s">
        <v>3683</v>
      </c>
      <c r="B46" s="113"/>
      <c r="C46" s="113" t="s">
        <v>2326</v>
      </c>
      <c r="D46" s="113" t="s">
        <v>2423</v>
      </c>
      <c r="E46" s="113"/>
      <c r="F46" s="113" t="s">
        <v>3684</v>
      </c>
      <c r="G46" s="113" t="b" cm="1">
        <f t="array" ref="G46">COntains(ActiveDirectoryComputers[[#This Row],[computer.operatingSystem]], "Pro")</f>
        <v>0</v>
      </c>
      <c r="H46" s="311" t="b">
        <v>1</v>
      </c>
      <c r="I46" s="312" t="b">
        <v>1</v>
      </c>
      <c r="J46" s="307"/>
      <c r="K46" s="260" t="s">
        <v>1631</v>
      </c>
      <c r="L46" s="151">
        <v>1</v>
      </c>
    </row>
    <row r="47" spans="1:12" x14ac:dyDescent="0.2">
      <c r="A47" s="113" t="s">
        <v>3685</v>
      </c>
      <c r="B47" s="113"/>
      <c r="C47" s="113" t="s">
        <v>2326</v>
      </c>
      <c r="D47" s="113" t="s">
        <v>2423</v>
      </c>
      <c r="E47" s="113"/>
      <c r="F47" s="113" t="s">
        <v>3686</v>
      </c>
      <c r="G47" s="113" t="b" cm="1">
        <f t="array" ref="G47">COntains(ActiveDirectoryComputers[[#This Row],[computer.operatingSystem]], "Pro")</f>
        <v>0</v>
      </c>
      <c r="H47" s="311" t="b">
        <v>1</v>
      </c>
      <c r="I47" s="312" t="b">
        <v>1</v>
      </c>
      <c r="J47" s="307"/>
      <c r="K47" s="260" t="s">
        <v>1718</v>
      </c>
      <c r="L47" s="151">
        <v>1</v>
      </c>
    </row>
    <row r="48" spans="1:12" x14ac:dyDescent="0.2">
      <c r="A48" s="113" t="s">
        <v>3687</v>
      </c>
      <c r="B48" s="113"/>
      <c r="C48" s="113" t="s">
        <v>2326</v>
      </c>
      <c r="D48" s="113" t="s">
        <v>2423</v>
      </c>
      <c r="E48" s="113"/>
      <c r="F48" s="113" t="s">
        <v>3688</v>
      </c>
      <c r="G48" s="113" t="b" cm="1">
        <f t="array" ref="G48">COntains(ActiveDirectoryComputers[[#This Row],[computer.operatingSystem]], "Pro")</f>
        <v>0</v>
      </c>
      <c r="H48" s="311" t="b">
        <v>1</v>
      </c>
      <c r="I48" s="312" t="b">
        <v>1</v>
      </c>
      <c r="J48" s="307"/>
      <c r="K48" s="260" t="s">
        <v>1099</v>
      </c>
      <c r="L48" s="151">
        <v>1</v>
      </c>
    </row>
    <row r="49" spans="1:12" x14ac:dyDescent="0.2">
      <c r="A49" s="113" t="s">
        <v>3689</v>
      </c>
      <c r="B49" s="113"/>
      <c r="C49" s="113" t="s">
        <v>2326</v>
      </c>
      <c r="D49" s="113" t="s">
        <v>2423</v>
      </c>
      <c r="E49" s="113"/>
      <c r="F49" s="113" t="s">
        <v>3690</v>
      </c>
      <c r="G49" s="113" t="b" cm="1">
        <f t="array" ref="G49">COntains(ActiveDirectoryComputers[[#This Row],[computer.operatingSystem]], "Pro")</f>
        <v>0</v>
      </c>
      <c r="H49" s="311" t="b">
        <v>1</v>
      </c>
      <c r="I49" s="312" t="b">
        <v>1</v>
      </c>
      <c r="J49" s="307"/>
      <c r="K49" s="260" t="s">
        <v>1788</v>
      </c>
      <c r="L49" s="151">
        <v>1</v>
      </c>
    </row>
    <row r="50" spans="1:12" x14ac:dyDescent="0.2">
      <c r="A50" s="113" t="s">
        <v>3691</v>
      </c>
      <c r="B50" s="113"/>
      <c r="C50" s="113" t="s">
        <v>2326</v>
      </c>
      <c r="D50" s="113" t="s">
        <v>2423</v>
      </c>
      <c r="E50" s="113"/>
      <c r="F50" s="113" t="s">
        <v>3692</v>
      </c>
      <c r="G50" s="113" t="b" cm="1">
        <f t="array" ref="G50">COntains(ActiveDirectoryComputers[[#This Row],[computer.operatingSystem]], "Pro")</f>
        <v>0</v>
      </c>
      <c r="H50" s="311" t="b">
        <v>1</v>
      </c>
      <c r="I50" s="312" t="b">
        <v>1</v>
      </c>
      <c r="J50" s="307"/>
      <c r="K50" s="259" t="s">
        <v>2434</v>
      </c>
      <c r="L50" s="151">
        <v>6</v>
      </c>
    </row>
    <row r="51" spans="1:12" x14ac:dyDescent="0.2">
      <c r="A51" s="113" t="s">
        <v>3693</v>
      </c>
      <c r="B51" s="113"/>
      <c r="C51" s="113" t="s">
        <v>2326</v>
      </c>
      <c r="D51" s="113" t="s">
        <v>2423</v>
      </c>
      <c r="E51" s="113"/>
      <c r="F51" s="113" t="s">
        <v>3694</v>
      </c>
      <c r="G51" s="113" t="b" cm="1">
        <f t="array" ref="G51">COntains(ActiveDirectoryComputers[[#This Row],[computer.operatingSystem]], "Pro")</f>
        <v>0</v>
      </c>
      <c r="H51" s="311" t="b">
        <v>1</v>
      </c>
      <c r="I51" s="339" t="b">
        <v>1</v>
      </c>
      <c r="J51" s="307"/>
      <c r="K51" s="154" t="s">
        <v>2437</v>
      </c>
      <c r="L51" s="151">
        <v>8</v>
      </c>
    </row>
    <row r="52" spans="1:12" x14ac:dyDescent="0.2">
      <c r="A52" s="113" t="s">
        <v>3695</v>
      </c>
      <c r="B52" s="113"/>
      <c r="C52" s="113" t="s">
        <v>2326</v>
      </c>
      <c r="D52" s="113" t="s">
        <v>2423</v>
      </c>
      <c r="E52" s="113"/>
      <c r="F52" s="113" t="s">
        <v>3696</v>
      </c>
      <c r="G52" s="113" t="b" cm="1">
        <f t="array" ref="G52">COntains(ActiveDirectoryComputers[[#This Row],[computer.operatingSystem]], "Pro")</f>
        <v>0</v>
      </c>
      <c r="H52" s="311" t="b">
        <v>1</v>
      </c>
      <c r="I52" s="339" t="b">
        <v>1</v>
      </c>
      <c r="J52" s="307"/>
      <c r="K52" s="154" t="s">
        <v>2216</v>
      </c>
      <c r="L52" s="151">
        <v>70</v>
      </c>
    </row>
    <row r="53" spans="1:12" x14ac:dyDescent="0.2">
      <c r="A53" s="113" t="s">
        <v>3697</v>
      </c>
      <c r="B53" s="113"/>
      <c r="C53" s="113" t="s">
        <v>2326</v>
      </c>
      <c r="D53" s="113" t="s">
        <v>2423</v>
      </c>
      <c r="E53" s="113"/>
      <c r="F53" s="113" t="s">
        <v>3698</v>
      </c>
      <c r="G53" s="113" t="b" cm="1">
        <f t="array" ref="G53">COntains(ActiveDirectoryComputers[[#This Row],[computer.operatingSystem]], "Pro")</f>
        <v>0</v>
      </c>
      <c r="H53" s="311" t="b">
        <v>1</v>
      </c>
      <c r="I53" s="339" t="b">
        <v>1</v>
      </c>
      <c r="J53" s="307"/>
      <c r="K53" s="154" t="s">
        <v>2326</v>
      </c>
      <c r="L53" s="151"/>
    </row>
    <row r="54" spans="1:12" x14ac:dyDescent="0.2">
      <c r="A54" s="113" t="s">
        <v>3699</v>
      </c>
      <c r="B54" s="113"/>
      <c r="C54" s="113" t="s">
        <v>2326</v>
      </c>
      <c r="D54" s="113" t="s">
        <v>2423</v>
      </c>
      <c r="E54" s="113"/>
      <c r="F54" s="113" t="s">
        <v>3700</v>
      </c>
      <c r="G54" s="113" t="b" cm="1">
        <f t="array" ref="G54">COntains(ActiveDirectoryComputers[[#This Row],[computer.operatingSystem]], "Pro")</f>
        <v>0</v>
      </c>
      <c r="H54" s="311" t="b">
        <v>1</v>
      </c>
      <c r="I54" s="339" t="b">
        <v>1</v>
      </c>
      <c r="J54" s="307"/>
      <c r="K54" s="259" t="s">
        <v>2217</v>
      </c>
      <c r="L54" s="151"/>
    </row>
    <row r="55" spans="1:12" x14ac:dyDescent="0.2">
      <c r="A55" s="113" t="s">
        <v>3701</v>
      </c>
      <c r="B55" s="113"/>
      <c r="C55" s="113" t="s">
        <v>2326</v>
      </c>
      <c r="D55" s="113" t="s">
        <v>2423</v>
      </c>
      <c r="E55" s="113"/>
      <c r="F55" s="113" t="s">
        <v>3702</v>
      </c>
      <c r="G55" s="113" t="b" cm="1">
        <f t="array" ref="G55">COntains(ActiveDirectoryComputers[[#This Row],[computer.operatingSystem]], "Pro")</f>
        <v>0</v>
      </c>
      <c r="H55" s="311" t="b">
        <v>1</v>
      </c>
      <c r="I55" s="339" t="b">
        <v>1</v>
      </c>
      <c r="J55" s="307"/>
      <c r="K55" s="260" t="s">
        <v>806</v>
      </c>
      <c r="L55" s="151">
        <v>1</v>
      </c>
    </row>
    <row r="56" spans="1:12" x14ac:dyDescent="0.2">
      <c r="A56" s="113" t="s">
        <v>3703</v>
      </c>
      <c r="B56" s="113"/>
      <c r="C56" s="113" t="s">
        <v>2326</v>
      </c>
      <c r="D56" s="113" t="s">
        <v>2423</v>
      </c>
      <c r="E56" s="113"/>
      <c r="F56" s="113" t="s">
        <v>3704</v>
      </c>
      <c r="G56" s="113" t="b" cm="1">
        <f t="array" ref="G56">COntains(ActiveDirectoryComputers[[#This Row],[computer.operatingSystem]], "Pro")</f>
        <v>0</v>
      </c>
      <c r="H56" s="311" t="b">
        <v>1</v>
      </c>
      <c r="I56" s="339" t="b">
        <v>1</v>
      </c>
      <c r="J56" s="307"/>
      <c r="K56" s="260" t="s">
        <v>838</v>
      </c>
      <c r="L56" s="151">
        <v>1</v>
      </c>
    </row>
    <row r="57" spans="1:12" x14ac:dyDescent="0.2">
      <c r="A57" s="113" t="s">
        <v>3705</v>
      </c>
      <c r="B57" s="113"/>
      <c r="C57" s="113" t="s">
        <v>2326</v>
      </c>
      <c r="D57" s="113" t="s">
        <v>2423</v>
      </c>
      <c r="E57" s="113"/>
      <c r="F57" s="113" t="s">
        <v>3706</v>
      </c>
      <c r="G57" s="113" t="b" cm="1">
        <f t="array" ref="G57">COntains(ActiveDirectoryComputers[[#This Row],[computer.operatingSystem]], "Pro")</f>
        <v>0</v>
      </c>
      <c r="H57" s="311" t="b">
        <v>1</v>
      </c>
      <c r="I57" s="339" t="b">
        <v>1</v>
      </c>
      <c r="J57" s="307"/>
      <c r="K57" s="260" t="s">
        <v>1882</v>
      </c>
      <c r="L57" s="151">
        <v>1</v>
      </c>
    </row>
    <row r="58" spans="1:12" x14ac:dyDescent="0.2">
      <c r="A58" s="113" t="s">
        <v>3707</v>
      </c>
      <c r="B58" s="113"/>
      <c r="C58" s="113" t="s">
        <v>2326</v>
      </c>
      <c r="D58" s="113" t="s">
        <v>2423</v>
      </c>
      <c r="E58" s="113"/>
      <c r="F58" s="113" t="s">
        <v>3708</v>
      </c>
      <c r="G58" s="113" t="b" cm="1">
        <f t="array" ref="G58">COntains(ActiveDirectoryComputers[[#This Row],[computer.operatingSystem]], "Pro")</f>
        <v>0</v>
      </c>
      <c r="H58" s="311" t="b">
        <v>1</v>
      </c>
      <c r="I58" s="339" t="b">
        <v>1</v>
      </c>
      <c r="J58" s="307"/>
      <c r="K58" s="260" t="s">
        <v>1224</v>
      </c>
      <c r="L58" s="151">
        <v>1</v>
      </c>
    </row>
    <row r="59" spans="1:12" x14ac:dyDescent="0.2">
      <c r="A59" s="113" t="s">
        <v>3709</v>
      </c>
      <c r="B59" s="113"/>
      <c r="C59" s="113" t="s">
        <v>2326</v>
      </c>
      <c r="D59" s="113" t="s">
        <v>2423</v>
      </c>
      <c r="E59" s="113"/>
      <c r="F59" s="113" t="s">
        <v>3710</v>
      </c>
      <c r="G59" s="113" t="b" cm="1">
        <f t="array" ref="G59">COntains(ActiveDirectoryComputers[[#This Row],[computer.operatingSystem]], "Pro")</f>
        <v>0</v>
      </c>
      <c r="H59" s="311" t="b">
        <v>1</v>
      </c>
      <c r="I59" s="312" t="b">
        <v>1</v>
      </c>
      <c r="J59" s="307"/>
      <c r="K59" s="260" t="s">
        <v>1089</v>
      </c>
      <c r="L59" s="151">
        <v>1</v>
      </c>
    </row>
    <row r="60" spans="1:12" x14ac:dyDescent="0.2">
      <c r="A60" s="113" t="s">
        <v>3711</v>
      </c>
      <c r="B60" s="113"/>
      <c r="C60" s="113" t="s">
        <v>2326</v>
      </c>
      <c r="D60" s="113" t="s">
        <v>2423</v>
      </c>
      <c r="E60" s="113"/>
      <c r="F60" s="113" t="s">
        <v>3712</v>
      </c>
      <c r="G60" s="113" t="b" cm="1">
        <f t="array" ref="G60">COntains(ActiveDirectoryComputers[[#This Row],[computer.operatingSystem]], "Pro")</f>
        <v>0</v>
      </c>
      <c r="H60" s="311" t="b">
        <v>1</v>
      </c>
      <c r="I60" s="312" t="b">
        <v>1</v>
      </c>
      <c r="J60" s="307"/>
      <c r="K60" s="259" t="s">
        <v>3613</v>
      </c>
      <c r="L60" s="151">
        <v>5</v>
      </c>
    </row>
    <row r="61" spans="1:12" x14ac:dyDescent="0.2">
      <c r="A61" s="318" t="s">
        <v>3713</v>
      </c>
      <c r="B61" s="318"/>
      <c r="C61" s="318" t="s">
        <v>2326</v>
      </c>
      <c r="D61" s="318" t="s">
        <v>2423</v>
      </c>
      <c r="E61" s="318"/>
      <c r="F61" s="318" t="s">
        <v>3714</v>
      </c>
      <c r="G61" s="113" t="b" cm="1">
        <f t="array" ref="G61">COntains(ActiveDirectoryComputers[[#This Row],[computer.operatingSystem]], "Pro")</f>
        <v>0</v>
      </c>
      <c r="H61" s="311" t="b">
        <v>1</v>
      </c>
      <c r="I61" s="326" t="b">
        <v>1</v>
      </c>
      <c r="J61" s="307"/>
      <c r="K61" s="259" t="s">
        <v>2423</v>
      </c>
      <c r="L61" s="151"/>
    </row>
    <row r="62" spans="1:12" x14ac:dyDescent="0.2">
      <c r="A62" s="318" t="s">
        <v>431</v>
      </c>
      <c r="B62" s="318"/>
      <c r="C62" s="318" t="s">
        <v>2326</v>
      </c>
      <c r="D62" s="318" t="s">
        <v>2423</v>
      </c>
      <c r="E62" s="318"/>
      <c r="F62" s="318" t="s">
        <v>2508</v>
      </c>
      <c r="G62" s="113" t="b" cm="1">
        <f t="array" ref="G62">COntains(ActiveDirectoryComputers[[#This Row],[computer.operatingSystem]], "Pro")</f>
        <v>0</v>
      </c>
      <c r="H62" s="311" t="b">
        <v>1</v>
      </c>
      <c r="I62" s="326" t="b">
        <v>1</v>
      </c>
      <c r="J62" s="307"/>
      <c r="K62" s="260" t="s">
        <v>3646</v>
      </c>
      <c r="L62" s="151">
        <v>1</v>
      </c>
    </row>
    <row r="63" spans="1:12" x14ac:dyDescent="0.2">
      <c r="A63" s="318" t="s">
        <v>437</v>
      </c>
      <c r="B63" s="318"/>
      <c r="C63" s="318" t="s">
        <v>2326</v>
      </c>
      <c r="D63" s="318" t="s">
        <v>2423</v>
      </c>
      <c r="E63" s="318"/>
      <c r="F63" s="318" t="s">
        <v>2510</v>
      </c>
      <c r="G63" s="113" t="b" cm="1">
        <f t="array" ref="G63">COntains(ActiveDirectoryComputers[[#This Row],[computer.operatingSystem]], "Pro")</f>
        <v>0</v>
      </c>
      <c r="H63" s="311" t="b">
        <v>1</v>
      </c>
      <c r="I63" s="326" t="b">
        <v>1</v>
      </c>
      <c r="J63" s="307"/>
      <c r="K63" s="260" t="s">
        <v>431</v>
      </c>
      <c r="L63" s="151">
        <v>1</v>
      </c>
    </row>
    <row r="64" spans="1:12" x14ac:dyDescent="0.2">
      <c r="A64" s="318" t="s">
        <v>570</v>
      </c>
      <c r="B64" s="318"/>
      <c r="C64" s="318" t="s">
        <v>2326</v>
      </c>
      <c r="D64" s="318" t="s">
        <v>2423</v>
      </c>
      <c r="E64" s="318"/>
      <c r="F64" s="318" t="s">
        <v>2511</v>
      </c>
      <c r="G64" s="113" t="b" cm="1">
        <f t="array" ref="G64">COntains(ActiveDirectoryComputers[[#This Row],[computer.operatingSystem]], "Pro")</f>
        <v>0</v>
      </c>
      <c r="H64" s="311" t="b">
        <v>1</v>
      </c>
      <c r="I64" s="326" t="b">
        <v>1</v>
      </c>
      <c r="J64" s="307"/>
      <c r="K64" s="260" t="s">
        <v>437</v>
      </c>
      <c r="L64" s="151">
        <v>1</v>
      </c>
    </row>
    <row r="65" spans="1:12" x14ac:dyDescent="0.2">
      <c r="A65" s="318" t="s">
        <v>2251</v>
      </c>
      <c r="B65" s="318"/>
      <c r="C65" s="318" t="s">
        <v>2326</v>
      </c>
      <c r="D65" s="318" t="s">
        <v>2423</v>
      </c>
      <c r="E65" s="318"/>
      <c r="F65" s="318" t="s">
        <v>2633</v>
      </c>
      <c r="G65" s="113" t="b" cm="1">
        <f t="array" ref="G65">COntains(ActiveDirectoryComputers[[#This Row],[computer.operatingSystem]], "Pro")</f>
        <v>0</v>
      </c>
      <c r="H65" s="311" t="b">
        <v>1</v>
      </c>
      <c r="I65" s="326" t="b">
        <v>1</v>
      </c>
      <c r="J65" s="307"/>
      <c r="K65" s="260" t="s">
        <v>1864</v>
      </c>
      <c r="L65" s="151">
        <v>1</v>
      </c>
    </row>
    <row r="66" spans="1:12" x14ac:dyDescent="0.2">
      <c r="A66" s="318" t="s">
        <v>3377</v>
      </c>
      <c r="B66" s="318"/>
      <c r="C66" s="318" t="s">
        <v>2326</v>
      </c>
      <c r="D66" s="318" t="s">
        <v>2423</v>
      </c>
      <c r="E66" s="318"/>
      <c r="F66" s="318" t="s">
        <v>3378</v>
      </c>
      <c r="G66" s="113" t="b" cm="1">
        <f t="array" ref="G66">COntains(ActiveDirectoryComputers[[#This Row],[computer.operatingSystem]], "Pro")</f>
        <v>0</v>
      </c>
      <c r="H66" s="311" t="b">
        <v>1</v>
      </c>
      <c r="I66" s="326" t="b">
        <v>1</v>
      </c>
      <c r="J66" s="307"/>
      <c r="K66" s="260" t="s">
        <v>570</v>
      </c>
      <c r="L66" s="151">
        <v>1</v>
      </c>
    </row>
    <row r="67" spans="1:12" x14ac:dyDescent="0.2">
      <c r="A67" s="318" t="s">
        <v>3379</v>
      </c>
      <c r="B67" s="318"/>
      <c r="C67" s="318" t="s">
        <v>2326</v>
      </c>
      <c r="D67" s="318" t="s">
        <v>2423</v>
      </c>
      <c r="E67" s="318"/>
      <c r="F67" s="318" t="s">
        <v>3380</v>
      </c>
      <c r="G67" s="113" t="b" cm="1">
        <f t="array" ref="G67">COntains(ActiveDirectoryComputers[[#This Row],[computer.operatingSystem]], "Pro")</f>
        <v>0</v>
      </c>
      <c r="H67" s="311" t="b">
        <v>1</v>
      </c>
      <c r="I67" s="326" t="b">
        <v>1</v>
      </c>
      <c r="J67" s="307"/>
      <c r="K67" s="259" t="s">
        <v>3614</v>
      </c>
      <c r="L67" s="151">
        <v>5</v>
      </c>
    </row>
    <row r="68" spans="1:12" x14ac:dyDescent="0.2">
      <c r="A68" s="344" t="s">
        <v>817</v>
      </c>
      <c r="B68" s="344"/>
      <c r="C68" s="344" t="s">
        <v>2224</v>
      </c>
      <c r="D68" s="344" t="s">
        <v>2423</v>
      </c>
      <c r="E68" s="344"/>
      <c r="F68" s="331" t="s">
        <v>2514</v>
      </c>
      <c r="G68" s="113" t="b" cm="1">
        <f t="array" ref="G68">COntains(ActiveDirectoryComputers[[#This Row],[computer.operatingSystem]], "Pro")</f>
        <v>1</v>
      </c>
      <c r="H68" s="311" t="b">
        <v>1</v>
      </c>
      <c r="I68" s="339" t="b">
        <v>1</v>
      </c>
      <c r="J68" s="307"/>
      <c r="K68" s="154" t="s">
        <v>3615</v>
      </c>
      <c r="L68" s="151">
        <v>10</v>
      </c>
    </row>
    <row r="69" spans="1:12" x14ac:dyDescent="0.2">
      <c r="A69" s="329" t="s">
        <v>2296</v>
      </c>
      <c r="B69" s="329"/>
      <c r="C69" s="329" t="s">
        <v>2216</v>
      </c>
      <c r="D69" s="329" t="s">
        <v>2423</v>
      </c>
      <c r="E69" s="329"/>
      <c r="F69" s="113" t="s">
        <v>2522</v>
      </c>
      <c r="G69" s="113" t="b" cm="1">
        <f t="array" ref="G69">COntains(ActiveDirectoryComputers[[#This Row],[computer.operatingSystem]], "Pro")</f>
        <v>0</v>
      </c>
      <c r="H69" s="311" t="b">
        <v>1</v>
      </c>
      <c r="I69" s="312" t="b">
        <v>1</v>
      </c>
      <c r="J69" s="307"/>
      <c r="K69" s="154" t="s">
        <v>2224</v>
      </c>
      <c r="L69" s="151">
        <v>50</v>
      </c>
    </row>
    <row r="70" spans="1:12" x14ac:dyDescent="0.2">
      <c r="A70" s="334" t="s">
        <v>3648</v>
      </c>
      <c r="B70" s="334"/>
      <c r="C70" s="334" t="s">
        <v>2326</v>
      </c>
      <c r="D70" s="334" t="s">
        <v>2423</v>
      </c>
      <c r="E70" s="334"/>
      <c r="F70" s="318" t="s">
        <v>3649</v>
      </c>
      <c r="G70" s="113" t="b" cm="1">
        <f t="array" ref="G70">COntains(ActiveDirectoryComputers[[#This Row],[computer.operatingSystem]], "Pro")</f>
        <v>0</v>
      </c>
      <c r="H70" s="311" t="b">
        <v>1</v>
      </c>
      <c r="I70" s="326" t="b">
        <v>1</v>
      </c>
      <c r="J70" s="307"/>
      <c r="K70" s="154" t="s">
        <v>2430</v>
      </c>
      <c r="L70" s="151">
        <v>184</v>
      </c>
    </row>
    <row r="71" spans="1:12" x14ac:dyDescent="0.2">
      <c r="A71" s="331" t="s">
        <v>2300</v>
      </c>
      <c r="B71" s="331"/>
      <c r="C71" s="331" t="s">
        <v>2216</v>
      </c>
      <c r="D71" s="331" t="s">
        <v>2423</v>
      </c>
      <c r="E71" s="331"/>
      <c r="F71" s="331" t="s">
        <v>2457</v>
      </c>
      <c r="G71" s="113" t="b" cm="1">
        <f t="array" ref="G71">COntains(ActiveDirectoryComputers[[#This Row],[computer.operatingSystem]], "Pro")</f>
        <v>0</v>
      </c>
      <c r="H71" s="311" t="b">
        <v>1</v>
      </c>
      <c r="I71" s="339" t="b">
        <v>1</v>
      </c>
    </row>
    <row r="72" spans="1:12" x14ac:dyDescent="0.2">
      <c r="A72" s="113" t="s">
        <v>3718</v>
      </c>
      <c r="B72" s="113"/>
      <c r="C72" s="113" t="s">
        <v>2216</v>
      </c>
      <c r="D72" s="113" t="s">
        <v>2423</v>
      </c>
      <c r="E72" s="113"/>
      <c r="F72" s="113" t="s">
        <v>3719</v>
      </c>
      <c r="G72" s="113" t="b" cm="1">
        <f t="array" ref="G72">COntains(ActiveDirectoryComputers[[#This Row],[computer.operatingSystem]], "Pro")</f>
        <v>0</v>
      </c>
      <c r="H72" s="311" t="b">
        <v>1</v>
      </c>
      <c r="I72" s="312" t="b">
        <v>1</v>
      </c>
      <c r="J72" s="307"/>
    </row>
    <row r="73" spans="1:12" x14ac:dyDescent="0.2">
      <c r="A73" s="113" t="s">
        <v>3384</v>
      </c>
      <c r="B73" s="113"/>
      <c r="C73" s="113" t="s">
        <v>2326</v>
      </c>
      <c r="D73" s="113" t="s">
        <v>2423</v>
      </c>
      <c r="E73" s="113"/>
      <c r="F73" s="113" t="s">
        <v>3385</v>
      </c>
      <c r="G73" s="113" t="b" cm="1">
        <f t="array" ref="G73">COntains(ActiveDirectoryComputers[[#This Row],[computer.operatingSystem]], "Pro")</f>
        <v>0</v>
      </c>
      <c r="H73" s="311" t="b">
        <v>1</v>
      </c>
      <c r="I73" s="312" t="b">
        <v>1</v>
      </c>
      <c r="J73" s="307"/>
    </row>
    <row r="74" spans="1:12" x14ac:dyDescent="0.2">
      <c r="A74" s="329" t="s">
        <v>1589</v>
      </c>
      <c r="B74" s="329"/>
      <c r="C74" s="329" t="s">
        <v>2216</v>
      </c>
      <c r="D74" s="329" t="s">
        <v>2423</v>
      </c>
      <c r="E74" s="329"/>
      <c r="F74" s="113" t="s">
        <v>2460</v>
      </c>
      <c r="G74" s="113" t="b" cm="1">
        <f t="array" ref="G74">COntains(ActiveDirectoryComputers[[#This Row],[computer.operatingSystem]], "Pro")</f>
        <v>0</v>
      </c>
      <c r="H74" s="311" t="b">
        <v>1</v>
      </c>
      <c r="I74" s="312" t="b">
        <v>1</v>
      </c>
      <c r="J74" s="307"/>
    </row>
    <row r="75" spans="1:12" x14ac:dyDescent="0.2">
      <c r="A75" s="344" t="s">
        <v>1595</v>
      </c>
      <c r="B75" s="344"/>
      <c r="C75" s="344" t="s">
        <v>2224</v>
      </c>
      <c r="D75" s="344" t="s">
        <v>2423</v>
      </c>
      <c r="E75" s="344"/>
      <c r="F75" s="331" t="s">
        <v>2530</v>
      </c>
      <c r="G75" s="113" t="b" cm="1">
        <f t="array" ref="G75">COntains(ActiveDirectoryComputers[[#This Row],[computer.operatingSystem]], "Pro")</f>
        <v>1</v>
      </c>
      <c r="H75" s="311" t="b">
        <v>1</v>
      </c>
      <c r="I75" s="339" t="b">
        <v>1</v>
      </c>
      <c r="J75" s="307"/>
    </row>
    <row r="76" spans="1:12" x14ac:dyDescent="0.2">
      <c r="A76" s="331" t="s">
        <v>1652</v>
      </c>
      <c r="B76" s="331"/>
      <c r="C76" s="331" t="s">
        <v>2216</v>
      </c>
      <c r="D76" s="331" t="s">
        <v>2423</v>
      </c>
      <c r="E76" s="331"/>
      <c r="F76" s="331" t="s">
        <v>2482</v>
      </c>
      <c r="G76" s="113" t="b" cm="1">
        <f t="array" ref="G76">COntains(ActiveDirectoryComputers[[#This Row],[computer.operatingSystem]], "Pro")</f>
        <v>0</v>
      </c>
      <c r="H76" s="311" t="b">
        <v>1</v>
      </c>
      <c r="I76" s="339" t="b">
        <v>1</v>
      </c>
      <c r="J76" s="307"/>
    </row>
    <row r="77" spans="1:12" x14ac:dyDescent="0.2">
      <c r="A77" s="318" t="s">
        <v>1657</v>
      </c>
      <c r="B77" s="318"/>
      <c r="C77" s="318" t="s">
        <v>2216</v>
      </c>
      <c r="D77" s="318" t="s">
        <v>2423</v>
      </c>
      <c r="E77" s="318"/>
      <c r="F77" s="318" t="s">
        <v>2485</v>
      </c>
      <c r="G77" s="113" t="b" cm="1">
        <f t="array" ref="G77">COntains(ActiveDirectoryComputers[[#This Row],[computer.operatingSystem]], "Pro")</f>
        <v>0</v>
      </c>
      <c r="H77" s="311" t="b">
        <v>1</v>
      </c>
      <c r="I77" s="326" t="b">
        <v>1</v>
      </c>
      <c r="J77" s="307"/>
    </row>
    <row r="78" spans="1:12" x14ac:dyDescent="0.2">
      <c r="A78" s="331" t="s">
        <v>1666</v>
      </c>
      <c r="B78" s="331"/>
      <c r="C78" s="331" t="s">
        <v>2216</v>
      </c>
      <c r="D78" s="331" t="s">
        <v>2423</v>
      </c>
      <c r="E78" s="331"/>
      <c r="F78" s="331" t="s">
        <v>2490</v>
      </c>
      <c r="G78" s="113" t="b" cm="1">
        <f t="array" ref="G78">COntains(ActiveDirectoryComputers[[#This Row],[computer.operatingSystem]], "Pro")</f>
        <v>0</v>
      </c>
      <c r="H78" s="311" t="b">
        <v>1</v>
      </c>
      <c r="I78" s="339" t="b">
        <v>1</v>
      </c>
      <c r="J78" s="307"/>
    </row>
    <row r="79" spans="1:12" x14ac:dyDescent="0.2">
      <c r="A79" s="318" t="s">
        <v>2321</v>
      </c>
      <c r="B79" s="318"/>
      <c r="C79" s="318" t="s">
        <v>2216</v>
      </c>
      <c r="D79" s="318" t="s">
        <v>2423</v>
      </c>
      <c r="E79" s="318"/>
      <c r="F79" s="318" t="s">
        <v>2493</v>
      </c>
      <c r="G79" s="113" t="b" cm="1">
        <f t="array" ref="G79">COntains(ActiveDirectoryComputers[[#This Row],[computer.operatingSystem]], "Pro")</f>
        <v>0</v>
      </c>
      <c r="H79" s="311" t="b">
        <v>1</v>
      </c>
      <c r="I79" s="326" t="b">
        <v>1</v>
      </c>
      <c r="J79" s="307"/>
    </row>
    <row r="80" spans="1:12" x14ac:dyDescent="0.2">
      <c r="A80" s="331" t="s">
        <v>3386</v>
      </c>
      <c r="B80" s="331"/>
      <c r="C80" s="331" t="s">
        <v>2224</v>
      </c>
      <c r="D80" s="331" t="s">
        <v>2423</v>
      </c>
      <c r="E80" s="331"/>
      <c r="F80" s="331" t="s">
        <v>3387</v>
      </c>
      <c r="G80" s="113" t="b" cm="1">
        <f t="array" ref="G80">COntains(ActiveDirectoryComputers[[#This Row],[computer.operatingSystem]], "Pro")</f>
        <v>1</v>
      </c>
      <c r="H80" s="311" t="b">
        <v>1</v>
      </c>
      <c r="I80" s="339" t="b">
        <v>1</v>
      </c>
      <c r="J80" s="307"/>
    </row>
    <row r="81" spans="1:10" x14ac:dyDescent="0.2">
      <c r="A81" s="331" t="s">
        <v>2324</v>
      </c>
      <c r="B81" s="331"/>
      <c r="C81" s="331" t="s">
        <v>2224</v>
      </c>
      <c r="D81" s="331" t="s">
        <v>2423</v>
      </c>
      <c r="E81" s="331"/>
      <c r="F81" s="331" t="s">
        <v>2539</v>
      </c>
      <c r="G81" s="113" t="b" cm="1">
        <f t="array" ref="G81">COntains(ActiveDirectoryComputers[[#This Row],[computer.operatingSystem]], "Pro")</f>
        <v>1</v>
      </c>
      <c r="H81" s="311" t="b">
        <v>1</v>
      </c>
      <c r="I81" s="339" t="b">
        <v>1</v>
      </c>
      <c r="J81" s="307"/>
    </row>
    <row r="82" spans="1:10" x14ac:dyDescent="0.2">
      <c r="A82" s="318" t="s">
        <v>2325</v>
      </c>
      <c r="B82" s="318"/>
      <c r="C82" s="318" t="s">
        <v>2326</v>
      </c>
      <c r="D82" s="318" t="s">
        <v>2423</v>
      </c>
      <c r="E82" s="318"/>
      <c r="F82" s="318" t="s">
        <v>2566</v>
      </c>
      <c r="G82" s="113" t="b" cm="1">
        <f t="array" ref="G82">COntains(ActiveDirectoryComputers[[#This Row],[computer.operatingSystem]], "Pro")</f>
        <v>0</v>
      </c>
      <c r="H82" s="311" t="b">
        <v>1</v>
      </c>
      <c r="I82" s="339" t="b">
        <v>1</v>
      </c>
      <c r="J82" s="307"/>
    </row>
    <row r="83" spans="1:10" x14ac:dyDescent="0.2">
      <c r="A83" s="318" t="s">
        <v>2327</v>
      </c>
      <c r="B83" s="318"/>
      <c r="C83" s="318" t="s">
        <v>2224</v>
      </c>
      <c r="D83" s="318" t="s">
        <v>2423</v>
      </c>
      <c r="E83" s="318"/>
      <c r="F83" s="318" t="s">
        <v>2540</v>
      </c>
      <c r="G83" s="113" t="b" cm="1">
        <f t="array" ref="G83">COntains(ActiveDirectoryComputers[[#This Row],[computer.operatingSystem]], "Pro")</f>
        <v>1</v>
      </c>
      <c r="H83" s="311" t="b">
        <v>1</v>
      </c>
      <c r="I83" s="312" t="b">
        <v>1</v>
      </c>
      <c r="J83" s="307"/>
    </row>
    <row r="84" spans="1:10" x14ac:dyDescent="0.2">
      <c r="A84" s="331" t="s">
        <v>2328</v>
      </c>
      <c r="B84" s="331"/>
      <c r="C84" s="331" t="s">
        <v>2326</v>
      </c>
      <c r="D84" s="331" t="s">
        <v>2423</v>
      </c>
      <c r="E84" s="331"/>
      <c r="F84" s="331" t="s">
        <v>2567</v>
      </c>
      <c r="G84" s="113" t="b" cm="1">
        <f t="array" ref="G84">COntains(ActiveDirectoryComputers[[#This Row],[computer.operatingSystem]], "Pro")</f>
        <v>0</v>
      </c>
      <c r="H84" s="311" t="b">
        <v>1</v>
      </c>
      <c r="I84" s="312" t="b">
        <v>1</v>
      </c>
      <c r="J84" s="307"/>
    </row>
    <row r="85" spans="1:10" x14ac:dyDescent="0.2">
      <c r="A85" s="318" t="s">
        <v>945</v>
      </c>
      <c r="B85" s="318"/>
      <c r="C85" s="318" t="s">
        <v>2216</v>
      </c>
      <c r="D85" s="318" t="s">
        <v>2423</v>
      </c>
      <c r="E85" s="318"/>
      <c r="F85" s="318" t="s">
        <v>2494</v>
      </c>
      <c r="G85" s="113" t="b" cm="1">
        <f t="array" ref="G85">COntains(ActiveDirectoryComputers[[#This Row],[computer.operatingSystem]], "Pro")</f>
        <v>0</v>
      </c>
      <c r="H85" s="311" t="b">
        <v>1</v>
      </c>
      <c r="I85" s="312" t="b">
        <v>1</v>
      </c>
      <c r="J85" s="307"/>
    </row>
    <row r="86" spans="1:10" x14ac:dyDescent="0.2">
      <c r="A86" s="113" t="s">
        <v>1685</v>
      </c>
      <c r="B86" s="113"/>
      <c r="C86" s="113" t="s">
        <v>2326</v>
      </c>
      <c r="D86" s="113" t="s">
        <v>2423</v>
      </c>
      <c r="E86" s="113"/>
      <c r="F86" s="113" t="s">
        <v>2543</v>
      </c>
      <c r="G86" s="113" t="b" cm="1">
        <f t="array" ref="G86">COntains(ActiveDirectoryComputers[[#This Row],[computer.operatingSystem]], "Pro")</f>
        <v>0</v>
      </c>
      <c r="H86" s="311" t="b">
        <v>1</v>
      </c>
      <c r="I86" s="312" t="b">
        <v>1</v>
      </c>
      <c r="J86" s="307"/>
    </row>
    <row r="87" spans="1:10" x14ac:dyDescent="0.2">
      <c r="A87" s="113" t="s">
        <v>2345</v>
      </c>
      <c r="B87" s="113"/>
      <c r="C87" s="113" t="s">
        <v>2224</v>
      </c>
      <c r="D87" s="113" t="s">
        <v>2423</v>
      </c>
      <c r="E87" s="113"/>
      <c r="F87" s="113" t="s">
        <v>2545</v>
      </c>
      <c r="G87" s="113" t="b" cm="1">
        <f t="array" ref="G87">COntains(ActiveDirectoryComputers[[#This Row],[computer.operatingSystem]], "Pro")</f>
        <v>1</v>
      </c>
      <c r="H87" s="311" t="b">
        <v>1</v>
      </c>
      <c r="I87" s="312" t="b">
        <v>1</v>
      </c>
      <c r="J87" s="307"/>
    </row>
    <row r="88" spans="1:10" x14ac:dyDescent="0.2">
      <c r="A88" s="113" t="s">
        <v>989</v>
      </c>
      <c r="B88" s="113"/>
      <c r="C88" s="113" t="s">
        <v>2224</v>
      </c>
      <c r="D88" s="113" t="s">
        <v>2423</v>
      </c>
      <c r="E88" s="113"/>
      <c r="F88" s="113" t="s">
        <v>2548</v>
      </c>
      <c r="G88" s="113" t="b" cm="1">
        <f t="array" ref="G88">COntains(ActiveDirectoryComputers[[#This Row],[computer.operatingSystem]], "Pro")</f>
        <v>1</v>
      </c>
      <c r="H88" s="311" t="b">
        <v>1</v>
      </c>
      <c r="I88" s="312" t="b">
        <v>1</v>
      </c>
      <c r="J88" s="307"/>
    </row>
    <row r="89" spans="1:10" x14ac:dyDescent="0.2">
      <c r="A89" s="113" t="s">
        <v>993</v>
      </c>
      <c r="B89" s="113"/>
      <c r="C89" s="113" t="s">
        <v>2224</v>
      </c>
      <c r="D89" s="113" t="s">
        <v>2423</v>
      </c>
      <c r="E89" s="113"/>
      <c r="F89" s="113" t="s">
        <v>2549</v>
      </c>
      <c r="G89" s="113" t="b" cm="1">
        <f t="array" ref="G89">COntains(ActiveDirectoryComputers[[#This Row],[computer.operatingSystem]], "Pro")</f>
        <v>1</v>
      </c>
      <c r="H89" s="311" t="b">
        <v>1</v>
      </c>
      <c r="I89" s="312" t="b">
        <v>1</v>
      </c>
      <c r="J89" s="307"/>
    </row>
    <row r="90" spans="1:10" x14ac:dyDescent="0.2">
      <c r="A90" s="113" t="s">
        <v>999</v>
      </c>
      <c r="B90" s="113"/>
      <c r="C90" s="113" t="s">
        <v>2224</v>
      </c>
      <c r="D90" s="113" t="s">
        <v>2423</v>
      </c>
      <c r="E90" s="113"/>
      <c r="F90" s="113" t="s">
        <v>2550</v>
      </c>
      <c r="G90" s="113" t="b" cm="1">
        <f t="array" ref="G90">COntains(ActiveDirectoryComputers[[#This Row],[computer.operatingSystem]], "Pro")</f>
        <v>1</v>
      </c>
      <c r="H90" s="311" t="b">
        <v>1</v>
      </c>
      <c r="I90" s="312" t="b">
        <v>1</v>
      </c>
      <c r="J90" s="307"/>
    </row>
    <row r="91" spans="1:10" x14ac:dyDescent="0.2">
      <c r="A91" s="113" t="s">
        <v>3715</v>
      </c>
      <c r="B91" s="113"/>
      <c r="C91" s="113" t="s">
        <v>2326</v>
      </c>
      <c r="D91" s="113" t="s">
        <v>2423</v>
      </c>
      <c r="E91" s="113"/>
      <c r="F91" s="113" t="s">
        <v>3716</v>
      </c>
      <c r="G91" s="113" t="b" cm="1">
        <f t="array" ref="G91">COntains(ActiveDirectoryComputers[[#This Row],[computer.operatingSystem]], "Pro")</f>
        <v>0</v>
      </c>
      <c r="H91" s="311" t="b">
        <v>1</v>
      </c>
      <c r="I91" s="312" t="b">
        <v>1</v>
      </c>
      <c r="J91" s="307"/>
    </row>
    <row r="92" spans="1:10" x14ac:dyDescent="0.2">
      <c r="A92" s="331" t="s">
        <v>3650</v>
      </c>
      <c r="B92" s="331"/>
      <c r="C92" s="331" t="s">
        <v>2326</v>
      </c>
      <c r="D92" s="331" t="s">
        <v>2423</v>
      </c>
      <c r="E92" s="331"/>
      <c r="F92" s="331" t="s">
        <v>3717</v>
      </c>
      <c r="G92" s="113" t="b" cm="1">
        <f t="array" ref="G92">COntains(ActiveDirectoryComputers[[#This Row],[computer.operatingSystem]], "Pro")</f>
        <v>0</v>
      </c>
      <c r="H92" s="311" t="b">
        <v>1</v>
      </c>
      <c r="I92" s="312" t="b">
        <v>1</v>
      </c>
      <c r="J92" s="307"/>
    </row>
    <row r="93" spans="1:10" x14ac:dyDescent="0.2">
      <c r="A93" s="331" t="s">
        <v>3651</v>
      </c>
      <c r="B93" s="331"/>
      <c r="C93" s="331" t="s">
        <v>2326</v>
      </c>
      <c r="D93" s="331" t="s">
        <v>2423</v>
      </c>
      <c r="E93" s="331"/>
      <c r="F93" s="331" t="s">
        <v>3652</v>
      </c>
      <c r="G93" s="113" t="b" cm="1">
        <f t="array" ref="G93">COntains(ActiveDirectoryComputers[[#This Row],[computer.operatingSystem]], "Pro")</f>
        <v>0</v>
      </c>
      <c r="H93" s="311" t="b">
        <v>1</v>
      </c>
      <c r="I93" s="339" t="b">
        <v>1</v>
      </c>
      <c r="J93" s="307"/>
    </row>
    <row r="94" spans="1:10" x14ac:dyDescent="0.2">
      <c r="A94" s="118" t="s">
        <v>3720</v>
      </c>
      <c r="B94" s="118"/>
      <c r="C94" s="118" t="s">
        <v>2216</v>
      </c>
      <c r="D94" s="118" t="s">
        <v>2217</v>
      </c>
      <c r="E94" s="118"/>
      <c r="F94" s="118" t="s">
        <v>3721</v>
      </c>
      <c r="G94" s="118" t="b" cm="1">
        <f t="array" ref="G94">COntains(ActiveDirectoryComputers[[#This Row],[computer.operatingSystem]], "Pro")</f>
        <v>0</v>
      </c>
      <c r="H94" s="309" t="b">
        <v>0</v>
      </c>
      <c r="I94" s="310" t="b">
        <v>1</v>
      </c>
      <c r="J94" s="307"/>
    </row>
    <row r="95" spans="1:10" x14ac:dyDescent="0.2">
      <c r="A95" s="267" t="s">
        <v>3340</v>
      </c>
      <c r="B95" s="267"/>
      <c r="C95" s="267" t="s">
        <v>2326</v>
      </c>
      <c r="D95" s="267" t="s">
        <v>2217</v>
      </c>
      <c r="E95" s="267"/>
      <c r="F95" s="118" t="s">
        <v>3341</v>
      </c>
      <c r="G95" s="118" t="b" cm="1">
        <f t="array" ref="G95">COntains(ActiveDirectoryComputers[[#This Row],[computer.operatingSystem]], "Pro")</f>
        <v>0</v>
      </c>
      <c r="H95" s="309" t="b">
        <v>0</v>
      </c>
      <c r="I95" s="310" t="b">
        <v>1</v>
      </c>
      <c r="J95" s="307"/>
    </row>
    <row r="96" spans="1:10" x14ac:dyDescent="0.2">
      <c r="A96" s="330" t="s">
        <v>3722</v>
      </c>
      <c r="B96" s="330"/>
      <c r="C96" s="330" t="s">
        <v>2326</v>
      </c>
      <c r="D96" s="330" t="s">
        <v>2217</v>
      </c>
      <c r="E96" s="330"/>
      <c r="F96" s="330" t="s">
        <v>3723</v>
      </c>
      <c r="G96" s="118" t="b" cm="1">
        <f t="array" ref="G96">COntains(ActiveDirectoryComputers[[#This Row],[computer.operatingSystem]], "Pro")</f>
        <v>0</v>
      </c>
      <c r="H96" s="309" t="b">
        <v>0</v>
      </c>
      <c r="I96" s="336" t="b">
        <v>1</v>
      </c>
      <c r="J96" s="307"/>
    </row>
    <row r="97" spans="1:10" x14ac:dyDescent="0.2">
      <c r="A97" s="267" t="s">
        <v>2238</v>
      </c>
      <c r="B97" s="267"/>
      <c r="C97" s="267" t="s">
        <v>2216</v>
      </c>
      <c r="D97" s="267" t="s">
        <v>2217</v>
      </c>
      <c r="E97" s="267"/>
      <c r="F97" s="118" t="s">
        <v>2442</v>
      </c>
      <c r="G97" s="118" t="b" cm="1">
        <f t="array" ref="G97">COntains(ActiveDirectoryComputers[[#This Row],[computer.operatingSystem]], "Pro")</f>
        <v>0</v>
      </c>
      <c r="H97" s="309" t="b">
        <v>0</v>
      </c>
      <c r="I97" s="310" t="b">
        <v>1</v>
      </c>
      <c r="J97" s="307"/>
    </row>
    <row r="98" spans="1:10" x14ac:dyDescent="0.2">
      <c r="A98" s="118" t="s">
        <v>2241</v>
      </c>
      <c r="B98" s="118"/>
      <c r="C98" s="118" t="s">
        <v>2216</v>
      </c>
      <c r="D98" s="118" t="s">
        <v>2217</v>
      </c>
      <c r="E98" s="118"/>
      <c r="F98" s="118" t="s">
        <v>3724</v>
      </c>
      <c r="G98" s="118" t="b" cm="1">
        <f t="array" ref="G98">COntains(ActiveDirectoryComputers[[#This Row],[computer.operatingSystem]], "Pro")</f>
        <v>0</v>
      </c>
      <c r="H98" s="309" t="b">
        <v>0</v>
      </c>
      <c r="I98" s="310" t="b">
        <v>1</v>
      </c>
      <c r="J98" s="307"/>
    </row>
    <row r="99" spans="1:10" x14ac:dyDescent="0.2">
      <c r="A99" s="330" t="s">
        <v>1865</v>
      </c>
      <c r="B99" s="330"/>
      <c r="C99" s="330" t="s">
        <v>2224</v>
      </c>
      <c r="D99" s="330" t="s">
        <v>2217</v>
      </c>
      <c r="E99" s="330"/>
      <c r="F99" s="330" t="s">
        <v>2512</v>
      </c>
      <c r="G99" s="118" t="b" cm="1">
        <f t="array" ref="G99">COntains(ActiveDirectoryComputers[[#This Row],[computer.operatingSystem]], "Pro")</f>
        <v>1</v>
      </c>
      <c r="H99" s="309" t="b">
        <v>0</v>
      </c>
      <c r="I99" s="310" t="b">
        <v>1</v>
      </c>
      <c r="J99" s="307"/>
    </row>
    <row r="100" spans="1:10" x14ac:dyDescent="0.2">
      <c r="A100" s="330" t="s">
        <v>2250</v>
      </c>
      <c r="B100" s="330"/>
      <c r="C100" s="330" t="s">
        <v>2216</v>
      </c>
      <c r="D100" s="330" t="s">
        <v>2217</v>
      </c>
      <c r="E100" s="330"/>
      <c r="F100" s="330" t="s">
        <v>2443</v>
      </c>
      <c r="G100" s="118" t="b" cm="1">
        <f t="array" ref="G100">COntains(ActiveDirectoryComputers[[#This Row],[computer.operatingSystem]], "Pro")</f>
        <v>0</v>
      </c>
      <c r="H100" s="309" t="b">
        <v>0</v>
      </c>
      <c r="I100" s="310" t="b">
        <v>1</v>
      </c>
      <c r="J100" s="307"/>
    </row>
    <row r="101" spans="1:10" x14ac:dyDescent="0.2">
      <c r="A101" s="330" t="s">
        <v>1868</v>
      </c>
      <c r="B101" s="330"/>
      <c r="C101" s="330" t="s">
        <v>2216</v>
      </c>
      <c r="D101" s="330" t="s">
        <v>2217</v>
      </c>
      <c r="E101" s="330"/>
      <c r="F101" s="330" t="s">
        <v>2444</v>
      </c>
      <c r="G101" s="118" t="b" cm="1">
        <f t="array" ref="G101">COntains(ActiveDirectoryComputers[[#This Row],[computer.operatingSystem]], "Pro")</f>
        <v>0</v>
      </c>
      <c r="H101" s="309" t="b">
        <v>0</v>
      </c>
      <c r="I101" s="310" t="b">
        <v>1</v>
      </c>
      <c r="J101" s="307"/>
    </row>
    <row r="102" spans="1:10" x14ac:dyDescent="0.2">
      <c r="A102" s="330" t="s">
        <v>3622</v>
      </c>
      <c r="B102" s="330"/>
      <c r="C102" s="330" t="s">
        <v>2326</v>
      </c>
      <c r="D102" s="330" t="s">
        <v>2217</v>
      </c>
      <c r="E102" s="330"/>
      <c r="F102" s="330" t="s">
        <v>3725</v>
      </c>
      <c r="G102" s="118" t="b" cm="1">
        <f t="array" ref="G102">COntains(ActiveDirectoryComputers[[#This Row],[computer.operatingSystem]], "Pro")</f>
        <v>0</v>
      </c>
      <c r="H102" s="309" t="b">
        <v>0</v>
      </c>
      <c r="I102" s="327" t="b">
        <v>1</v>
      </c>
      <c r="J102" s="307"/>
    </row>
    <row r="103" spans="1:10" x14ac:dyDescent="0.2">
      <c r="A103" s="330" t="s">
        <v>2280</v>
      </c>
      <c r="B103" s="330"/>
      <c r="C103" s="330" t="s">
        <v>2216</v>
      </c>
      <c r="D103" s="330" t="s">
        <v>2217</v>
      </c>
      <c r="E103" s="330"/>
      <c r="F103" s="330" t="s">
        <v>2447</v>
      </c>
      <c r="G103" s="118" t="b" cm="1">
        <f t="array" ref="G103">COntains(ActiveDirectoryComputers[[#This Row],[computer.operatingSystem]], "Pro")</f>
        <v>0</v>
      </c>
      <c r="H103" s="309" t="b">
        <v>0</v>
      </c>
      <c r="I103" s="327" t="b">
        <v>1</v>
      </c>
      <c r="J103" s="307"/>
    </row>
    <row r="104" spans="1:10" x14ac:dyDescent="0.2">
      <c r="A104" s="330" t="s">
        <v>2285</v>
      </c>
      <c r="B104" s="330"/>
      <c r="C104" s="330" t="s">
        <v>2216</v>
      </c>
      <c r="D104" s="330" t="s">
        <v>2217</v>
      </c>
      <c r="E104" s="330"/>
      <c r="F104" s="330" t="s">
        <v>2449</v>
      </c>
      <c r="G104" s="118" t="b" cm="1">
        <f t="array" ref="G104">COntains(ActiveDirectoryComputers[[#This Row],[computer.operatingSystem]], "Pro")</f>
        <v>0</v>
      </c>
      <c r="H104" s="309" t="b">
        <v>0</v>
      </c>
      <c r="I104" s="327" t="b">
        <v>1</v>
      </c>
      <c r="J104" s="307"/>
    </row>
    <row r="105" spans="1:10" x14ac:dyDescent="0.2">
      <c r="A105" s="343" t="s">
        <v>2288</v>
      </c>
      <c r="B105" s="343"/>
      <c r="C105" s="343" t="s">
        <v>2216</v>
      </c>
      <c r="D105" s="343" t="s">
        <v>2217</v>
      </c>
      <c r="E105" s="343"/>
      <c r="F105" s="330" t="s">
        <v>2450</v>
      </c>
      <c r="G105" s="118" t="b" cm="1">
        <f t="array" ref="G105">COntains(ActiveDirectoryComputers[[#This Row],[computer.operatingSystem]], "Pro")</f>
        <v>0</v>
      </c>
      <c r="H105" s="309" t="b">
        <v>0</v>
      </c>
      <c r="I105" s="327" t="b">
        <v>1</v>
      </c>
      <c r="J105" s="307"/>
    </row>
    <row r="106" spans="1:10" x14ac:dyDescent="0.2">
      <c r="A106" s="330" t="s">
        <v>2290</v>
      </c>
      <c r="B106" s="330"/>
      <c r="C106" s="330" t="s">
        <v>2216</v>
      </c>
      <c r="D106" s="330" t="s">
        <v>2217</v>
      </c>
      <c r="E106" s="330"/>
      <c r="F106" s="330" t="s">
        <v>2451</v>
      </c>
      <c r="G106" s="118" t="b" cm="1">
        <f t="array" ref="G106">COntains(ActiveDirectoryComputers[[#This Row],[computer.operatingSystem]], "Pro")</f>
        <v>0</v>
      </c>
      <c r="H106" s="309" t="b">
        <v>0</v>
      </c>
      <c r="I106" s="327" t="b">
        <v>1</v>
      </c>
      <c r="J106" s="307"/>
    </row>
    <row r="107" spans="1:10" x14ac:dyDescent="0.2">
      <c r="A107" s="118" t="s">
        <v>2293</v>
      </c>
      <c r="B107" s="118"/>
      <c r="C107" s="118" t="s">
        <v>2216</v>
      </c>
      <c r="D107" s="118" t="s">
        <v>2217</v>
      </c>
      <c r="E107" s="118"/>
      <c r="F107" s="118" t="s">
        <v>2453</v>
      </c>
      <c r="G107" s="118" t="b" cm="1">
        <f t="array" ref="G107">COntains(ActiveDirectoryComputers[[#This Row],[computer.operatingSystem]], "Pro")</f>
        <v>0</v>
      </c>
      <c r="H107" s="309" t="b">
        <v>0</v>
      </c>
      <c r="I107" s="310" t="b">
        <v>1</v>
      </c>
      <c r="J107" s="307"/>
    </row>
    <row r="108" spans="1:10" x14ac:dyDescent="0.2">
      <c r="A108" s="343" t="s">
        <v>2294</v>
      </c>
      <c r="B108" s="343"/>
      <c r="C108" s="343" t="s">
        <v>2216</v>
      </c>
      <c r="D108" s="343" t="s">
        <v>2217</v>
      </c>
      <c r="E108" s="343"/>
      <c r="F108" s="330" t="s">
        <v>2454</v>
      </c>
      <c r="G108" s="118" t="b" cm="1">
        <f t="array" ref="G108">COntains(ActiveDirectoryComputers[[#This Row],[computer.operatingSystem]], "Pro")</f>
        <v>0</v>
      </c>
      <c r="H108" s="309" t="b">
        <v>0</v>
      </c>
      <c r="I108" s="310" t="b">
        <v>1</v>
      </c>
      <c r="J108" s="307"/>
    </row>
    <row r="109" spans="1:10" x14ac:dyDescent="0.2">
      <c r="A109" s="330" t="s">
        <v>2297</v>
      </c>
      <c r="B109" s="330"/>
      <c r="C109" s="330" t="s">
        <v>2216</v>
      </c>
      <c r="D109" s="330" t="s">
        <v>2217</v>
      </c>
      <c r="E109" s="330"/>
      <c r="F109" s="330" t="s">
        <v>2455</v>
      </c>
      <c r="G109" s="118" t="b" cm="1">
        <f t="array" ref="G109">COntains(ActiveDirectoryComputers[[#This Row],[computer.operatingSystem]], "Pro")</f>
        <v>0</v>
      </c>
      <c r="H109" s="309" t="b">
        <v>0</v>
      </c>
      <c r="I109" s="327" t="b">
        <v>1</v>
      </c>
      <c r="J109" s="307"/>
    </row>
    <row r="110" spans="1:10" x14ac:dyDescent="0.2">
      <c r="A110" s="320" t="s">
        <v>1880</v>
      </c>
      <c r="B110" s="320"/>
      <c r="C110" s="320" t="s">
        <v>2216</v>
      </c>
      <c r="D110" s="320" t="s">
        <v>2217</v>
      </c>
      <c r="E110" s="320"/>
      <c r="F110" s="320" t="s">
        <v>2456</v>
      </c>
      <c r="G110" s="118" t="b" cm="1">
        <f t="array" ref="G110">COntains(ActiveDirectoryComputers[[#This Row],[computer.operatingSystem]], "Pro")</f>
        <v>0</v>
      </c>
      <c r="H110" s="309" t="b">
        <v>0</v>
      </c>
      <c r="I110" s="327" t="b">
        <v>1</v>
      </c>
      <c r="J110" s="307"/>
    </row>
    <row r="111" spans="1:10" x14ac:dyDescent="0.2">
      <c r="A111" s="323" t="s">
        <v>3726</v>
      </c>
      <c r="B111" s="323"/>
      <c r="C111" s="323" t="s">
        <v>2216</v>
      </c>
      <c r="D111" s="323" t="s">
        <v>2217</v>
      </c>
      <c r="E111" s="323"/>
      <c r="F111" s="323" t="s">
        <v>3727</v>
      </c>
      <c r="G111" s="267" t="b" cm="1">
        <f t="array" ref="G111">COntains(ActiveDirectoryComputers[[#This Row],[computer.operatingSystem]], "Pro")</f>
        <v>0</v>
      </c>
      <c r="H111" s="351" t="b">
        <v>0</v>
      </c>
      <c r="I111" s="353" t="b">
        <v>1</v>
      </c>
      <c r="J111" s="307"/>
    </row>
    <row r="112" spans="1:10" x14ac:dyDescent="0.2">
      <c r="A112" s="330" t="s">
        <v>1556</v>
      </c>
      <c r="B112" s="330"/>
      <c r="C112" s="330" t="s">
        <v>2216</v>
      </c>
      <c r="D112" s="330" t="s">
        <v>2217</v>
      </c>
      <c r="E112" s="330"/>
      <c r="F112" s="330" t="s">
        <v>2524</v>
      </c>
      <c r="G112" s="118" t="b" cm="1">
        <f t="array" ref="G112">COntains(ActiveDirectoryComputers[[#This Row],[computer.operatingSystem]], "Pro")</f>
        <v>0</v>
      </c>
      <c r="H112" s="309" t="b">
        <v>0</v>
      </c>
      <c r="I112" s="327" t="b">
        <v>1</v>
      </c>
      <c r="J112" s="307"/>
    </row>
    <row r="113" spans="1:10" x14ac:dyDescent="0.2">
      <c r="A113" s="330" t="s">
        <v>1882</v>
      </c>
      <c r="B113" s="330"/>
      <c r="C113" s="330" t="s">
        <v>2326</v>
      </c>
      <c r="D113" s="330" t="s">
        <v>2217</v>
      </c>
      <c r="E113" s="330"/>
      <c r="F113" s="330" t="s">
        <v>2525</v>
      </c>
      <c r="G113" s="118" t="b" cm="1">
        <f t="array" ref="G113">COntains(ActiveDirectoryComputers[[#This Row],[computer.operatingSystem]], "Pro")</f>
        <v>0</v>
      </c>
      <c r="H113" s="309" t="b">
        <v>0</v>
      </c>
      <c r="I113" s="336" t="b">
        <v>1</v>
      </c>
      <c r="J113" s="307"/>
    </row>
    <row r="114" spans="1:10" x14ac:dyDescent="0.2">
      <c r="A114" s="323" t="s">
        <v>1586</v>
      </c>
      <c r="B114" s="323"/>
      <c r="C114" s="323" t="s">
        <v>2216</v>
      </c>
      <c r="D114" s="323" t="s">
        <v>2217</v>
      </c>
      <c r="E114" s="323"/>
      <c r="F114" s="320" t="s">
        <v>2458</v>
      </c>
      <c r="G114" s="118" t="b" cm="1">
        <f t="array" ref="G114">COntains(ActiveDirectoryComputers[[#This Row],[computer.operatingSystem]], "Pro")</f>
        <v>0</v>
      </c>
      <c r="H114" s="309" t="b">
        <v>0</v>
      </c>
      <c r="I114" s="327" t="b">
        <v>1</v>
      </c>
      <c r="J114" s="307"/>
    </row>
    <row r="115" spans="1:10" x14ac:dyDescent="0.2">
      <c r="A115" s="323" t="s">
        <v>1587</v>
      </c>
      <c r="B115" s="323"/>
      <c r="C115" s="323" t="s">
        <v>2216</v>
      </c>
      <c r="D115" s="323" t="s">
        <v>2217</v>
      </c>
      <c r="E115" s="323"/>
      <c r="F115" s="320" t="s">
        <v>2459</v>
      </c>
      <c r="G115" s="118" t="b" cm="1">
        <f t="array" ref="G115">COntains(ActiveDirectoryComputers[[#This Row],[computer.operatingSystem]], "Pro")</f>
        <v>0</v>
      </c>
      <c r="H115" s="309" t="b">
        <v>0</v>
      </c>
      <c r="I115" s="327" t="b">
        <v>1</v>
      </c>
      <c r="J115" s="307"/>
    </row>
    <row r="116" spans="1:10" x14ac:dyDescent="0.2">
      <c r="A116" s="320" t="s">
        <v>1598</v>
      </c>
      <c r="B116" s="320"/>
      <c r="C116" s="320" t="s">
        <v>2216</v>
      </c>
      <c r="D116" s="320" t="s">
        <v>2217</v>
      </c>
      <c r="E116" s="320"/>
      <c r="F116" s="320" t="s">
        <v>2462</v>
      </c>
      <c r="G116" s="118" t="b" cm="1">
        <f t="array" ref="G116">COntains(ActiveDirectoryComputers[[#This Row],[computer.operatingSystem]], "Pro")</f>
        <v>0</v>
      </c>
      <c r="H116" s="309" t="b">
        <v>0</v>
      </c>
      <c r="I116" s="327" t="b">
        <v>1</v>
      </c>
      <c r="J116" s="307"/>
    </row>
    <row r="117" spans="1:10" x14ac:dyDescent="0.2">
      <c r="A117" s="323" t="s">
        <v>1599</v>
      </c>
      <c r="B117" s="323"/>
      <c r="C117" s="323" t="s">
        <v>2216</v>
      </c>
      <c r="D117" s="323" t="s">
        <v>2217</v>
      </c>
      <c r="E117" s="323"/>
      <c r="F117" s="320" t="s">
        <v>2463</v>
      </c>
      <c r="G117" s="118" t="b" cm="1">
        <f t="array" ref="G117">COntains(ActiveDirectoryComputers[[#This Row],[computer.operatingSystem]], "Pro")</f>
        <v>0</v>
      </c>
      <c r="H117" s="309" t="b">
        <v>0</v>
      </c>
      <c r="I117" s="310" t="b">
        <v>1</v>
      </c>
      <c r="J117" s="307"/>
    </row>
    <row r="118" spans="1:10" x14ac:dyDescent="0.2">
      <c r="A118" s="320" t="s">
        <v>1603</v>
      </c>
      <c r="B118" s="320"/>
      <c r="C118" s="320" t="s">
        <v>2216</v>
      </c>
      <c r="D118" s="320" t="s">
        <v>2217</v>
      </c>
      <c r="E118" s="320"/>
      <c r="F118" s="320" t="s">
        <v>2464</v>
      </c>
      <c r="G118" s="118" t="b" cm="1">
        <f t="array" ref="G118">COntains(ActiveDirectoryComputers[[#This Row],[computer.operatingSystem]], "Pro")</f>
        <v>0</v>
      </c>
      <c r="H118" s="309" t="b">
        <v>0</v>
      </c>
      <c r="I118" s="336" t="b">
        <v>1</v>
      </c>
      <c r="J118" s="307"/>
    </row>
    <row r="119" spans="1:10" x14ac:dyDescent="0.2">
      <c r="A119" s="343" t="s">
        <v>1606</v>
      </c>
      <c r="B119" s="343"/>
      <c r="C119" s="343" t="s">
        <v>2216</v>
      </c>
      <c r="D119" s="343" t="s">
        <v>2217</v>
      </c>
      <c r="E119" s="343"/>
      <c r="F119" s="330" t="s">
        <v>2465</v>
      </c>
      <c r="G119" s="118" t="b" cm="1">
        <f t="array" ref="G119">COntains(ActiveDirectoryComputers[[#This Row],[computer.operatingSystem]], "Pro")</f>
        <v>0</v>
      </c>
      <c r="H119" s="309" t="b">
        <v>0</v>
      </c>
      <c r="I119" s="336" t="b">
        <v>1</v>
      </c>
      <c r="J119" s="307"/>
    </row>
    <row r="120" spans="1:10" x14ac:dyDescent="0.2">
      <c r="A120" s="320" t="s">
        <v>1607</v>
      </c>
      <c r="B120" s="320"/>
      <c r="C120" s="320" t="s">
        <v>2216</v>
      </c>
      <c r="D120" s="320" t="s">
        <v>2217</v>
      </c>
      <c r="E120" s="320"/>
      <c r="F120" s="320" t="s">
        <v>2466</v>
      </c>
      <c r="G120" s="118" t="b" cm="1">
        <f t="array" ref="G120">COntains(ActiveDirectoryComputers[[#This Row],[computer.operatingSystem]], "Pro")</f>
        <v>0</v>
      </c>
      <c r="H120" s="309" t="b">
        <v>0</v>
      </c>
      <c r="I120" s="336" t="b">
        <v>1</v>
      </c>
      <c r="J120" s="307"/>
    </row>
    <row r="121" spans="1:10" x14ac:dyDescent="0.2">
      <c r="A121" s="320" t="s">
        <v>1608</v>
      </c>
      <c r="B121" s="320"/>
      <c r="C121" s="320" t="s">
        <v>2216</v>
      </c>
      <c r="D121" s="320" t="s">
        <v>2217</v>
      </c>
      <c r="E121" s="320"/>
      <c r="F121" s="320" t="s">
        <v>2461</v>
      </c>
      <c r="G121" s="118" t="b" cm="1">
        <f t="array" ref="G121">COntains(ActiveDirectoryComputers[[#This Row],[computer.operatingSystem]], "Pro")</f>
        <v>0</v>
      </c>
      <c r="H121" s="309" t="b">
        <v>0</v>
      </c>
      <c r="I121" s="336" t="b">
        <v>1</v>
      </c>
      <c r="J121" s="307"/>
    </row>
    <row r="122" spans="1:10" x14ac:dyDescent="0.2">
      <c r="A122" s="320" t="s">
        <v>1609</v>
      </c>
      <c r="B122" s="320"/>
      <c r="C122" s="320" t="s">
        <v>2216</v>
      </c>
      <c r="D122" s="320" t="s">
        <v>2217</v>
      </c>
      <c r="E122" s="320"/>
      <c r="F122" s="320" t="s">
        <v>2468</v>
      </c>
      <c r="G122" s="118" t="b" cm="1">
        <f t="array" ref="G122">COntains(ActiveDirectoryComputers[[#This Row],[computer.operatingSystem]], "Pro")</f>
        <v>0</v>
      </c>
      <c r="H122" s="309" t="b">
        <v>0</v>
      </c>
      <c r="I122" s="336" t="b">
        <v>1</v>
      </c>
      <c r="J122" s="307"/>
    </row>
    <row r="123" spans="1:10" x14ac:dyDescent="0.2">
      <c r="A123" s="320" t="s">
        <v>1615</v>
      </c>
      <c r="B123" s="320"/>
      <c r="C123" s="320" t="s">
        <v>2216</v>
      </c>
      <c r="D123" s="320" t="s">
        <v>2217</v>
      </c>
      <c r="E123" s="320"/>
      <c r="F123" s="320" t="s">
        <v>2469</v>
      </c>
      <c r="G123" s="118" t="b" cm="1">
        <f t="array" ref="G123">COntains(ActiveDirectoryComputers[[#This Row],[computer.operatingSystem]], "Pro")</f>
        <v>0</v>
      </c>
      <c r="H123" s="309" t="b">
        <v>0</v>
      </c>
      <c r="I123" s="336" t="b">
        <v>1</v>
      </c>
      <c r="J123" s="307"/>
    </row>
    <row r="124" spans="1:10" x14ac:dyDescent="0.2">
      <c r="A124" s="330" t="s">
        <v>1616</v>
      </c>
      <c r="B124" s="330"/>
      <c r="C124" s="330" t="s">
        <v>2216</v>
      </c>
      <c r="D124" s="330" t="s">
        <v>2217</v>
      </c>
      <c r="E124" s="330"/>
      <c r="F124" s="330" t="s">
        <v>2470</v>
      </c>
      <c r="G124" s="118" t="b" cm="1">
        <f t="array" ref="G124">COntains(ActiveDirectoryComputers[[#This Row],[computer.operatingSystem]], "Pro")</f>
        <v>0</v>
      </c>
      <c r="H124" s="309" t="b">
        <v>0</v>
      </c>
      <c r="I124" s="336" t="b">
        <v>1</v>
      </c>
      <c r="J124" s="307"/>
    </row>
    <row r="125" spans="1:10" x14ac:dyDescent="0.2">
      <c r="A125" s="320" t="s">
        <v>1618</v>
      </c>
      <c r="B125" s="320"/>
      <c r="C125" s="320" t="s">
        <v>2216</v>
      </c>
      <c r="D125" s="320" t="s">
        <v>2217</v>
      </c>
      <c r="E125" s="320"/>
      <c r="F125" s="320" t="s">
        <v>2471</v>
      </c>
      <c r="G125" s="118" t="b" cm="1">
        <f t="array" ref="G125">COntains(ActiveDirectoryComputers[[#This Row],[computer.operatingSystem]], "Pro")</f>
        <v>0</v>
      </c>
      <c r="H125" s="309" t="b">
        <v>0</v>
      </c>
      <c r="I125" s="336" t="b">
        <v>1</v>
      </c>
      <c r="J125" s="307"/>
    </row>
    <row r="126" spans="1:10" x14ac:dyDescent="0.2">
      <c r="A126" s="320" t="s">
        <v>1620</v>
      </c>
      <c r="B126" s="320"/>
      <c r="C126" s="320" t="s">
        <v>2216</v>
      </c>
      <c r="D126" s="320" t="s">
        <v>2217</v>
      </c>
      <c r="E126" s="320"/>
      <c r="F126" s="320" t="s">
        <v>2467</v>
      </c>
      <c r="G126" s="118" t="b" cm="1">
        <f t="array" ref="G126">COntains(ActiveDirectoryComputers[[#This Row],[computer.operatingSystem]], "Pro")</f>
        <v>0</v>
      </c>
      <c r="H126" s="309" t="b">
        <v>0</v>
      </c>
      <c r="I126" s="310" t="b">
        <v>1</v>
      </c>
      <c r="J126" s="307"/>
    </row>
    <row r="127" spans="1:10" x14ac:dyDescent="0.2">
      <c r="A127" s="320" t="s">
        <v>1003</v>
      </c>
      <c r="B127" s="320"/>
      <c r="C127" s="320" t="s">
        <v>2224</v>
      </c>
      <c r="D127" s="320" t="s">
        <v>2423</v>
      </c>
      <c r="E127" s="320"/>
      <c r="F127" s="320" t="s">
        <v>2551</v>
      </c>
      <c r="G127" s="118" t="b" cm="1">
        <f t="array" ref="G127">COntains(ActiveDirectoryComputers[[#This Row],[computer.operatingSystem]], "Pro")</f>
        <v>1</v>
      </c>
      <c r="H127" s="309" t="b">
        <v>0</v>
      </c>
      <c r="I127" s="310" t="b">
        <v>1</v>
      </c>
      <c r="J127" s="307"/>
    </row>
    <row r="128" spans="1:10" x14ac:dyDescent="0.2">
      <c r="A128" s="118" t="s">
        <v>2362</v>
      </c>
      <c r="B128" s="118"/>
      <c r="C128" s="118" t="s">
        <v>2224</v>
      </c>
      <c r="D128" s="118" t="s">
        <v>2423</v>
      </c>
      <c r="E128" s="118"/>
      <c r="F128" s="118" t="s">
        <v>2552</v>
      </c>
      <c r="G128" s="118" t="b" cm="1">
        <f t="array" ref="G128">COntains(ActiveDirectoryComputers[[#This Row],[computer.operatingSystem]], "Pro")</f>
        <v>1</v>
      </c>
      <c r="H128" s="309" t="b">
        <v>0</v>
      </c>
      <c r="I128" s="336" t="b">
        <v>1</v>
      </c>
      <c r="J128" s="307"/>
    </row>
    <row r="129" spans="1:10" x14ac:dyDescent="0.2">
      <c r="A129" s="320" t="s">
        <v>1014</v>
      </c>
      <c r="B129" s="320"/>
      <c r="C129" s="320" t="s">
        <v>2224</v>
      </c>
      <c r="D129" s="320" t="s">
        <v>2423</v>
      </c>
      <c r="E129" s="320"/>
      <c r="F129" s="320" t="s">
        <v>2553</v>
      </c>
      <c r="G129" s="118" t="b" cm="1">
        <f t="array" ref="G129">COntains(ActiveDirectoryComputers[[#This Row],[computer.operatingSystem]], "Pro")</f>
        <v>1</v>
      </c>
      <c r="H129" s="309" t="b">
        <v>0</v>
      </c>
      <c r="I129" s="336" t="b">
        <v>1</v>
      </c>
      <c r="J129" s="307"/>
    </row>
    <row r="130" spans="1:10" x14ac:dyDescent="0.2">
      <c r="A130" s="330" t="s">
        <v>1017</v>
      </c>
      <c r="B130" s="330"/>
      <c r="C130" s="330" t="s">
        <v>2224</v>
      </c>
      <c r="D130" s="330" t="s">
        <v>2423</v>
      </c>
      <c r="E130" s="330"/>
      <c r="F130" s="330" t="s">
        <v>2554</v>
      </c>
      <c r="G130" s="118" t="b" cm="1">
        <f t="array" ref="G130">COntains(ActiveDirectoryComputers[[#This Row],[computer.operatingSystem]], "Pro")</f>
        <v>1</v>
      </c>
      <c r="H130" s="309" t="b">
        <v>0</v>
      </c>
      <c r="I130" s="336" t="b">
        <v>1</v>
      </c>
      <c r="J130" s="307"/>
    </row>
    <row r="131" spans="1:10" x14ac:dyDescent="0.2">
      <c r="A131" s="320" t="s">
        <v>1737</v>
      </c>
      <c r="B131" s="320"/>
      <c r="C131" s="320" t="s">
        <v>2224</v>
      </c>
      <c r="D131" s="320" t="s">
        <v>2423</v>
      </c>
      <c r="E131" s="320"/>
      <c r="F131" s="320" t="s">
        <v>2555</v>
      </c>
      <c r="G131" s="118" t="b" cm="1">
        <f t="array" ref="G131">COntains(ActiveDirectoryComputers[[#This Row],[computer.operatingSystem]], "Pro")</f>
        <v>1</v>
      </c>
      <c r="H131" s="309" t="b">
        <v>0</v>
      </c>
      <c r="I131" s="336" t="b">
        <v>1</v>
      </c>
      <c r="J131" s="307"/>
    </row>
    <row r="132" spans="1:10" x14ac:dyDescent="0.2">
      <c r="A132" s="320" t="s">
        <v>1734</v>
      </c>
      <c r="B132" s="320"/>
      <c r="C132" s="320" t="s">
        <v>2224</v>
      </c>
      <c r="D132" s="320" t="s">
        <v>2423</v>
      </c>
      <c r="E132" s="320"/>
      <c r="F132" s="320" t="s">
        <v>2556</v>
      </c>
      <c r="G132" s="118" t="b" cm="1">
        <f t="array" ref="G132">COntains(ActiveDirectoryComputers[[#This Row],[computer.operatingSystem]], "Pro")</f>
        <v>1</v>
      </c>
      <c r="H132" s="309" t="b">
        <v>0</v>
      </c>
      <c r="I132" s="310" t="b">
        <v>1</v>
      </c>
      <c r="J132" s="307"/>
    </row>
    <row r="133" spans="1:10" x14ac:dyDescent="0.2">
      <c r="A133" s="320" t="s">
        <v>2363</v>
      </c>
      <c r="B133" s="320"/>
      <c r="C133" s="320" t="s">
        <v>2216</v>
      </c>
      <c r="D133" s="320" t="s">
        <v>2423</v>
      </c>
      <c r="E133" s="320"/>
      <c r="F133" s="320" t="s">
        <v>2499</v>
      </c>
      <c r="G133" s="118" t="b" cm="1">
        <f t="array" ref="G133">COntains(ActiveDirectoryComputers[[#This Row],[computer.operatingSystem]], "Pro")</f>
        <v>0</v>
      </c>
      <c r="H133" s="309" t="b">
        <v>0</v>
      </c>
      <c r="I133" s="336" t="b">
        <v>1</v>
      </c>
      <c r="J133" s="307"/>
    </row>
    <row r="134" spans="1:10" x14ac:dyDescent="0.2">
      <c r="A134" s="330" t="s">
        <v>2365</v>
      </c>
      <c r="B134" s="330"/>
      <c r="C134" s="330" t="s">
        <v>2216</v>
      </c>
      <c r="D134" s="330" t="s">
        <v>2423</v>
      </c>
      <c r="E134" s="330"/>
      <c r="F134" s="330" t="s">
        <v>2557</v>
      </c>
      <c r="G134" s="118" t="b" cm="1">
        <f t="array" ref="G134">COntains(ActiveDirectoryComputers[[#This Row],[computer.operatingSystem]], "Pro")</f>
        <v>0</v>
      </c>
      <c r="H134" s="309" t="b">
        <v>0</v>
      </c>
      <c r="I134" s="336" t="b">
        <v>1</v>
      </c>
      <c r="J134" s="307"/>
    </row>
    <row r="135" spans="1:10" x14ac:dyDescent="0.2">
      <c r="A135" s="330" t="s">
        <v>1130</v>
      </c>
      <c r="B135" s="330"/>
      <c r="C135" s="330" t="s">
        <v>2216</v>
      </c>
      <c r="D135" s="330" t="s">
        <v>2423</v>
      </c>
      <c r="E135" s="330"/>
      <c r="F135" s="330" t="s">
        <v>2502</v>
      </c>
      <c r="G135" s="118" t="b" cm="1">
        <f t="array" ref="G135">COntains(ActiveDirectoryComputers[[#This Row],[computer.operatingSystem]], "Pro")</f>
        <v>0</v>
      </c>
      <c r="H135" s="309" t="b">
        <v>0</v>
      </c>
      <c r="I135" s="336" t="b">
        <v>1</v>
      </c>
      <c r="J135" s="307"/>
    </row>
    <row r="136" spans="1:10" x14ac:dyDescent="0.2">
      <c r="A136" s="118" t="s">
        <v>2409</v>
      </c>
      <c r="B136" s="118"/>
      <c r="C136" s="118" t="s">
        <v>2216</v>
      </c>
      <c r="D136" s="118" t="s">
        <v>2423</v>
      </c>
      <c r="E136" s="118"/>
      <c r="F136" s="118" t="s">
        <v>2560</v>
      </c>
      <c r="G136" s="118" t="b" cm="1">
        <f t="array" ref="G136">COntains(ActiveDirectoryComputers[[#This Row],[computer.operatingSystem]], "Pro")</f>
        <v>0</v>
      </c>
      <c r="H136" s="309" t="b">
        <v>0</v>
      </c>
      <c r="I136" s="310" t="b">
        <v>1</v>
      </c>
      <c r="J136" s="307"/>
    </row>
    <row r="137" spans="1:10" x14ac:dyDescent="0.2">
      <c r="A137" s="320" t="s">
        <v>1288</v>
      </c>
      <c r="B137" s="320"/>
      <c r="C137" s="320" t="s">
        <v>2224</v>
      </c>
      <c r="D137" s="320" t="s">
        <v>2423</v>
      </c>
      <c r="E137" s="320"/>
      <c r="F137" s="320" t="s">
        <v>2561</v>
      </c>
      <c r="G137" s="118" t="b" cm="1">
        <f t="array" ref="G137">COntains(ActiveDirectoryComputers[[#This Row],[computer.operatingSystem]], "Pro")</f>
        <v>1</v>
      </c>
      <c r="H137" s="309" t="b">
        <v>0</v>
      </c>
      <c r="I137" s="310" t="b">
        <v>1</v>
      </c>
      <c r="J137" s="307"/>
    </row>
    <row r="138" spans="1:10" x14ac:dyDescent="0.2">
      <c r="A138" s="118" t="s">
        <v>2426</v>
      </c>
      <c r="B138" s="118"/>
      <c r="C138" s="118" t="s">
        <v>2216</v>
      </c>
      <c r="D138" s="118" t="s">
        <v>2423</v>
      </c>
      <c r="E138" s="118"/>
      <c r="F138" s="118" t="s">
        <v>2562</v>
      </c>
      <c r="G138" s="118" t="b" cm="1">
        <f t="array" ref="G138">COntains(ActiveDirectoryComputers[[#This Row],[computer.operatingSystem]], "Pro")</f>
        <v>0</v>
      </c>
      <c r="H138" s="309" t="b">
        <v>0</v>
      </c>
      <c r="I138" s="310" t="b">
        <v>1</v>
      </c>
      <c r="J138" s="307"/>
    </row>
    <row r="139" spans="1:10" x14ac:dyDescent="0.2">
      <c r="A139" s="118" t="s">
        <v>2415</v>
      </c>
      <c r="B139" s="118"/>
      <c r="C139" s="118" t="s">
        <v>2216</v>
      </c>
      <c r="D139" s="118" t="s">
        <v>2423</v>
      </c>
      <c r="E139" s="118"/>
      <c r="F139" s="118" t="s">
        <v>2563</v>
      </c>
      <c r="G139" s="118" t="b" cm="1">
        <f t="array" ref="G139">COntains(ActiveDirectoryComputers[[#This Row],[computer.operatingSystem]], "Pro")</f>
        <v>0</v>
      </c>
      <c r="H139" s="309" t="b">
        <v>0</v>
      </c>
      <c r="I139" s="310" t="b">
        <v>1</v>
      </c>
      <c r="J139" s="307"/>
    </row>
    <row r="140" spans="1:10" x14ac:dyDescent="0.2">
      <c r="A140" s="320" t="s">
        <v>2420</v>
      </c>
      <c r="B140" s="320"/>
      <c r="C140" s="320" t="s">
        <v>2224</v>
      </c>
      <c r="D140" s="320" t="s">
        <v>2423</v>
      </c>
      <c r="E140" s="320"/>
      <c r="F140" s="320" t="s">
        <v>3392</v>
      </c>
      <c r="G140" s="118" t="b" cm="1">
        <f t="array" ref="G140">COntains(ActiveDirectoryComputers[[#This Row],[computer.operatingSystem]], "Pro")</f>
        <v>1</v>
      </c>
      <c r="H140" s="309" t="b">
        <v>0</v>
      </c>
      <c r="I140" s="310" t="b">
        <v>1</v>
      </c>
      <c r="J140" s="307"/>
    </row>
    <row r="141" spans="1:10" x14ac:dyDescent="0.2">
      <c r="A141" s="322" t="s">
        <v>1619</v>
      </c>
      <c r="B141" s="322"/>
      <c r="C141" s="322" t="s">
        <v>2216</v>
      </c>
      <c r="D141" s="322" t="s">
        <v>2217</v>
      </c>
      <c r="E141" s="322"/>
      <c r="F141" s="322" t="s">
        <v>2472</v>
      </c>
      <c r="G141" s="247" t="b" cm="1">
        <f t="array" ref="G141">COntains(ActiveDirectoryComputers[[#This Row],[computer.operatingSystem]], "Pro")</f>
        <v>0</v>
      </c>
      <c r="H141" s="345" t="b">
        <v>0</v>
      </c>
      <c r="I141" s="346" t="b">
        <v>0</v>
      </c>
      <c r="J141" s="307"/>
    </row>
    <row r="142" spans="1:10" x14ac:dyDescent="0.2">
      <c r="A142" s="247" t="s">
        <v>1621</v>
      </c>
      <c r="B142" s="247"/>
      <c r="C142" s="247" t="s">
        <v>2216</v>
      </c>
      <c r="D142" s="247" t="s">
        <v>2217</v>
      </c>
      <c r="E142" s="247"/>
      <c r="F142" s="247" t="s">
        <v>2473</v>
      </c>
      <c r="G142" s="247" t="b" cm="1">
        <f t="array" ref="G142">COntains(ActiveDirectoryComputers[[#This Row],[computer.operatingSystem]], "Pro")</f>
        <v>0</v>
      </c>
      <c r="H142" s="345" t="b">
        <v>0</v>
      </c>
      <c r="I142" s="349" t="b">
        <v>0</v>
      </c>
      <c r="J142" s="307"/>
    </row>
    <row r="143" spans="1:10" x14ac:dyDescent="0.2">
      <c r="A143" s="322" t="s">
        <v>1636</v>
      </c>
      <c r="B143" s="322"/>
      <c r="C143" s="322" t="s">
        <v>2216</v>
      </c>
      <c r="D143" s="322" t="s">
        <v>2217</v>
      </c>
      <c r="E143" s="322"/>
      <c r="F143" s="322" t="s">
        <v>2474</v>
      </c>
      <c r="G143" s="247" t="b" cm="1">
        <f t="array" ref="G143">COntains(ActiveDirectoryComputers[[#This Row],[computer.operatingSystem]], "Pro")</f>
        <v>0</v>
      </c>
      <c r="H143" s="345" t="b">
        <v>0</v>
      </c>
      <c r="I143" s="346" t="b">
        <v>0</v>
      </c>
      <c r="J143" s="307"/>
    </row>
    <row r="144" spans="1:10" x14ac:dyDescent="0.2">
      <c r="A144" s="322" t="s">
        <v>1637</v>
      </c>
      <c r="B144" s="322"/>
      <c r="C144" s="322" t="s">
        <v>2216</v>
      </c>
      <c r="D144" s="322" t="s">
        <v>2217</v>
      </c>
      <c r="E144" s="322"/>
      <c r="F144" s="322" t="s">
        <v>2475</v>
      </c>
      <c r="G144" s="247" t="b" cm="1">
        <f t="array" ref="G144">COntains(ActiveDirectoryComputers[[#This Row],[computer.operatingSystem]], "Pro")</f>
        <v>0</v>
      </c>
      <c r="H144" s="345" t="b">
        <v>0</v>
      </c>
      <c r="I144" s="349" t="b">
        <v>0</v>
      </c>
      <c r="J144" s="307"/>
    </row>
    <row r="145" spans="1:10" x14ac:dyDescent="0.2">
      <c r="A145" s="269" t="s">
        <v>1638</v>
      </c>
      <c r="B145" s="269"/>
      <c r="C145" s="269" t="s">
        <v>2216</v>
      </c>
      <c r="D145" s="269" t="s">
        <v>2217</v>
      </c>
      <c r="E145" s="269"/>
      <c r="F145" s="270" t="s">
        <v>2476</v>
      </c>
      <c r="G145" s="247" t="b" cm="1">
        <f t="array" ref="G145">COntains(ActiveDirectoryComputers[[#This Row],[computer.operatingSystem]], "Pro")</f>
        <v>0</v>
      </c>
      <c r="H145" s="345" t="b">
        <v>0</v>
      </c>
      <c r="I145" s="349" t="b">
        <v>0</v>
      </c>
      <c r="J145" s="307"/>
    </row>
    <row r="146" spans="1:10" x14ac:dyDescent="0.2">
      <c r="A146" s="270" t="s">
        <v>1639</v>
      </c>
      <c r="B146" s="270"/>
      <c r="C146" s="270" t="s">
        <v>2216</v>
      </c>
      <c r="D146" s="270" t="s">
        <v>2217</v>
      </c>
      <c r="E146" s="270"/>
      <c r="F146" s="270" t="s">
        <v>2477</v>
      </c>
      <c r="G146" s="247" t="b" cm="1">
        <f t="array" ref="G146">COntains(ActiveDirectoryComputers[[#This Row],[computer.operatingSystem]], "Pro")</f>
        <v>0</v>
      </c>
      <c r="H146" s="345" t="b">
        <v>0</v>
      </c>
      <c r="I146" s="349" t="b">
        <v>0</v>
      </c>
      <c r="J146" s="307"/>
    </row>
    <row r="147" spans="1:10" x14ac:dyDescent="0.2">
      <c r="A147" s="269" t="s">
        <v>1642</v>
      </c>
      <c r="B147" s="269"/>
      <c r="C147" s="269" t="s">
        <v>2216</v>
      </c>
      <c r="D147" s="269" t="s">
        <v>2217</v>
      </c>
      <c r="E147" s="269"/>
      <c r="F147" s="270" t="s">
        <v>2478</v>
      </c>
      <c r="G147" s="247" t="b" cm="1">
        <f t="array" ref="G147">COntains(ActiveDirectoryComputers[[#This Row],[computer.operatingSystem]], "Pro")</f>
        <v>0</v>
      </c>
      <c r="H147" s="345" t="b">
        <v>0</v>
      </c>
      <c r="I147" s="349" t="b">
        <v>0</v>
      </c>
      <c r="J147" s="307"/>
    </row>
    <row r="148" spans="1:10" x14ac:dyDescent="0.2">
      <c r="A148" s="270" t="s">
        <v>1643</v>
      </c>
      <c r="B148" s="270"/>
      <c r="C148" s="270" t="s">
        <v>2216</v>
      </c>
      <c r="D148" s="270" t="s">
        <v>2217</v>
      </c>
      <c r="E148" s="270"/>
      <c r="F148" s="270" t="s">
        <v>2479</v>
      </c>
      <c r="G148" s="247" t="b" cm="1">
        <f t="array" ref="G148">COntains(ActiveDirectoryComputers[[#This Row],[computer.operatingSystem]], "Pro")</f>
        <v>0</v>
      </c>
      <c r="H148" s="345" t="b">
        <v>0</v>
      </c>
      <c r="I148" s="349" t="b">
        <v>0</v>
      </c>
      <c r="J148" s="307"/>
    </row>
    <row r="149" spans="1:10" x14ac:dyDescent="0.2">
      <c r="A149" s="270" t="s">
        <v>1649</v>
      </c>
      <c r="B149" s="270"/>
      <c r="C149" s="270" t="s">
        <v>2216</v>
      </c>
      <c r="D149" s="270" t="s">
        <v>2217</v>
      </c>
      <c r="E149" s="270"/>
      <c r="F149" s="270" t="s">
        <v>2480</v>
      </c>
      <c r="G149" s="247" t="b" cm="1">
        <f t="array" ref="G149">COntains(ActiveDirectoryComputers[[#This Row],[computer.operatingSystem]], "Pro")</f>
        <v>0</v>
      </c>
      <c r="H149" s="345" t="b">
        <v>0</v>
      </c>
      <c r="I149" s="349" t="b">
        <v>0</v>
      </c>
      <c r="J149" s="307"/>
    </row>
    <row r="150" spans="1:10" x14ac:dyDescent="0.2">
      <c r="A150" s="322" t="s">
        <v>1651</v>
      </c>
      <c r="B150" s="322"/>
      <c r="C150" s="322" t="s">
        <v>2216</v>
      </c>
      <c r="D150" s="322" t="s">
        <v>2217</v>
      </c>
      <c r="E150" s="322"/>
      <c r="F150" s="322" t="s">
        <v>2481</v>
      </c>
      <c r="G150" s="247" t="b" cm="1">
        <f t="array" ref="G150">COntains(ActiveDirectoryComputers[[#This Row],[computer.operatingSystem]], "Pro")</f>
        <v>0</v>
      </c>
      <c r="H150" s="345" t="b">
        <v>0</v>
      </c>
      <c r="I150" s="346" t="b">
        <v>0</v>
      </c>
      <c r="J150" s="307"/>
    </row>
    <row r="151" spans="1:10" x14ac:dyDescent="0.2">
      <c r="A151" s="270" t="s">
        <v>1655</v>
      </c>
      <c r="B151" s="270"/>
      <c r="C151" s="270" t="s">
        <v>2216</v>
      </c>
      <c r="D151" s="270" t="s">
        <v>2217</v>
      </c>
      <c r="E151" s="270"/>
      <c r="F151" s="270" t="s">
        <v>2483</v>
      </c>
      <c r="G151" s="247" t="b" cm="1">
        <f t="array" ref="G151">COntains(ActiveDirectoryComputers[[#This Row],[computer.operatingSystem]], "Pro")</f>
        <v>0</v>
      </c>
      <c r="H151" s="345" t="b">
        <v>0</v>
      </c>
      <c r="I151" s="349" t="b">
        <v>0</v>
      </c>
      <c r="J151" s="307"/>
    </row>
    <row r="152" spans="1:10" x14ac:dyDescent="0.2">
      <c r="A152" s="270" t="s">
        <v>1662</v>
      </c>
      <c r="B152" s="270"/>
      <c r="C152" s="270" t="s">
        <v>2216</v>
      </c>
      <c r="D152" s="270" t="s">
        <v>2217</v>
      </c>
      <c r="E152" s="270"/>
      <c r="F152" s="270" t="s">
        <v>2486</v>
      </c>
      <c r="G152" s="247" t="b" cm="1">
        <f t="array" ref="G152">COntains(ActiveDirectoryComputers[[#This Row],[computer.operatingSystem]], "Pro")</f>
        <v>0</v>
      </c>
      <c r="H152" s="345" t="b">
        <v>0</v>
      </c>
      <c r="I152" s="349" t="b">
        <v>0</v>
      </c>
      <c r="J152" s="307"/>
    </row>
    <row r="153" spans="1:10" x14ac:dyDescent="0.2">
      <c r="A153" s="322" t="s">
        <v>1663</v>
      </c>
      <c r="B153" s="322"/>
      <c r="C153" s="322" t="s">
        <v>2216</v>
      </c>
      <c r="D153" s="322" t="s">
        <v>2217</v>
      </c>
      <c r="E153" s="322"/>
      <c r="F153" s="322" t="s">
        <v>2487</v>
      </c>
      <c r="G153" s="247" t="b" cm="1">
        <f t="array" ref="G153">COntains(ActiveDirectoryComputers[[#This Row],[computer.operatingSystem]], "Pro")</f>
        <v>0</v>
      </c>
      <c r="H153" s="345" t="b">
        <v>0</v>
      </c>
      <c r="I153" s="346" t="b">
        <v>0</v>
      </c>
      <c r="J153" s="307"/>
    </row>
    <row r="154" spans="1:10" x14ac:dyDescent="0.2">
      <c r="A154" s="270" t="s">
        <v>1664</v>
      </c>
      <c r="B154" s="270"/>
      <c r="C154" s="270" t="s">
        <v>2216</v>
      </c>
      <c r="D154" s="270" t="s">
        <v>2217</v>
      </c>
      <c r="E154" s="270"/>
      <c r="F154" s="270" t="s">
        <v>2488</v>
      </c>
      <c r="G154" s="247" t="b" cm="1">
        <f t="array" ref="G154">COntains(ActiveDirectoryComputers[[#This Row],[computer.operatingSystem]], "Pro")</f>
        <v>0</v>
      </c>
      <c r="H154" s="345" t="b">
        <v>0</v>
      </c>
      <c r="I154" s="349" t="b">
        <v>0</v>
      </c>
      <c r="J154" s="307"/>
    </row>
    <row r="155" spans="1:10" x14ac:dyDescent="0.2">
      <c r="A155" s="322" t="s">
        <v>1665</v>
      </c>
      <c r="B155" s="322"/>
      <c r="C155" s="322" t="s">
        <v>2216</v>
      </c>
      <c r="D155" s="322" t="s">
        <v>2217</v>
      </c>
      <c r="E155" s="322"/>
      <c r="F155" s="322" t="s">
        <v>2489</v>
      </c>
      <c r="G155" s="247" t="b" cm="1">
        <f t="array" ref="G155">COntains(ActiveDirectoryComputers[[#This Row],[computer.operatingSystem]], "Pro")</f>
        <v>0</v>
      </c>
      <c r="H155" s="345" t="b">
        <v>0</v>
      </c>
      <c r="I155" s="346" t="b">
        <v>0</v>
      </c>
      <c r="J155" s="307"/>
    </row>
    <row r="156" spans="1:10" x14ac:dyDescent="0.2">
      <c r="A156" s="322" t="s">
        <v>554</v>
      </c>
      <c r="B156" s="322"/>
      <c r="C156" s="322" t="s">
        <v>2216</v>
      </c>
      <c r="D156" s="322" t="s">
        <v>2217</v>
      </c>
      <c r="E156" s="322"/>
      <c r="F156" s="322" t="s">
        <v>2491</v>
      </c>
      <c r="G156" s="247" t="b" cm="1">
        <f t="array" ref="G156">COntains(ActiveDirectoryComputers[[#This Row],[computer.operatingSystem]], "Pro")</f>
        <v>0</v>
      </c>
      <c r="H156" s="345" t="b">
        <v>0</v>
      </c>
      <c r="I156" s="352" t="b">
        <v>0</v>
      </c>
      <c r="J156" s="307"/>
    </row>
    <row r="157" spans="1:10" x14ac:dyDescent="0.2">
      <c r="A157" s="322" t="s">
        <v>1667</v>
      </c>
      <c r="B157" s="322"/>
      <c r="C157" s="322" t="s">
        <v>2216</v>
      </c>
      <c r="D157" s="322" t="s">
        <v>2217</v>
      </c>
      <c r="E157" s="322"/>
      <c r="F157" s="322" t="s">
        <v>2484</v>
      </c>
      <c r="G157" s="247" t="b" cm="1">
        <f t="array" ref="G157">COntains(ActiveDirectoryComputers[[#This Row],[computer.operatingSystem]], "Pro")</f>
        <v>0</v>
      </c>
      <c r="H157" s="345" t="b">
        <v>0</v>
      </c>
      <c r="I157" s="346" t="b">
        <v>0</v>
      </c>
      <c r="J157" s="307"/>
    </row>
    <row r="158" spans="1:10" x14ac:dyDescent="0.2">
      <c r="A158" s="322" t="s">
        <v>1670</v>
      </c>
      <c r="B158" s="322"/>
      <c r="C158" s="322" t="s">
        <v>2216</v>
      </c>
      <c r="D158" s="322" t="s">
        <v>2217</v>
      </c>
      <c r="E158" s="322"/>
      <c r="F158" s="322" t="s">
        <v>2492</v>
      </c>
      <c r="G158" s="247" t="b" cm="1">
        <f t="array" ref="G158">COntains(ActiveDirectoryComputers[[#This Row],[computer.operatingSystem]], "Pro")</f>
        <v>0</v>
      </c>
      <c r="H158" s="345" t="b">
        <v>0</v>
      </c>
      <c r="I158" s="352" t="b">
        <v>0</v>
      </c>
      <c r="J158" s="307"/>
    </row>
    <row r="159" spans="1:10" x14ac:dyDescent="0.2">
      <c r="A159" s="322" t="s">
        <v>1224</v>
      </c>
      <c r="B159" s="322"/>
      <c r="C159" s="322" t="s">
        <v>2326</v>
      </c>
      <c r="D159" s="322" t="s">
        <v>2217</v>
      </c>
      <c r="E159" s="322"/>
      <c r="F159" s="322" t="s">
        <v>2541</v>
      </c>
      <c r="G159" s="247" t="b" cm="1">
        <f t="array" ref="G159">COntains(ActiveDirectoryComputers[[#This Row],[computer.operatingSystem]], "Pro")</f>
        <v>0</v>
      </c>
      <c r="H159" s="345" t="b">
        <v>0</v>
      </c>
      <c r="I159" s="352" t="b">
        <v>0</v>
      </c>
      <c r="J159" s="307"/>
    </row>
    <row r="160" spans="1:10" x14ac:dyDescent="0.2">
      <c r="A160" s="322" t="s">
        <v>2330</v>
      </c>
      <c r="B160" s="322"/>
      <c r="C160" s="322" t="s">
        <v>2216</v>
      </c>
      <c r="D160" s="322" t="s">
        <v>2217</v>
      </c>
      <c r="E160" s="322"/>
      <c r="F160" s="322" t="s">
        <v>2495</v>
      </c>
      <c r="G160" s="247" t="b" cm="1">
        <f t="array" ref="G160">COntains(ActiveDirectoryComputers[[#This Row],[computer.operatingSystem]], "Pro")</f>
        <v>0</v>
      </c>
      <c r="H160" s="345" t="b">
        <v>0</v>
      </c>
      <c r="I160" s="352" t="b">
        <v>0</v>
      </c>
      <c r="J160" s="307"/>
    </row>
    <row r="161" spans="1:10" x14ac:dyDescent="0.2">
      <c r="A161" s="270" t="s">
        <v>665</v>
      </c>
      <c r="B161" s="270"/>
      <c r="C161" s="270" t="s">
        <v>2216</v>
      </c>
      <c r="D161" s="270" t="s">
        <v>2217</v>
      </c>
      <c r="E161" s="270"/>
      <c r="F161" s="270" t="s">
        <v>2496</v>
      </c>
      <c r="G161" s="247" t="b" cm="1">
        <f t="array" ref="G161">COntains(ActiveDirectoryComputers[[#This Row],[computer.operatingSystem]], "Pro")</f>
        <v>0</v>
      </c>
      <c r="H161" s="345" t="b">
        <v>0</v>
      </c>
      <c r="I161" s="349" t="b">
        <v>0</v>
      </c>
      <c r="J161" s="307"/>
    </row>
    <row r="162" spans="1:10" x14ac:dyDescent="0.2">
      <c r="A162" s="322" t="s">
        <v>2337</v>
      </c>
      <c r="B162" s="322"/>
      <c r="C162" s="322" t="s">
        <v>2216</v>
      </c>
      <c r="D162" s="322" t="s">
        <v>2217</v>
      </c>
      <c r="E162" s="322"/>
      <c r="F162" s="322" t="s">
        <v>2497</v>
      </c>
      <c r="G162" s="247" t="b" cm="1">
        <f t="array" ref="G162">COntains(ActiveDirectoryComputers[[#This Row],[computer.operatingSystem]], "Pro")</f>
        <v>0</v>
      </c>
      <c r="H162" s="345" t="b">
        <v>0</v>
      </c>
      <c r="I162" s="352" t="b">
        <v>0</v>
      </c>
      <c r="J162" s="307"/>
    </row>
    <row r="163" spans="1:10" x14ac:dyDescent="0.2">
      <c r="A163" s="322" t="s">
        <v>3728</v>
      </c>
      <c r="B163" s="322"/>
      <c r="C163" s="322" t="s">
        <v>2216</v>
      </c>
      <c r="D163" s="322" t="s">
        <v>2217</v>
      </c>
      <c r="E163" s="322"/>
      <c r="F163" s="322" t="s">
        <v>3729</v>
      </c>
      <c r="G163" s="247" t="b" cm="1">
        <f t="array" ref="G163">COntains(ActiveDirectoryComputers[[#This Row],[computer.operatingSystem]], "Pro")</f>
        <v>0</v>
      </c>
      <c r="H163" s="345" t="b">
        <v>0</v>
      </c>
      <c r="I163" s="352" t="b">
        <v>0</v>
      </c>
      <c r="J163" s="307"/>
    </row>
    <row r="164" spans="1:10" x14ac:dyDescent="0.2">
      <c r="A164" s="268" t="s">
        <v>2212</v>
      </c>
      <c r="B164" s="268"/>
      <c r="C164" s="268" t="s">
        <v>2216</v>
      </c>
      <c r="D164" s="268" t="s">
        <v>2229</v>
      </c>
      <c r="E164" s="268"/>
      <c r="F164" s="268" t="s">
        <v>2440</v>
      </c>
      <c r="G164" s="12" t="b" cm="1">
        <f t="array" ref="G164">COntains(ActiveDirectoryComputers[[#This Row],[computer.operatingSystem]], "Pro")</f>
        <v>0</v>
      </c>
      <c r="H164" s="306" t="b">
        <v>0</v>
      </c>
      <c r="I164" s="325" t="b">
        <v>0</v>
      </c>
      <c r="J164" s="307"/>
    </row>
    <row r="165" spans="1:10" x14ac:dyDescent="0.2">
      <c r="A165" s="319" t="s">
        <v>1186</v>
      </c>
      <c r="B165" s="319" t="s">
        <v>2215</v>
      </c>
      <c r="C165" s="319" t="s">
        <v>2216</v>
      </c>
      <c r="D165" s="319" t="s">
        <v>2217</v>
      </c>
      <c r="E165" s="319"/>
      <c r="F165" s="319" t="s">
        <v>2617</v>
      </c>
      <c r="G165" s="12" t="b" cm="1">
        <f t="array" ref="G165">COntains(ActiveDirectoryComputers[[#This Row],[computer.operatingSystem]], "Pro")</f>
        <v>0</v>
      </c>
      <c r="H165" s="306" t="b">
        <v>0</v>
      </c>
      <c r="I165" s="338" t="b">
        <v>0</v>
      </c>
      <c r="J165" s="307"/>
    </row>
    <row r="166" spans="1:10" x14ac:dyDescent="0.2">
      <c r="A166" s="268" t="s">
        <v>1210</v>
      </c>
      <c r="B166" s="268" t="s">
        <v>2218</v>
      </c>
      <c r="C166" s="268" t="s">
        <v>2213</v>
      </c>
      <c r="D166" s="268" t="s">
        <v>2214</v>
      </c>
      <c r="E166" s="268"/>
      <c r="F166" s="268" t="s">
        <v>2618</v>
      </c>
      <c r="G166" s="12" t="b" cm="1">
        <f t="array" ref="G166">COntains(ActiveDirectoryComputers[[#This Row],[computer.operatingSystem]], "Pro")</f>
        <v>0</v>
      </c>
      <c r="H166" s="306" t="b">
        <v>0</v>
      </c>
      <c r="I166" s="325" t="b">
        <v>0</v>
      </c>
      <c r="J166" s="307"/>
    </row>
    <row r="167" spans="1:10" x14ac:dyDescent="0.2">
      <c r="A167" s="324" t="s">
        <v>1215</v>
      </c>
      <c r="B167" s="324"/>
      <c r="C167" s="324" t="s">
        <v>2219</v>
      </c>
      <c r="D167" s="324" t="s">
        <v>2220</v>
      </c>
      <c r="E167" s="324"/>
      <c r="F167" s="268" t="s">
        <v>2504</v>
      </c>
      <c r="G167" s="12" t="b" cm="1">
        <f t="array" ref="G167">COntains(ActiveDirectoryComputers[[#This Row],[computer.operatingSystem]], "Pro")</f>
        <v>0</v>
      </c>
      <c r="H167" s="306" t="b">
        <v>0</v>
      </c>
      <c r="I167" s="325" t="b">
        <v>0</v>
      </c>
      <c r="J167" s="307"/>
    </row>
    <row r="168" spans="1:10" x14ac:dyDescent="0.2">
      <c r="A168" s="268" t="s">
        <v>1221</v>
      </c>
      <c r="B168" s="268" t="s">
        <v>2221</v>
      </c>
      <c r="C168" s="268" t="s">
        <v>2219</v>
      </c>
      <c r="D168" s="268" t="s">
        <v>2220</v>
      </c>
      <c r="E168" s="268"/>
      <c r="F168" s="268" t="s">
        <v>2619</v>
      </c>
      <c r="G168" s="12" t="b" cm="1">
        <f t="array" ref="G168">COntains(ActiveDirectoryComputers[[#This Row],[computer.operatingSystem]], "Pro")</f>
        <v>0</v>
      </c>
      <c r="H168" s="306" t="b">
        <v>0</v>
      </c>
      <c r="I168" s="325" t="b">
        <v>0</v>
      </c>
      <c r="J168" s="307"/>
    </row>
    <row r="169" spans="1:10" x14ac:dyDescent="0.2">
      <c r="A169" s="268" t="s">
        <v>1227</v>
      </c>
      <c r="B169" s="268" t="s">
        <v>2222</v>
      </c>
      <c r="C169" s="268" t="s">
        <v>2213</v>
      </c>
      <c r="D169" s="268" t="s">
        <v>2214</v>
      </c>
      <c r="E169" s="268"/>
      <c r="F169" s="268" t="s">
        <v>2620</v>
      </c>
      <c r="G169" s="12" t="b" cm="1">
        <f t="array" ref="G169">COntains(ActiveDirectoryComputers[[#This Row],[computer.operatingSystem]], "Pro")</f>
        <v>0</v>
      </c>
      <c r="H169" s="306" t="b">
        <v>0</v>
      </c>
      <c r="I169" s="325" t="b">
        <v>0</v>
      </c>
      <c r="J169" s="307"/>
    </row>
    <row r="170" spans="1:10" x14ac:dyDescent="0.2">
      <c r="A170" s="268" t="s">
        <v>1240</v>
      </c>
      <c r="B170" s="268" t="s">
        <v>2223</v>
      </c>
      <c r="C170" s="268" t="s">
        <v>2216</v>
      </c>
      <c r="D170" s="268" t="s">
        <v>2217</v>
      </c>
      <c r="E170" s="268"/>
      <c r="F170" s="268" t="s">
        <v>3734</v>
      </c>
      <c r="G170" s="12" t="b" cm="1">
        <f t="array" ref="G170">COntains(ActiveDirectoryComputers[[#This Row],[computer.operatingSystem]], "Pro")</f>
        <v>0</v>
      </c>
      <c r="H170" s="306" t="b">
        <v>0</v>
      </c>
      <c r="I170" s="325" t="b">
        <v>0</v>
      </c>
      <c r="J170" s="307"/>
    </row>
    <row r="171" spans="1:10" x14ac:dyDescent="0.2">
      <c r="A171" s="319" t="s">
        <v>366</v>
      </c>
      <c r="B171" s="319"/>
      <c r="C171" s="319" t="s">
        <v>2224</v>
      </c>
      <c r="D171" s="319" t="s">
        <v>2423</v>
      </c>
      <c r="E171" s="319" t="s">
        <v>2227</v>
      </c>
      <c r="F171" s="319" t="s">
        <v>2611</v>
      </c>
      <c r="G171" s="12" t="b" cm="1">
        <f t="array" ref="G171">COntains(ActiveDirectoryComputers[[#This Row],[computer.operatingSystem]], "Pro")</f>
        <v>1</v>
      </c>
      <c r="H171" s="306" t="b">
        <v>0</v>
      </c>
      <c r="I171" s="338" t="b">
        <v>0</v>
      </c>
      <c r="J171" s="307"/>
    </row>
    <row r="172" spans="1:10" x14ac:dyDescent="0.2">
      <c r="A172" s="319" t="s">
        <v>382</v>
      </c>
      <c r="B172" s="319"/>
      <c r="C172" s="319" t="s">
        <v>2224</v>
      </c>
      <c r="D172" s="319" t="s">
        <v>2423</v>
      </c>
      <c r="E172" s="319" t="s">
        <v>2227</v>
      </c>
      <c r="F172" s="319" t="s">
        <v>2612</v>
      </c>
      <c r="G172" s="12" t="b" cm="1">
        <f t="array" ref="G172">COntains(ActiveDirectoryComputers[[#This Row],[computer.operatingSystem]], "Pro")</f>
        <v>1</v>
      </c>
      <c r="H172" s="306" t="b">
        <v>0</v>
      </c>
      <c r="I172" s="338" t="b">
        <v>0</v>
      </c>
      <c r="J172" s="307"/>
    </row>
    <row r="173" spans="1:10" x14ac:dyDescent="0.2">
      <c r="A173" s="268" t="s">
        <v>399</v>
      </c>
      <c r="B173" s="268" t="s">
        <v>2232</v>
      </c>
      <c r="C173" s="268" t="s">
        <v>2224</v>
      </c>
      <c r="D173" s="268" t="s">
        <v>2423</v>
      </c>
      <c r="E173" s="268" t="s">
        <v>2227</v>
      </c>
      <c r="F173" s="268" t="s">
        <v>2614</v>
      </c>
      <c r="G173" s="12" t="b" cm="1">
        <f t="array" ref="G173">COntains(ActiveDirectoryComputers[[#This Row],[computer.operatingSystem]], "Pro")</f>
        <v>1</v>
      </c>
      <c r="H173" s="306" t="b">
        <v>0</v>
      </c>
      <c r="I173" s="308" t="b">
        <v>0</v>
      </c>
      <c r="J173" s="307"/>
    </row>
    <row r="174" spans="1:10" x14ac:dyDescent="0.2">
      <c r="A174" s="319" t="s">
        <v>1756</v>
      </c>
      <c r="B174" s="319" t="s">
        <v>2233</v>
      </c>
      <c r="C174" s="319" t="s">
        <v>2216</v>
      </c>
      <c r="D174" s="319" t="s">
        <v>2423</v>
      </c>
      <c r="E174" s="319"/>
      <c r="F174" s="319" t="s">
        <v>2621</v>
      </c>
      <c r="G174" s="12" t="b" cm="1">
        <f t="array" ref="G174">COntains(ActiveDirectoryComputers[[#This Row],[computer.operatingSystem]], "Pro")</f>
        <v>0</v>
      </c>
      <c r="H174" s="306" t="b">
        <v>0</v>
      </c>
      <c r="I174" s="338" t="b">
        <v>0</v>
      </c>
      <c r="J174" s="307"/>
    </row>
    <row r="175" spans="1:10" x14ac:dyDescent="0.2">
      <c r="A175" s="268" t="s">
        <v>3735</v>
      </c>
      <c r="B175" s="268" t="s">
        <v>3736</v>
      </c>
      <c r="C175" s="268" t="s">
        <v>2326</v>
      </c>
      <c r="D175" s="268" t="s">
        <v>2423</v>
      </c>
      <c r="E175" s="268"/>
      <c r="F175" s="268" t="s">
        <v>3737</v>
      </c>
      <c r="G175" s="12" t="b" cm="1">
        <f t="array" ref="G175">COntains(ActiveDirectoryComputers[[#This Row],[computer.operatingSystem]], "Pro")</f>
        <v>0</v>
      </c>
      <c r="H175" s="306" t="b">
        <v>0</v>
      </c>
      <c r="I175" s="325" t="b">
        <v>0</v>
      </c>
      <c r="J175" s="307"/>
    </row>
    <row r="176" spans="1:10" x14ac:dyDescent="0.2">
      <c r="A176" s="268" t="s">
        <v>3653</v>
      </c>
      <c r="B176" s="268" t="s">
        <v>3654</v>
      </c>
      <c r="C176" s="268" t="s">
        <v>2224</v>
      </c>
      <c r="D176" s="268" t="s">
        <v>2423</v>
      </c>
      <c r="E176" s="268"/>
      <c r="F176" s="268" t="s">
        <v>3655</v>
      </c>
      <c r="G176" s="12" t="b" cm="1">
        <f t="array" ref="G176">COntains(ActiveDirectoryComputers[[#This Row],[computer.operatingSystem]], "Pro")</f>
        <v>1</v>
      </c>
      <c r="H176" s="306" t="b">
        <v>0</v>
      </c>
      <c r="I176" s="325" t="b">
        <v>0</v>
      </c>
      <c r="J176" s="307"/>
    </row>
    <row r="177" spans="1:10" x14ac:dyDescent="0.2">
      <c r="A177" s="268" t="s">
        <v>1263</v>
      </c>
      <c r="B177" s="268"/>
      <c r="C177" s="268" t="s">
        <v>2216</v>
      </c>
      <c r="D177" s="268" t="s">
        <v>2229</v>
      </c>
      <c r="E177" s="268"/>
      <c r="F177" s="268" t="s">
        <v>2441</v>
      </c>
      <c r="G177" s="12" t="b" cm="1">
        <f t="array" ref="G177">COntains(ActiveDirectoryComputers[[#This Row],[computer.operatingSystem]], "Pro")</f>
        <v>0</v>
      </c>
      <c r="H177" s="306" t="b">
        <v>0</v>
      </c>
      <c r="I177" s="338" t="b">
        <v>0</v>
      </c>
      <c r="J177" s="307"/>
    </row>
    <row r="178" spans="1:10" x14ac:dyDescent="0.2">
      <c r="A178" s="268" t="s">
        <v>3738</v>
      </c>
      <c r="B178" s="268" t="s">
        <v>3739</v>
      </c>
      <c r="C178" s="268" t="s">
        <v>2216</v>
      </c>
      <c r="D178" s="268" t="s">
        <v>2229</v>
      </c>
      <c r="E178" s="268"/>
      <c r="F178" s="268" t="s">
        <v>3740</v>
      </c>
      <c r="G178" s="12" t="b" cm="1">
        <f t="array" ref="G178">COntains(ActiveDirectoryComputers[[#This Row],[computer.operatingSystem]], "Pro")</f>
        <v>0</v>
      </c>
      <c r="H178" s="306" t="b">
        <v>0</v>
      </c>
      <c r="I178" s="338" t="b">
        <v>0</v>
      </c>
      <c r="J178" s="307"/>
    </row>
    <row r="179" spans="1:10" x14ac:dyDescent="0.2">
      <c r="A179" s="324" t="s">
        <v>1274</v>
      </c>
      <c r="B179" s="324" t="s">
        <v>2234</v>
      </c>
      <c r="C179" s="324" t="s">
        <v>2216</v>
      </c>
      <c r="D179" s="324" t="s">
        <v>2217</v>
      </c>
      <c r="E179" s="324"/>
      <c r="F179" s="268" t="s">
        <v>2622</v>
      </c>
      <c r="G179" s="12" t="b" cm="1">
        <f t="array" ref="G179">COntains(ActiveDirectoryComputers[[#This Row],[computer.operatingSystem]], "Pro")</f>
        <v>0</v>
      </c>
      <c r="H179" s="306" t="b">
        <v>0</v>
      </c>
      <c r="I179" s="325" t="b">
        <v>0</v>
      </c>
      <c r="J179" s="307"/>
    </row>
    <row r="180" spans="1:10" x14ac:dyDescent="0.2">
      <c r="A180" s="268" t="s">
        <v>2235</v>
      </c>
      <c r="B180" s="268"/>
      <c r="C180" s="268" t="s">
        <v>2224</v>
      </c>
      <c r="D180" s="268" t="s">
        <v>2229</v>
      </c>
      <c r="E180" s="268"/>
      <c r="F180" s="268" t="s">
        <v>2507</v>
      </c>
      <c r="G180" s="12" t="b" cm="1">
        <f t="array" ref="G180">COntains(ActiveDirectoryComputers[[#This Row],[computer.operatingSystem]], "Pro")</f>
        <v>1</v>
      </c>
      <c r="H180" s="306" t="b">
        <v>0</v>
      </c>
      <c r="I180" s="325" t="b">
        <v>0</v>
      </c>
      <c r="J180" s="307"/>
    </row>
    <row r="181" spans="1:10" x14ac:dyDescent="0.2">
      <c r="A181" s="319" t="s">
        <v>2236</v>
      </c>
      <c r="B181" s="319"/>
      <c r="C181" s="319" t="s">
        <v>2213</v>
      </c>
      <c r="D181" s="319" t="s">
        <v>2214</v>
      </c>
      <c r="E181" s="319"/>
      <c r="F181" s="319" t="s">
        <v>2509</v>
      </c>
      <c r="G181" s="12" t="b" cm="1">
        <f t="array" ref="G181">COntains(ActiveDirectoryComputers[[#This Row],[computer.operatingSystem]], "Pro")</f>
        <v>0</v>
      </c>
      <c r="H181" s="306" t="b">
        <v>0</v>
      </c>
      <c r="I181" s="338" t="b">
        <v>0</v>
      </c>
      <c r="J181" s="307"/>
    </row>
    <row r="182" spans="1:10" x14ac:dyDescent="0.2">
      <c r="A182" s="268" t="s">
        <v>464</v>
      </c>
      <c r="B182" s="268" t="s">
        <v>2237</v>
      </c>
      <c r="C182" s="268" t="s">
        <v>2213</v>
      </c>
      <c r="D182" s="268" t="s">
        <v>2214</v>
      </c>
      <c r="E182" s="268"/>
      <c r="F182" s="268" t="s">
        <v>2623</v>
      </c>
      <c r="G182" s="12" t="b" cm="1">
        <f t="array" ref="G182">COntains(ActiveDirectoryComputers[[#This Row],[computer.operatingSystem]], "Pro")</f>
        <v>0</v>
      </c>
      <c r="H182" s="306" t="b">
        <v>0</v>
      </c>
      <c r="I182" s="325" t="b">
        <v>0</v>
      </c>
      <c r="J182" s="307"/>
    </row>
    <row r="183" spans="1:10" x14ac:dyDescent="0.2">
      <c r="A183" s="268" t="s">
        <v>1303</v>
      </c>
      <c r="B183" s="268" t="s">
        <v>2239</v>
      </c>
      <c r="C183" s="268" t="s">
        <v>2216</v>
      </c>
      <c r="D183" s="268" t="s">
        <v>2217</v>
      </c>
      <c r="E183" s="268"/>
      <c r="F183" s="268" t="s">
        <v>2624</v>
      </c>
      <c r="G183" s="12" t="b" cm="1">
        <f t="array" ref="G183">COntains(ActiveDirectoryComputers[[#This Row],[computer.operatingSystem]], "Pro")</f>
        <v>0</v>
      </c>
      <c r="H183" s="306" t="b">
        <v>0</v>
      </c>
      <c r="I183" s="325" t="b">
        <v>0</v>
      </c>
      <c r="J183" s="307"/>
    </row>
    <row r="184" spans="1:10" x14ac:dyDescent="0.2">
      <c r="A184" s="268" t="s">
        <v>1864</v>
      </c>
      <c r="B184" s="268" t="s">
        <v>2240</v>
      </c>
      <c r="C184" s="268" t="s">
        <v>2326</v>
      </c>
      <c r="D184" s="268" t="s">
        <v>2423</v>
      </c>
      <c r="E184" s="268"/>
      <c r="F184" s="268" t="s">
        <v>2625</v>
      </c>
      <c r="G184" s="12" t="b" cm="1">
        <f t="array" ref="G184">COntains(ActiveDirectoryComputers[[#This Row],[computer.operatingSystem]], "Pro")</f>
        <v>0</v>
      </c>
      <c r="H184" s="306" t="b">
        <v>0</v>
      </c>
      <c r="I184" s="338" t="b">
        <v>0</v>
      </c>
      <c r="J184" s="307"/>
    </row>
    <row r="185" spans="1:10" x14ac:dyDescent="0.2">
      <c r="A185" s="268" t="s">
        <v>1689</v>
      </c>
      <c r="B185" s="268" t="s">
        <v>3741</v>
      </c>
      <c r="C185" s="268" t="s">
        <v>2326</v>
      </c>
      <c r="D185" s="268" t="s">
        <v>2217</v>
      </c>
      <c r="E185" s="268"/>
      <c r="F185" s="268" t="s">
        <v>3742</v>
      </c>
      <c r="G185" s="12" t="b" cm="1">
        <f t="array" ref="G185">COntains(ActiveDirectoryComputers[[#This Row],[computer.operatingSystem]], "Pro")</f>
        <v>0</v>
      </c>
      <c r="H185" s="306" t="b">
        <v>0</v>
      </c>
      <c r="I185" s="325" t="b">
        <v>1</v>
      </c>
      <c r="J185" s="307"/>
    </row>
    <row r="186" spans="1:10" x14ac:dyDescent="0.2">
      <c r="A186" s="319" t="s">
        <v>2134</v>
      </c>
      <c r="B186" s="319" t="s">
        <v>2242</v>
      </c>
      <c r="C186" s="319" t="s">
        <v>2216</v>
      </c>
      <c r="D186" s="319" t="s">
        <v>2423</v>
      </c>
      <c r="E186" s="319"/>
      <c r="F186" s="319" t="s">
        <v>2626</v>
      </c>
      <c r="G186" s="12" t="b" cm="1">
        <f t="array" ref="G186">COntains(ActiveDirectoryComputers[[#This Row],[computer.operatingSystem]], "Pro")</f>
        <v>0</v>
      </c>
      <c r="H186" s="306" t="b">
        <v>0</v>
      </c>
      <c r="I186" s="308" t="b">
        <v>0</v>
      </c>
      <c r="J186" s="307"/>
    </row>
    <row r="187" spans="1:10" x14ac:dyDescent="0.2">
      <c r="A187" s="319" t="s">
        <v>2137</v>
      </c>
      <c r="B187" s="319" t="s">
        <v>2243</v>
      </c>
      <c r="C187" s="319" t="s">
        <v>2216</v>
      </c>
      <c r="D187" s="319" t="s">
        <v>2423</v>
      </c>
      <c r="E187" s="319"/>
      <c r="F187" s="319" t="s">
        <v>2627</v>
      </c>
      <c r="G187" s="12" t="b" cm="1">
        <f t="array" ref="G187">COntains(ActiveDirectoryComputers[[#This Row],[computer.operatingSystem]], "Pro")</f>
        <v>0</v>
      </c>
      <c r="H187" s="306" t="b">
        <v>0</v>
      </c>
      <c r="I187" s="338" t="b">
        <v>0</v>
      </c>
      <c r="J187" s="307"/>
    </row>
    <row r="188" spans="1:10" x14ac:dyDescent="0.2">
      <c r="A188" s="319" t="s">
        <v>616</v>
      </c>
      <c r="B188" s="319" t="s">
        <v>2244</v>
      </c>
      <c r="C188" s="319" t="s">
        <v>2224</v>
      </c>
      <c r="D188" s="319" t="s">
        <v>2423</v>
      </c>
      <c r="E188" s="319"/>
      <c r="F188" s="319" t="s">
        <v>2628</v>
      </c>
      <c r="G188" s="12" t="b" cm="1">
        <f t="array" ref="G188">COntains(ActiveDirectoryComputers[[#This Row],[computer.operatingSystem]], "Pro")</f>
        <v>1</v>
      </c>
      <c r="H188" s="306" t="b">
        <v>0</v>
      </c>
      <c r="I188" s="338" t="b">
        <v>0</v>
      </c>
      <c r="J188" s="307"/>
    </row>
    <row r="189" spans="1:10" x14ac:dyDescent="0.2">
      <c r="A189" s="268" t="s">
        <v>618</v>
      </c>
      <c r="B189" s="268" t="s">
        <v>2245</v>
      </c>
      <c r="C189" s="268" t="s">
        <v>2224</v>
      </c>
      <c r="D189" s="268" t="s">
        <v>2217</v>
      </c>
      <c r="E189" s="268"/>
      <c r="F189" s="268" t="s">
        <v>2629</v>
      </c>
      <c r="G189" s="12" t="b" cm="1">
        <f t="array" ref="G189">COntains(ActiveDirectoryComputers[[#This Row],[computer.operatingSystem]], "Pro")</f>
        <v>1</v>
      </c>
      <c r="H189" s="306" t="b">
        <v>0</v>
      </c>
      <c r="I189" s="338" t="b">
        <v>0</v>
      </c>
      <c r="J189" s="307"/>
    </row>
    <row r="190" spans="1:10" x14ac:dyDescent="0.2">
      <c r="A190" s="319" t="s">
        <v>420</v>
      </c>
      <c r="B190" s="319"/>
      <c r="C190" s="319" t="s">
        <v>2213</v>
      </c>
      <c r="D190" s="319" t="s">
        <v>2214</v>
      </c>
      <c r="E190" s="319"/>
      <c r="F190" s="319" t="s">
        <v>2513</v>
      </c>
      <c r="G190" s="12" t="b" cm="1">
        <f t="array" ref="G190">COntains(ActiveDirectoryComputers[[#This Row],[computer.operatingSystem]], "Pro")</f>
        <v>0</v>
      </c>
      <c r="H190" s="306" t="b">
        <v>0</v>
      </c>
      <c r="I190" s="338" t="b">
        <v>0</v>
      </c>
      <c r="J190" s="307"/>
    </row>
    <row r="191" spans="1:10" x14ac:dyDescent="0.2">
      <c r="A191" s="319" t="s">
        <v>819</v>
      </c>
      <c r="B191" s="319"/>
      <c r="C191" s="319"/>
      <c r="D191" s="319"/>
      <c r="E191" s="319"/>
      <c r="F191" s="319" t="s">
        <v>2515</v>
      </c>
      <c r="G191" s="12" t="b" cm="1">
        <f t="array" ref="G191">COntains(ActiveDirectoryComputers[[#This Row],[computer.operatingSystem]], "Pro")</f>
        <v>0</v>
      </c>
      <c r="H191" s="306" t="b">
        <v>0</v>
      </c>
      <c r="I191" s="338" t="b">
        <v>0</v>
      </c>
      <c r="J191" s="307"/>
    </row>
    <row r="192" spans="1:10" x14ac:dyDescent="0.2">
      <c r="A192" s="319" t="s">
        <v>1369</v>
      </c>
      <c r="B192" s="319"/>
      <c r="C192" s="319" t="s">
        <v>2216</v>
      </c>
      <c r="D192" s="319" t="s">
        <v>2229</v>
      </c>
      <c r="E192" s="319"/>
      <c r="F192" s="319" t="s">
        <v>2445</v>
      </c>
      <c r="G192" s="12" t="b" cm="1">
        <f t="array" ref="G192">COntains(ActiveDirectoryComputers[[#This Row],[computer.operatingSystem]], "Pro")</f>
        <v>0</v>
      </c>
      <c r="H192" s="306" t="b">
        <v>0</v>
      </c>
      <c r="I192" s="338" t="b">
        <v>0</v>
      </c>
      <c r="J192" s="307"/>
    </row>
    <row r="193" spans="1:10" x14ac:dyDescent="0.2">
      <c r="A193" s="319" t="s">
        <v>2273</v>
      </c>
      <c r="B193" s="319"/>
      <c r="C193" s="319" t="s">
        <v>2219</v>
      </c>
      <c r="D193" s="319" t="s">
        <v>2220</v>
      </c>
      <c r="E193" s="319"/>
      <c r="F193" s="319" t="s">
        <v>2516</v>
      </c>
      <c r="G193" s="12" t="b" cm="1">
        <f t="array" ref="G193">COntains(ActiveDirectoryComputers[[#This Row],[computer.operatingSystem]], "Pro")</f>
        <v>0</v>
      </c>
      <c r="H193" s="306" t="b">
        <v>0</v>
      </c>
      <c r="I193" s="308" t="b">
        <v>0</v>
      </c>
      <c r="J193" s="307"/>
    </row>
    <row r="194" spans="1:10" x14ac:dyDescent="0.2">
      <c r="A194" s="319" t="s">
        <v>2274</v>
      </c>
      <c r="B194" s="319"/>
      <c r="C194" s="319" t="s">
        <v>2213</v>
      </c>
      <c r="D194" s="319" t="s">
        <v>2214</v>
      </c>
      <c r="E194" s="319"/>
      <c r="F194" s="319" t="s">
        <v>2517</v>
      </c>
      <c r="G194" s="12" t="b" cm="1">
        <f t="array" ref="G194">COntains(ActiveDirectoryComputers[[#This Row],[computer.operatingSystem]], "Pro")</f>
        <v>0</v>
      </c>
      <c r="H194" s="306" t="b">
        <v>0</v>
      </c>
      <c r="I194" s="338" t="b">
        <v>0</v>
      </c>
      <c r="J194" s="307"/>
    </row>
    <row r="195" spans="1:10" x14ac:dyDescent="0.2">
      <c r="A195" s="268" t="s">
        <v>3627</v>
      </c>
      <c r="B195" s="268"/>
      <c r="C195" s="268" t="s">
        <v>3628</v>
      </c>
      <c r="D195" s="268" t="s">
        <v>2217</v>
      </c>
      <c r="E195" s="268"/>
      <c r="F195" s="268" t="s">
        <v>3629</v>
      </c>
      <c r="G195" s="12" t="b" cm="1">
        <f t="array" ref="G195">COntains(ActiveDirectoryComputers[[#This Row],[computer.operatingSystem]], "Pro")</f>
        <v>0</v>
      </c>
      <c r="H195" s="306" t="b">
        <v>0</v>
      </c>
      <c r="I195" s="325" t="b">
        <v>0</v>
      </c>
      <c r="J195" s="307"/>
    </row>
    <row r="196" spans="1:10" x14ac:dyDescent="0.2">
      <c r="A196" s="319" t="s">
        <v>3630</v>
      </c>
      <c r="B196" s="319"/>
      <c r="C196" s="319" t="s">
        <v>3628</v>
      </c>
      <c r="D196" s="319" t="s">
        <v>2217</v>
      </c>
      <c r="E196" s="319"/>
      <c r="F196" s="319" t="s">
        <v>3631</v>
      </c>
      <c r="G196" s="12" t="b" cm="1">
        <f t="array" ref="G196">COntains(ActiveDirectoryComputers[[#This Row],[computer.operatingSystem]], "Pro")</f>
        <v>0</v>
      </c>
      <c r="H196" s="306" t="b">
        <v>0</v>
      </c>
      <c r="I196" s="308" t="b">
        <v>0</v>
      </c>
      <c r="J196" s="307"/>
    </row>
    <row r="197" spans="1:10" x14ac:dyDescent="0.2">
      <c r="A197" s="319" t="s">
        <v>2279</v>
      </c>
      <c r="B197" s="319"/>
      <c r="C197" s="319" t="s">
        <v>2216</v>
      </c>
      <c r="D197" s="319" t="s">
        <v>2229</v>
      </c>
      <c r="E197" s="319"/>
      <c r="F197" s="319" t="s">
        <v>2446</v>
      </c>
      <c r="G197" s="12" t="b" cm="1">
        <f t="array" ref="G197">COntains(ActiveDirectoryComputers[[#This Row],[computer.operatingSystem]], "Pro")</f>
        <v>0</v>
      </c>
      <c r="H197" s="306" t="b">
        <v>0</v>
      </c>
      <c r="I197" s="338" t="b">
        <v>0</v>
      </c>
      <c r="J197" s="307"/>
    </row>
    <row r="198" spans="1:10" x14ac:dyDescent="0.2">
      <c r="A198" s="319" t="s">
        <v>1392</v>
      </c>
      <c r="B198" s="319"/>
      <c r="C198" s="319" t="s">
        <v>2219</v>
      </c>
      <c r="D198" s="319" t="s">
        <v>2220</v>
      </c>
      <c r="E198" s="319"/>
      <c r="F198" s="319" t="s">
        <v>2518</v>
      </c>
      <c r="G198" s="12" t="b" cm="1">
        <f t="array" ref="G198">COntains(ActiveDirectoryComputers[[#This Row],[computer.operatingSystem]], "Pro")</f>
        <v>0</v>
      </c>
      <c r="H198" s="306" t="b">
        <v>0</v>
      </c>
      <c r="I198" s="308" t="b">
        <v>0</v>
      </c>
      <c r="J198" s="307"/>
    </row>
    <row r="199" spans="1:10" x14ac:dyDescent="0.2">
      <c r="A199" s="268" t="s">
        <v>2057</v>
      </c>
      <c r="B199" s="268"/>
      <c r="C199" s="268" t="s">
        <v>2224</v>
      </c>
      <c r="D199" s="268" t="s">
        <v>2230</v>
      </c>
      <c r="E199" s="268"/>
      <c r="F199" s="268" t="s">
        <v>2519</v>
      </c>
      <c r="G199" s="12" t="b" cm="1">
        <f t="array" ref="G199">COntains(ActiveDirectoryComputers[[#This Row],[computer.operatingSystem]], "Pro")</f>
        <v>1</v>
      </c>
      <c r="H199" s="306" t="b">
        <v>0</v>
      </c>
      <c r="I199" s="325" t="b">
        <v>0</v>
      </c>
      <c r="J199" s="307"/>
    </row>
    <row r="200" spans="1:10" x14ac:dyDescent="0.2">
      <c r="A200" s="319" t="s">
        <v>1438</v>
      </c>
      <c r="B200" s="319"/>
      <c r="C200" s="319" t="s">
        <v>2213</v>
      </c>
      <c r="D200" s="319" t="s">
        <v>2214</v>
      </c>
      <c r="E200" s="319"/>
      <c r="F200" s="319" t="s">
        <v>2521</v>
      </c>
      <c r="G200" s="12" t="b" cm="1">
        <f t="array" ref="G200">COntains(ActiveDirectoryComputers[[#This Row],[computer.operatingSystem]], "Pro")</f>
        <v>0</v>
      </c>
      <c r="H200" s="306" t="b">
        <v>0</v>
      </c>
      <c r="I200" s="308" t="b">
        <v>0</v>
      </c>
      <c r="J200" s="307"/>
    </row>
    <row r="201" spans="1:10" x14ac:dyDescent="0.2">
      <c r="A201" s="319" t="s">
        <v>539</v>
      </c>
      <c r="B201" s="319"/>
      <c r="C201" s="319" t="s">
        <v>2252</v>
      </c>
      <c r="D201" s="319" t="s">
        <v>2214</v>
      </c>
      <c r="E201" s="319"/>
      <c r="F201" s="319" t="s">
        <v>2520</v>
      </c>
      <c r="G201" s="12" t="b" cm="1">
        <f t="array" ref="G201">COntains(ActiveDirectoryComputers[[#This Row],[computer.operatingSystem]], "Pro")</f>
        <v>1</v>
      </c>
      <c r="H201" s="306" t="b">
        <v>0</v>
      </c>
      <c r="I201" s="308" t="b">
        <v>0</v>
      </c>
      <c r="J201" s="307"/>
    </row>
    <row r="202" spans="1:10" x14ac:dyDescent="0.2">
      <c r="A202" s="151" t="s">
        <v>1454</v>
      </c>
      <c r="B202" s="151"/>
      <c r="C202" s="151" t="s">
        <v>2216</v>
      </c>
      <c r="D202" s="151" t="s">
        <v>2229</v>
      </c>
      <c r="E202" s="151"/>
      <c r="F202" s="151" t="s">
        <v>2448</v>
      </c>
      <c r="G202" s="12" t="b" cm="1">
        <f t="array" ref="G202">COntains(ActiveDirectoryComputers[[#This Row],[computer.operatingSystem]], "Pro")</f>
        <v>0</v>
      </c>
      <c r="H202" s="306" t="b">
        <v>0</v>
      </c>
      <c r="I202" s="308" t="b">
        <v>0</v>
      </c>
      <c r="J202" s="307"/>
    </row>
    <row r="203" spans="1:10" x14ac:dyDescent="0.2">
      <c r="A203" s="151" t="s">
        <v>2292</v>
      </c>
      <c r="B203" s="151"/>
      <c r="C203" s="151" t="s">
        <v>2216</v>
      </c>
      <c r="D203" s="151" t="s">
        <v>2229</v>
      </c>
      <c r="E203" s="151"/>
      <c r="F203" s="151" t="s">
        <v>2452</v>
      </c>
      <c r="G203" s="12" t="b" cm="1">
        <f t="array" ref="G203">COntains(ActiveDirectoryComputers[[#This Row],[computer.operatingSystem]], "Pro")</f>
        <v>0</v>
      </c>
      <c r="H203" s="306" t="b">
        <v>0</v>
      </c>
      <c r="I203" s="308" t="b">
        <v>0</v>
      </c>
      <c r="J203" s="307"/>
    </row>
    <row r="204" spans="1:10" x14ac:dyDescent="0.2">
      <c r="A204" s="319" t="s">
        <v>297</v>
      </c>
      <c r="B204" s="319"/>
      <c r="C204" s="319" t="s">
        <v>2213</v>
      </c>
      <c r="D204" s="319" t="s">
        <v>2214</v>
      </c>
      <c r="E204" s="319"/>
      <c r="F204" s="319" t="s">
        <v>2523</v>
      </c>
      <c r="G204" s="12" t="b" cm="1">
        <f t="array" ref="G204">COntains(ActiveDirectoryComputers[[#This Row],[computer.operatingSystem]], "Pro")</f>
        <v>0</v>
      </c>
      <c r="H204" s="306" t="b">
        <v>0</v>
      </c>
      <c r="I204" s="308" t="b">
        <v>0</v>
      </c>
      <c r="J204" s="307"/>
    </row>
    <row r="205" spans="1:10" x14ac:dyDescent="0.2">
      <c r="A205" s="151" t="s">
        <v>2301</v>
      </c>
      <c r="B205" s="151"/>
      <c r="C205" s="151" t="s">
        <v>2252</v>
      </c>
      <c r="D205" s="151" t="s">
        <v>2302</v>
      </c>
      <c r="E205" s="151" t="s">
        <v>2227</v>
      </c>
      <c r="F205" s="151" t="s">
        <v>2613</v>
      </c>
      <c r="G205" s="12" t="b" cm="1">
        <f t="array" ref="G205">COntains(ActiveDirectoryComputers[[#This Row],[computer.operatingSystem]], "Pro")</f>
        <v>1</v>
      </c>
      <c r="H205" s="306" t="b">
        <v>0</v>
      </c>
      <c r="I205" s="308" t="b">
        <v>0</v>
      </c>
      <c r="J205" s="307"/>
    </row>
    <row r="206" spans="1:10" x14ac:dyDescent="0.2">
      <c r="A206" s="319" t="s">
        <v>1577</v>
      </c>
      <c r="B206" s="319"/>
      <c r="C206" s="319" t="s">
        <v>2213</v>
      </c>
      <c r="D206" s="319" t="s">
        <v>2214</v>
      </c>
      <c r="E206" s="319"/>
      <c r="F206" s="319" t="s">
        <v>2526</v>
      </c>
      <c r="G206" s="12" t="b" cm="1">
        <f t="array" ref="G206">COntains(ActiveDirectoryComputers[[#This Row],[computer.operatingSystem]], "Pro")</f>
        <v>0</v>
      </c>
      <c r="H206" s="306" t="b">
        <v>0</v>
      </c>
      <c r="I206" s="338" t="b">
        <v>0</v>
      </c>
      <c r="J206" s="307"/>
    </row>
    <row r="207" spans="1:10" x14ac:dyDescent="0.2">
      <c r="A207" s="319" t="s">
        <v>2303</v>
      </c>
      <c r="B207" s="319"/>
      <c r="C207" s="319" t="s">
        <v>2304</v>
      </c>
      <c r="D207" s="319" t="s">
        <v>2226</v>
      </c>
      <c r="E207" s="319"/>
      <c r="F207" s="319" t="s">
        <v>2564</v>
      </c>
      <c r="G207" s="12" t="b" cm="1">
        <f t="array" ref="G207">COntains(ActiveDirectoryComputers[[#This Row],[computer.operatingSystem]], "Pro")</f>
        <v>0</v>
      </c>
      <c r="H207" s="306" t="b">
        <v>0</v>
      </c>
      <c r="I207" s="338" t="b">
        <v>0</v>
      </c>
      <c r="J207" s="307"/>
    </row>
    <row r="208" spans="1:10" x14ac:dyDescent="0.2">
      <c r="A208" s="268" t="s">
        <v>1583</v>
      </c>
      <c r="B208" s="268"/>
      <c r="C208" s="268" t="s">
        <v>2305</v>
      </c>
      <c r="D208" s="268" t="s">
        <v>2306</v>
      </c>
      <c r="E208" s="268"/>
      <c r="F208" s="268" t="s">
        <v>2565</v>
      </c>
      <c r="G208" s="12" t="b" cm="1">
        <f t="array" ref="G208">COntains(ActiveDirectoryComputers[[#This Row],[computer.operatingSystem]], "Pro")</f>
        <v>0</v>
      </c>
      <c r="H208" s="306" t="b">
        <v>0</v>
      </c>
      <c r="I208" s="308" t="b">
        <v>0</v>
      </c>
      <c r="J208" s="307"/>
    </row>
    <row r="209" spans="1:10" x14ac:dyDescent="0.2">
      <c r="A209" s="268" t="s">
        <v>932</v>
      </c>
      <c r="B209" s="268"/>
      <c r="C209" s="268" t="s">
        <v>2216</v>
      </c>
      <c r="D209" s="268" t="s">
        <v>2229</v>
      </c>
      <c r="E209" s="268"/>
      <c r="F209" s="268" t="s">
        <v>2527</v>
      </c>
      <c r="G209" s="12" t="b" cm="1">
        <f t="array" ref="G209">COntains(ActiveDirectoryComputers[[#This Row],[computer.operatingSystem]], "Pro")</f>
        <v>0</v>
      </c>
      <c r="H209" s="306" t="b">
        <v>0</v>
      </c>
      <c r="I209" s="325" t="b">
        <v>0</v>
      </c>
      <c r="J209" s="307"/>
    </row>
    <row r="210" spans="1:10" x14ac:dyDescent="0.2">
      <c r="A210" s="268" t="s">
        <v>1590</v>
      </c>
      <c r="B210" s="268"/>
      <c r="C210" s="268" t="s">
        <v>2252</v>
      </c>
      <c r="D210" s="268" t="s">
        <v>2214</v>
      </c>
      <c r="E210" s="268"/>
      <c r="F210" s="268" t="s">
        <v>2528</v>
      </c>
      <c r="G210" s="12" t="b" cm="1">
        <f t="array" ref="G210">COntains(ActiveDirectoryComputers[[#This Row],[computer.operatingSystem]], "Pro")</f>
        <v>1</v>
      </c>
      <c r="H210" s="306" t="b">
        <v>0</v>
      </c>
      <c r="I210" s="325" t="b">
        <v>0</v>
      </c>
      <c r="J210" s="307"/>
    </row>
    <row r="211" spans="1:10" x14ac:dyDescent="0.2">
      <c r="A211" s="319" t="s">
        <v>1591</v>
      </c>
      <c r="B211" s="319"/>
      <c r="C211" s="319" t="s">
        <v>2225</v>
      </c>
      <c r="D211" s="319" t="s">
        <v>2226</v>
      </c>
      <c r="E211" s="319"/>
      <c r="F211" s="319" t="s">
        <v>2529</v>
      </c>
      <c r="G211" s="12" t="b" cm="1">
        <f t="array" ref="G211">COntains(ActiveDirectoryComputers[[#This Row],[computer.operatingSystem]], "Pro")</f>
        <v>0</v>
      </c>
      <c r="H211" s="306" t="b">
        <v>0</v>
      </c>
      <c r="I211" s="338" t="b">
        <v>0</v>
      </c>
      <c r="J211" s="307"/>
    </row>
    <row r="212" spans="1:10" x14ac:dyDescent="0.2">
      <c r="A212" s="151" t="s">
        <v>1611</v>
      </c>
      <c r="B212" s="151"/>
      <c r="C212" s="151" t="s">
        <v>2225</v>
      </c>
      <c r="D212" s="151" t="s">
        <v>2226</v>
      </c>
      <c r="E212" s="151"/>
      <c r="F212" s="151" t="s">
        <v>2531</v>
      </c>
      <c r="G212" s="12" t="b" cm="1">
        <f t="array" ref="G212">COntains(ActiveDirectoryComputers[[#This Row],[computer.operatingSystem]], "Pro")</f>
        <v>0</v>
      </c>
      <c r="H212" s="306" t="b">
        <v>0</v>
      </c>
      <c r="I212" s="308" t="b">
        <v>0</v>
      </c>
      <c r="J212" s="307"/>
    </row>
    <row r="213" spans="1:10" x14ac:dyDescent="0.2">
      <c r="A213" s="151" t="s">
        <v>1632</v>
      </c>
      <c r="B213" s="151"/>
      <c r="C213" s="151" t="s">
        <v>2213</v>
      </c>
      <c r="D213" s="151" t="s">
        <v>2214</v>
      </c>
      <c r="E213" s="151"/>
      <c r="F213" s="151" t="s">
        <v>2532</v>
      </c>
      <c r="G213" s="12" t="b" cm="1">
        <f t="array" ref="G213">COntains(ActiveDirectoryComputers[[#This Row],[computer.operatingSystem]], "Pro")</f>
        <v>0</v>
      </c>
      <c r="H213" s="306" t="b">
        <v>0</v>
      </c>
      <c r="I213" s="308" t="b">
        <v>0</v>
      </c>
      <c r="J213" s="307"/>
    </row>
    <row r="214" spans="1:10" x14ac:dyDescent="0.2">
      <c r="A214" s="151" t="s">
        <v>1635</v>
      </c>
      <c r="B214" s="151"/>
      <c r="C214" s="151" t="s">
        <v>2213</v>
      </c>
      <c r="D214" s="151" t="s">
        <v>2214</v>
      </c>
      <c r="E214" s="151"/>
      <c r="F214" s="151" t="s">
        <v>2533</v>
      </c>
      <c r="G214" s="12" t="b" cm="1">
        <f t="array" ref="G214">COntains(ActiveDirectoryComputers[[#This Row],[computer.operatingSystem]], "Pro")</f>
        <v>0</v>
      </c>
      <c r="H214" s="306" t="b">
        <v>0</v>
      </c>
      <c r="I214" s="308" t="b">
        <v>0</v>
      </c>
      <c r="J214" s="307"/>
    </row>
    <row r="215" spans="1:10" x14ac:dyDescent="0.2">
      <c r="A215" s="319" t="s">
        <v>1646</v>
      </c>
      <c r="B215" s="319"/>
      <c r="C215" s="319" t="s">
        <v>2213</v>
      </c>
      <c r="D215" s="319" t="s">
        <v>2214</v>
      </c>
      <c r="E215" s="319"/>
      <c r="F215" s="319" t="s">
        <v>2534</v>
      </c>
      <c r="G215" s="12" t="b" cm="1">
        <f t="array" ref="G215">COntains(ActiveDirectoryComputers[[#This Row],[computer.operatingSystem]], "Pro")</f>
        <v>0</v>
      </c>
      <c r="H215" s="306" t="b">
        <v>0</v>
      </c>
      <c r="I215" s="308" t="b">
        <v>0</v>
      </c>
      <c r="J215" s="307"/>
    </row>
    <row r="216" spans="1:10" x14ac:dyDescent="0.2">
      <c r="A216" s="151" t="s">
        <v>1648</v>
      </c>
      <c r="B216" s="151"/>
      <c r="C216" s="151" t="s">
        <v>2219</v>
      </c>
      <c r="D216" s="151" t="s">
        <v>2220</v>
      </c>
      <c r="E216" s="151"/>
      <c r="F216" s="151" t="s">
        <v>2535</v>
      </c>
      <c r="G216" s="12" t="b" cm="1">
        <f t="array" ref="G216">COntains(ActiveDirectoryComputers[[#This Row],[computer.operatingSystem]], "Pro")</f>
        <v>0</v>
      </c>
      <c r="H216" s="306" t="b">
        <v>0</v>
      </c>
      <c r="I216" s="308" t="b">
        <v>0</v>
      </c>
      <c r="J216" s="307"/>
    </row>
    <row r="217" spans="1:10" x14ac:dyDescent="0.2">
      <c r="A217" s="319" t="s">
        <v>1658</v>
      </c>
      <c r="B217" s="319"/>
      <c r="C217" s="319" t="s">
        <v>2213</v>
      </c>
      <c r="D217" s="319" t="s">
        <v>2214</v>
      </c>
      <c r="E217" s="319"/>
      <c r="F217" s="319" t="s">
        <v>2536</v>
      </c>
      <c r="G217" s="12" t="b" cm="1">
        <f t="array" ref="G217">COntains(ActiveDirectoryComputers[[#This Row],[computer.operatingSystem]], "Pro")</f>
        <v>0</v>
      </c>
      <c r="H217" s="306" t="b">
        <v>0</v>
      </c>
      <c r="I217" s="308" t="b">
        <v>0</v>
      </c>
      <c r="J217" s="307"/>
    </row>
    <row r="218" spans="1:10" x14ac:dyDescent="0.2">
      <c r="A218" s="268" t="s">
        <v>2320</v>
      </c>
      <c r="B218" s="268"/>
      <c r="C218" s="268" t="s">
        <v>2213</v>
      </c>
      <c r="D218" s="268" t="s">
        <v>2214</v>
      </c>
      <c r="E218" s="268"/>
      <c r="F218" s="268" t="s">
        <v>2537</v>
      </c>
      <c r="G218" s="12" t="b" cm="1">
        <f t="array" ref="G218">COntains(ActiveDirectoryComputers[[#This Row],[computer.operatingSystem]], "Pro")</f>
        <v>0</v>
      </c>
      <c r="H218" s="306" t="b">
        <v>0</v>
      </c>
      <c r="I218" s="325" t="b">
        <v>0</v>
      </c>
      <c r="J218" s="307"/>
    </row>
    <row r="219" spans="1:10" x14ac:dyDescent="0.2">
      <c r="A219" s="268" t="s">
        <v>512</v>
      </c>
      <c r="B219" s="268"/>
      <c r="C219" s="268" t="s">
        <v>2213</v>
      </c>
      <c r="D219" s="268" t="s">
        <v>2214</v>
      </c>
      <c r="E219" s="268"/>
      <c r="F219" s="268" t="s">
        <v>2538</v>
      </c>
      <c r="G219" s="12" t="b" cm="1">
        <f t="array" ref="G219">COntains(ActiveDirectoryComputers[[#This Row],[computer.operatingSystem]], "Pro")</f>
        <v>0</v>
      </c>
      <c r="H219" s="306" t="b">
        <v>0</v>
      </c>
      <c r="I219" s="325" t="b">
        <v>0</v>
      </c>
      <c r="J219" s="307"/>
    </row>
    <row r="220" spans="1:10" x14ac:dyDescent="0.2">
      <c r="A220" s="319" t="s">
        <v>1673</v>
      </c>
      <c r="B220" s="319"/>
      <c r="C220" s="319" t="s">
        <v>2216</v>
      </c>
      <c r="D220" s="319" t="s">
        <v>2229</v>
      </c>
      <c r="E220" s="319"/>
      <c r="F220" s="319" t="s">
        <v>3733</v>
      </c>
      <c r="G220" s="12" t="b" cm="1">
        <f t="array" ref="G220">COntains(ActiveDirectoryComputers[[#This Row],[computer.operatingSystem]], "Pro")</f>
        <v>0</v>
      </c>
      <c r="H220" s="306" t="b">
        <v>0</v>
      </c>
      <c r="I220" s="338" t="b">
        <v>0</v>
      </c>
      <c r="J220" s="307"/>
    </row>
    <row r="221" spans="1:10" x14ac:dyDescent="0.2">
      <c r="A221" s="319" t="s">
        <v>2331</v>
      </c>
      <c r="B221" s="319"/>
      <c r="C221" s="319" t="s">
        <v>2213</v>
      </c>
      <c r="D221" s="319" t="s">
        <v>2214</v>
      </c>
      <c r="E221" s="319"/>
      <c r="F221" s="319" t="s">
        <v>2542</v>
      </c>
      <c r="G221" s="12" t="b" cm="1">
        <f t="array" ref="G221">COntains(ActiveDirectoryComputers[[#This Row],[computer.operatingSystem]], "Pro")</f>
        <v>0</v>
      </c>
      <c r="H221" s="306" t="b">
        <v>0</v>
      </c>
      <c r="I221" s="338" t="b">
        <v>0</v>
      </c>
      <c r="J221" s="307"/>
    </row>
    <row r="222" spans="1:10" x14ac:dyDescent="0.2">
      <c r="A222" s="319" t="s">
        <v>3730</v>
      </c>
      <c r="B222" s="319"/>
      <c r="C222" s="319" t="s">
        <v>2224</v>
      </c>
      <c r="D222" s="319" t="s">
        <v>2217</v>
      </c>
      <c r="E222" s="319"/>
      <c r="F222" s="319" t="s">
        <v>3731</v>
      </c>
      <c r="G222" s="12" t="b" cm="1">
        <f t="array" ref="G222">COntains(ActiveDirectoryComputers[[#This Row],[computer.operatingSystem]], "Pro")</f>
        <v>1</v>
      </c>
      <c r="H222" s="306" t="b">
        <v>0</v>
      </c>
      <c r="I222" s="338" t="b">
        <v>0</v>
      </c>
      <c r="J222" s="307"/>
    </row>
    <row r="223" spans="1:10" x14ac:dyDescent="0.2">
      <c r="A223" s="319" t="s">
        <v>1696</v>
      </c>
      <c r="B223" s="319"/>
      <c r="C223" s="319" t="s">
        <v>2216</v>
      </c>
      <c r="D223" s="319" t="s">
        <v>2229</v>
      </c>
      <c r="E223" s="319"/>
      <c r="F223" s="319" t="s">
        <v>2498</v>
      </c>
      <c r="G223" s="12" t="b" cm="1">
        <f t="array" ref="G223">COntains(ActiveDirectoryComputers[[#This Row],[computer.operatingSystem]], "Pro")</f>
        <v>0</v>
      </c>
      <c r="H223" s="306" t="b">
        <v>0</v>
      </c>
      <c r="I223" s="338" t="b">
        <v>0</v>
      </c>
      <c r="J223" s="307"/>
    </row>
    <row r="224" spans="1:10" x14ac:dyDescent="0.2">
      <c r="A224" s="151" t="s">
        <v>1707</v>
      </c>
      <c r="B224" s="151"/>
      <c r="C224" s="151" t="s">
        <v>2213</v>
      </c>
      <c r="D224" s="151" t="s">
        <v>2214</v>
      </c>
      <c r="E224" s="151"/>
      <c r="F224" s="151" t="s">
        <v>2544</v>
      </c>
      <c r="G224" s="12" t="b" cm="1">
        <f t="array" ref="G224">COntains(ActiveDirectoryComputers[[#This Row],[computer.operatingSystem]], "Pro")</f>
        <v>0</v>
      </c>
      <c r="H224" s="306" t="b">
        <v>0</v>
      </c>
      <c r="I224" s="308" t="b">
        <v>0</v>
      </c>
      <c r="J224" s="307"/>
    </row>
    <row r="225" spans="1:10" x14ac:dyDescent="0.2">
      <c r="A225" s="268" t="s">
        <v>2346</v>
      </c>
      <c r="B225" s="268"/>
      <c r="C225" s="268" t="s">
        <v>2216</v>
      </c>
      <c r="D225" s="268" t="s">
        <v>2217</v>
      </c>
      <c r="E225" s="268"/>
      <c r="F225" s="268" t="s">
        <v>3616</v>
      </c>
      <c r="G225" s="12" t="b" cm="1">
        <f t="array" ref="G225">COntains(ActiveDirectoryComputers[[#This Row],[computer.operatingSystem]], "Pro")</f>
        <v>0</v>
      </c>
      <c r="H225" s="306" t="b">
        <v>0</v>
      </c>
      <c r="I225" s="325" t="b">
        <v>0</v>
      </c>
      <c r="J225" s="307"/>
    </row>
    <row r="226" spans="1:10" x14ac:dyDescent="0.2">
      <c r="A226" s="151" t="s">
        <v>1726</v>
      </c>
      <c r="B226" s="151"/>
      <c r="C226" s="151"/>
      <c r="D226" s="151"/>
      <c r="E226" s="151"/>
      <c r="F226" s="151" t="s">
        <v>2568</v>
      </c>
      <c r="G226" s="12" t="b" cm="1">
        <f t="array" ref="G226">COntains(ActiveDirectoryComputers[[#This Row],[computer.operatingSystem]], "Pro")</f>
        <v>0</v>
      </c>
      <c r="H226" s="306" t="b">
        <v>0</v>
      </c>
      <c r="I226" s="308" t="b">
        <v>0</v>
      </c>
      <c r="J226" s="307"/>
    </row>
    <row r="227" spans="1:10" x14ac:dyDescent="0.2">
      <c r="A227" s="332" t="s">
        <v>1727</v>
      </c>
      <c r="B227" s="332"/>
      <c r="C227" s="332" t="s">
        <v>307</v>
      </c>
      <c r="D227" s="332" t="s">
        <v>2347</v>
      </c>
      <c r="E227" s="332"/>
      <c r="F227" s="319" t="s">
        <v>2569</v>
      </c>
      <c r="G227" s="12" t="b" cm="1">
        <f t="array" ref="G227">COntains(ActiveDirectoryComputers[[#This Row],[computer.operatingSystem]], "Pro")</f>
        <v>0</v>
      </c>
      <c r="H227" s="306" t="b">
        <v>0</v>
      </c>
      <c r="I227" s="308" t="b">
        <v>0</v>
      </c>
      <c r="J227" s="307"/>
    </row>
    <row r="228" spans="1:10" x14ac:dyDescent="0.2">
      <c r="A228" s="319" t="s">
        <v>662</v>
      </c>
      <c r="B228" s="319" t="s">
        <v>2354</v>
      </c>
      <c r="C228" s="319" t="s">
        <v>2216</v>
      </c>
      <c r="D228" s="319" t="s">
        <v>2423</v>
      </c>
      <c r="E228" s="319" t="s">
        <v>2355</v>
      </c>
      <c r="F228" s="319" t="s">
        <v>2615</v>
      </c>
      <c r="G228" s="12" t="b" cm="1">
        <f t="array" ref="G228">COntains(ActiveDirectoryComputers[[#This Row],[computer.operatingSystem]], "Pro")</f>
        <v>0</v>
      </c>
      <c r="H228" s="306" t="b">
        <v>0</v>
      </c>
      <c r="I228" s="308" t="b">
        <v>0</v>
      </c>
      <c r="J228" s="307"/>
    </row>
    <row r="229" spans="1:10" x14ac:dyDescent="0.2">
      <c r="A229" s="319" t="s">
        <v>1742</v>
      </c>
      <c r="B229" s="319"/>
      <c r="C229" s="319" t="s">
        <v>2225</v>
      </c>
      <c r="D229" s="319" t="s">
        <v>2231</v>
      </c>
      <c r="E229" s="319"/>
      <c r="F229" s="319" t="s">
        <v>3623</v>
      </c>
      <c r="G229" s="12" t="b" cm="1">
        <f t="array" ref="G229">COntains(ActiveDirectoryComputers[[#This Row],[computer.operatingSystem]], "Pro")</f>
        <v>0</v>
      </c>
      <c r="H229" s="306" t="b">
        <v>0</v>
      </c>
      <c r="I229" s="338" t="b">
        <v>0</v>
      </c>
      <c r="J229" s="307"/>
    </row>
    <row r="230" spans="1:10" x14ac:dyDescent="0.2">
      <c r="A230" s="268" t="s">
        <v>1745</v>
      </c>
      <c r="B230" s="268"/>
      <c r="C230" s="268" t="s">
        <v>2216</v>
      </c>
      <c r="D230" s="268" t="s">
        <v>2217</v>
      </c>
      <c r="E230" s="268"/>
      <c r="F230" s="268" t="s">
        <v>3617</v>
      </c>
      <c r="G230" s="12" t="b" cm="1">
        <f t="array" ref="G230">COntains(ActiveDirectoryComputers[[#This Row],[computer.operatingSystem]], "Pro")</f>
        <v>0</v>
      </c>
      <c r="H230" s="306" t="b">
        <v>0</v>
      </c>
      <c r="I230" s="325" t="b">
        <v>0</v>
      </c>
      <c r="J230" s="307"/>
    </row>
    <row r="231" spans="1:10" x14ac:dyDescent="0.2">
      <c r="A231" s="319" t="s">
        <v>2358</v>
      </c>
      <c r="B231" s="319"/>
      <c r="C231" s="319"/>
      <c r="D231" s="319"/>
      <c r="E231" s="319"/>
      <c r="F231" s="319" t="s">
        <v>2546</v>
      </c>
      <c r="G231" s="12" t="b" cm="1">
        <f t="array" ref="G231">COntains(ActiveDirectoryComputers[[#This Row],[computer.operatingSystem]], "Pro")</f>
        <v>0</v>
      </c>
      <c r="H231" s="306" t="b">
        <v>0</v>
      </c>
      <c r="I231" s="338" t="b">
        <v>0</v>
      </c>
      <c r="J231" s="307"/>
    </row>
    <row r="232" spans="1:10" x14ac:dyDescent="0.2">
      <c r="A232" s="268" t="s">
        <v>2359</v>
      </c>
      <c r="B232" s="268"/>
      <c r="C232" s="268"/>
      <c r="D232" s="268"/>
      <c r="E232" s="268"/>
      <c r="F232" s="268" t="s">
        <v>2547</v>
      </c>
      <c r="G232" s="12" t="b" cm="1">
        <f t="array" ref="G232">COntains(ActiveDirectoryComputers[[#This Row],[computer.operatingSystem]], "Pro")</f>
        <v>0</v>
      </c>
      <c r="H232" s="306" t="b">
        <v>0</v>
      </c>
      <c r="I232" s="325" t="b">
        <v>0</v>
      </c>
      <c r="J232" s="307"/>
    </row>
    <row r="233" spans="1:10" x14ac:dyDescent="0.2">
      <c r="A233" s="268" t="s">
        <v>996</v>
      </c>
      <c r="B233" s="268" t="s">
        <v>2360</v>
      </c>
      <c r="C233" s="268" t="s">
        <v>2224</v>
      </c>
      <c r="D233" s="268" t="s">
        <v>2423</v>
      </c>
      <c r="E233" s="268" t="s">
        <v>2227</v>
      </c>
      <c r="F233" s="268" t="s">
        <v>2616</v>
      </c>
      <c r="G233" s="12" t="b" cm="1">
        <f t="array" ref="G233">COntains(ActiveDirectoryComputers[[#This Row],[computer.operatingSystem]], "Pro")</f>
        <v>1</v>
      </c>
      <c r="H233" s="306" t="b">
        <v>0</v>
      </c>
      <c r="I233" s="325" t="b">
        <v>0</v>
      </c>
      <c r="J233" s="307"/>
    </row>
    <row r="234" spans="1:10" x14ac:dyDescent="0.2">
      <c r="A234" s="268" t="s">
        <v>3389</v>
      </c>
      <c r="B234" s="268"/>
      <c r="C234" s="268" t="s">
        <v>2326</v>
      </c>
      <c r="D234" s="268" t="s">
        <v>2217</v>
      </c>
      <c r="E234" s="268"/>
      <c r="F234" s="268" t="s">
        <v>3390</v>
      </c>
      <c r="G234" s="12" t="b" cm="1">
        <f t="array" ref="G234">COntains(ActiveDirectoryComputers[[#This Row],[computer.operatingSystem]], "Pro")</f>
        <v>0</v>
      </c>
      <c r="H234" s="306" t="b">
        <v>0</v>
      </c>
      <c r="I234" s="325" t="b">
        <v>1</v>
      </c>
      <c r="J234" s="307"/>
    </row>
    <row r="235" spans="1:10" x14ac:dyDescent="0.2">
      <c r="A235" s="268" t="s">
        <v>3391</v>
      </c>
      <c r="B235" s="268"/>
      <c r="C235" s="268" t="s">
        <v>2326</v>
      </c>
      <c r="D235" s="268" t="s">
        <v>2217</v>
      </c>
      <c r="E235" s="268"/>
      <c r="F235" s="268" t="s">
        <v>3732</v>
      </c>
      <c r="G235" s="12" t="b" cm="1">
        <f t="array" ref="G235">COntains(ActiveDirectoryComputers[[#This Row],[computer.operatingSystem]], "Pro")</f>
        <v>0</v>
      </c>
      <c r="H235" s="306" t="b">
        <v>1</v>
      </c>
      <c r="I235" s="325" t="b">
        <v>1</v>
      </c>
      <c r="J235" s="307"/>
    </row>
    <row r="236" spans="1:10" x14ac:dyDescent="0.2">
      <c r="A236" s="151" t="s">
        <v>1099</v>
      </c>
      <c r="B236" s="151"/>
      <c r="C236" s="151" t="s">
        <v>2252</v>
      </c>
      <c r="D236" s="151" t="s">
        <v>2214</v>
      </c>
      <c r="E236" s="151"/>
      <c r="F236" s="151" t="s">
        <v>2558</v>
      </c>
      <c r="G236" s="12" t="b" cm="1">
        <f t="array" ref="G236">COntains(ActiveDirectoryComputers[[#This Row],[computer.operatingSystem]], "Pro")</f>
        <v>1</v>
      </c>
      <c r="H236" s="306" t="b">
        <v>0</v>
      </c>
      <c r="I236" s="308" t="b">
        <v>0</v>
      </c>
      <c r="J236" s="307"/>
    </row>
    <row r="237" spans="1:10" x14ac:dyDescent="0.2">
      <c r="A237" s="268" t="s">
        <v>1108</v>
      </c>
      <c r="B237" s="268"/>
      <c r="C237" s="268" t="s">
        <v>2216</v>
      </c>
      <c r="D237" s="268" t="s">
        <v>2217</v>
      </c>
      <c r="E237" s="268"/>
      <c r="F237" s="268" t="s">
        <v>2500</v>
      </c>
      <c r="G237" s="12" t="b" cm="1">
        <f t="array" ref="G237">COntains(ActiveDirectoryComputers[[#This Row],[computer.operatingSystem]], "Pro")</f>
        <v>0</v>
      </c>
      <c r="H237" s="306" t="b">
        <v>0</v>
      </c>
      <c r="I237" s="325" t="b">
        <v>0</v>
      </c>
      <c r="J237" s="307"/>
    </row>
    <row r="238" spans="1:10" x14ac:dyDescent="0.2">
      <c r="A238" s="268" t="s">
        <v>2368</v>
      </c>
      <c r="B238" s="268"/>
      <c r="C238" s="268" t="s">
        <v>2216</v>
      </c>
      <c r="D238" s="268" t="s">
        <v>2217</v>
      </c>
      <c r="E238" s="268"/>
      <c r="F238" s="268" t="s">
        <v>2501</v>
      </c>
      <c r="G238" s="12" t="b" cm="1">
        <f t="array" ref="G238">COntains(ActiveDirectoryComputers[[#This Row],[computer.operatingSystem]], "Pro")</f>
        <v>0</v>
      </c>
      <c r="H238" s="306" t="b">
        <v>0</v>
      </c>
      <c r="I238" s="325" t="b">
        <v>0</v>
      </c>
      <c r="J238" s="307"/>
    </row>
    <row r="239" spans="1:10" x14ac:dyDescent="0.2">
      <c r="A239" s="268" t="s">
        <v>1802</v>
      </c>
      <c r="B239" s="268"/>
      <c r="C239" s="268" t="s">
        <v>2305</v>
      </c>
      <c r="D239" s="268" t="s">
        <v>2306</v>
      </c>
      <c r="E239" s="268"/>
      <c r="F239" s="268" t="s">
        <v>2570</v>
      </c>
      <c r="G239" s="12" t="b" cm="1">
        <f t="array" ref="G239">COntains(ActiveDirectoryComputers[[#This Row],[computer.operatingSystem]], "Pro")</f>
        <v>0</v>
      </c>
      <c r="H239" s="306" t="b">
        <v>0</v>
      </c>
      <c r="I239" s="325" t="b">
        <v>0</v>
      </c>
      <c r="J239" s="307"/>
    </row>
    <row r="240" spans="1:10" x14ac:dyDescent="0.2">
      <c r="A240" s="268" t="s">
        <v>1803</v>
      </c>
      <c r="B240" s="268"/>
      <c r="C240" s="268" t="s">
        <v>2376</v>
      </c>
      <c r="D240" s="268" t="s">
        <v>2377</v>
      </c>
      <c r="E240" s="268"/>
      <c r="F240" s="268" t="s">
        <v>2571</v>
      </c>
      <c r="G240" s="12" t="b" cm="1">
        <f t="array" ref="G240">COntains(ActiveDirectoryComputers[[#This Row],[computer.operatingSystem]], "Pro")</f>
        <v>0</v>
      </c>
      <c r="H240" s="306" t="b">
        <v>0</v>
      </c>
      <c r="I240" s="325" t="b">
        <v>0</v>
      </c>
      <c r="J240" s="307"/>
    </row>
    <row r="241" spans="1:10" x14ac:dyDescent="0.2">
      <c r="A241" s="268" t="s">
        <v>1804</v>
      </c>
      <c r="B241" s="268"/>
      <c r="C241" s="268" t="s">
        <v>2305</v>
      </c>
      <c r="D241" s="268" t="s">
        <v>2306</v>
      </c>
      <c r="E241" s="268"/>
      <c r="F241" s="268" t="s">
        <v>2572</v>
      </c>
      <c r="G241" s="12" t="b" cm="1">
        <f t="array" ref="G241">COntains(ActiveDirectoryComputers[[#This Row],[computer.operatingSystem]], "Pro")</f>
        <v>0</v>
      </c>
      <c r="H241" s="306" t="b">
        <v>0</v>
      </c>
      <c r="I241" s="325" t="b">
        <v>0</v>
      </c>
      <c r="J241" s="307"/>
    </row>
    <row r="242" spans="1:10" x14ac:dyDescent="0.2">
      <c r="A242" s="319" t="s">
        <v>1805</v>
      </c>
      <c r="B242" s="319"/>
      <c r="C242" s="319" t="s">
        <v>2305</v>
      </c>
      <c r="D242" s="319" t="s">
        <v>2306</v>
      </c>
      <c r="E242" s="319"/>
      <c r="F242" s="319" t="s">
        <v>2573</v>
      </c>
      <c r="G242" s="12" t="b" cm="1">
        <f t="array" ref="G242">COntains(ActiveDirectoryComputers[[#This Row],[computer.operatingSystem]], "Pro")</f>
        <v>0</v>
      </c>
      <c r="H242" s="306" t="b">
        <v>0</v>
      </c>
      <c r="I242" s="338" t="b">
        <v>0</v>
      </c>
      <c r="J242" s="307"/>
    </row>
    <row r="243" spans="1:10" x14ac:dyDescent="0.2">
      <c r="A243" s="268" t="s">
        <v>1806</v>
      </c>
      <c r="B243" s="268"/>
      <c r="C243" s="268" t="s">
        <v>2305</v>
      </c>
      <c r="D243" s="268" t="s">
        <v>2306</v>
      </c>
      <c r="E243" s="268"/>
      <c r="F243" s="268" t="s">
        <v>2574</v>
      </c>
      <c r="G243" s="12" t="b" cm="1">
        <f t="array" ref="G243">COntains(ActiveDirectoryComputers[[#This Row],[computer.operatingSystem]], "Pro")</f>
        <v>0</v>
      </c>
      <c r="H243" s="306" t="b">
        <v>0</v>
      </c>
      <c r="I243" s="338" t="b">
        <v>0</v>
      </c>
      <c r="J243" s="307"/>
    </row>
    <row r="244" spans="1:10" x14ac:dyDescent="0.2">
      <c r="A244" s="319" t="s">
        <v>2378</v>
      </c>
      <c r="B244" s="319"/>
      <c r="C244" s="319" t="s">
        <v>307</v>
      </c>
      <c r="D244" s="319" t="s">
        <v>2347</v>
      </c>
      <c r="E244" s="319"/>
      <c r="F244" s="319" t="s">
        <v>2575</v>
      </c>
      <c r="G244" s="12" t="b" cm="1">
        <f t="array" ref="G244">COntains(ActiveDirectoryComputers[[#This Row],[computer.operatingSystem]], "Pro")</f>
        <v>0</v>
      </c>
      <c r="H244" s="306" t="b">
        <v>0</v>
      </c>
      <c r="I244" s="338" t="b">
        <v>0</v>
      </c>
      <c r="J244" s="307"/>
    </row>
    <row r="245" spans="1:10" x14ac:dyDescent="0.2">
      <c r="A245" s="268" t="s">
        <v>1807</v>
      </c>
      <c r="B245" s="268"/>
      <c r="C245" s="268" t="s">
        <v>2305</v>
      </c>
      <c r="D245" s="268" t="s">
        <v>2306</v>
      </c>
      <c r="E245" s="268"/>
      <c r="F245" s="268" t="s">
        <v>2576</v>
      </c>
      <c r="G245" s="12" t="b" cm="1">
        <f t="array" ref="G245">COntains(ActiveDirectoryComputers[[#This Row],[computer.operatingSystem]], "Pro")</f>
        <v>0</v>
      </c>
      <c r="H245" s="306" t="b">
        <v>0</v>
      </c>
      <c r="I245" s="338" t="b">
        <v>0</v>
      </c>
      <c r="J245" s="307"/>
    </row>
    <row r="246" spans="1:10" x14ac:dyDescent="0.2">
      <c r="A246" s="268" t="s">
        <v>1808</v>
      </c>
      <c r="B246" s="268"/>
      <c r="C246" s="268" t="s">
        <v>2379</v>
      </c>
      <c r="D246" s="268" t="s">
        <v>2220</v>
      </c>
      <c r="E246" s="268"/>
      <c r="F246" s="268" t="s">
        <v>2577</v>
      </c>
      <c r="G246" s="12" t="b" cm="1">
        <f t="array" ref="G246">COntains(ActiveDirectoryComputers[[#This Row],[computer.operatingSystem]], "Pro")</f>
        <v>0</v>
      </c>
      <c r="H246" s="306" t="b">
        <v>0</v>
      </c>
      <c r="I246" s="325" t="b">
        <v>0</v>
      </c>
      <c r="J246" s="307"/>
    </row>
    <row r="247" spans="1:10" x14ac:dyDescent="0.2">
      <c r="A247" s="319" t="s">
        <v>1809</v>
      </c>
      <c r="B247" s="319"/>
      <c r="C247" s="319" t="s">
        <v>2379</v>
      </c>
      <c r="D247" s="319" t="s">
        <v>2220</v>
      </c>
      <c r="E247" s="319"/>
      <c r="F247" s="319" t="s">
        <v>2578</v>
      </c>
      <c r="G247" s="12" t="b" cm="1">
        <f t="array" ref="G247">COntains(ActiveDirectoryComputers[[#This Row],[computer.operatingSystem]], "Pro")</f>
        <v>0</v>
      </c>
      <c r="H247" s="306" t="b">
        <v>0</v>
      </c>
      <c r="I247" s="338" t="b">
        <v>0</v>
      </c>
      <c r="J247" s="307"/>
    </row>
    <row r="248" spans="1:10" x14ac:dyDescent="0.2">
      <c r="A248" s="151" t="s">
        <v>1810</v>
      </c>
      <c r="B248" s="151"/>
      <c r="C248" s="151" t="s">
        <v>307</v>
      </c>
      <c r="D248" s="151" t="s">
        <v>2347</v>
      </c>
      <c r="E248" s="151"/>
      <c r="F248" s="151" t="s">
        <v>2579</v>
      </c>
      <c r="G248" s="12" t="b" cm="1">
        <f t="array" ref="G248">COntains(ActiveDirectoryComputers[[#This Row],[computer.operatingSystem]], "Pro")</f>
        <v>0</v>
      </c>
      <c r="H248" s="306" t="b">
        <v>0</v>
      </c>
      <c r="I248" s="308" t="b">
        <v>0</v>
      </c>
      <c r="J248" s="307"/>
    </row>
    <row r="249" spans="1:10" x14ac:dyDescent="0.2">
      <c r="A249" s="319" t="s">
        <v>1812</v>
      </c>
      <c r="B249" s="319"/>
      <c r="C249" s="319" t="s">
        <v>2304</v>
      </c>
      <c r="D249" s="319" t="s">
        <v>2226</v>
      </c>
      <c r="E249" s="319"/>
      <c r="F249" s="319" t="s">
        <v>2580</v>
      </c>
      <c r="G249" s="12" t="b" cm="1">
        <f t="array" ref="G249">COntains(ActiveDirectoryComputers[[#This Row],[computer.operatingSystem]], "Pro")</f>
        <v>0</v>
      </c>
      <c r="H249" s="306" t="b">
        <v>0</v>
      </c>
      <c r="I249" s="338" t="b">
        <v>0</v>
      </c>
      <c r="J249" s="307"/>
    </row>
    <row r="250" spans="1:10" x14ac:dyDescent="0.2">
      <c r="A250" s="319" t="s">
        <v>1813</v>
      </c>
      <c r="B250" s="319"/>
      <c r="C250" s="319" t="s">
        <v>2224</v>
      </c>
      <c r="D250" s="319" t="s">
        <v>2217</v>
      </c>
      <c r="E250" s="319"/>
      <c r="F250" s="319" t="s">
        <v>2581</v>
      </c>
      <c r="G250" s="12" t="b" cm="1">
        <f t="array" ref="G250">COntains(ActiveDirectoryComputers[[#This Row],[computer.operatingSystem]], "Pro")</f>
        <v>1</v>
      </c>
      <c r="H250" s="306" t="b">
        <v>0</v>
      </c>
      <c r="I250" s="338" t="b">
        <v>0</v>
      </c>
      <c r="J250" s="307"/>
    </row>
    <row r="251" spans="1:10" x14ac:dyDescent="0.2">
      <c r="A251" s="319" t="s">
        <v>1815</v>
      </c>
      <c r="B251" s="319"/>
      <c r="C251" s="319"/>
      <c r="D251" s="319"/>
      <c r="E251" s="319"/>
      <c r="F251" s="319" t="s">
        <v>2559</v>
      </c>
      <c r="G251" s="12" t="b" cm="1">
        <f t="array" ref="G251">COntains(ActiveDirectoryComputers[[#This Row],[computer.operatingSystem]], "Pro")</f>
        <v>0</v>
      </c>
      <c r="H251" s="306" t="b">
        <v>0</v>
      </c>
      <c r="I251" s="338" t="b">
        <v>0</v>
      </c>
      <c r="J251" s="307"/>
    </row>
    <row r="252" spans="1:10" x14ac:dyDescent="0.2">
      <c r="A252" s="319" t="s">
        <v>1816</v>
      </c>
      <c r="B252" s="319"/>
      <c r="C252" s="319" t="s">
        <v>307</v>
      </c>
      <c r="D252" s="319" t="s">
        <v>2347</v>
      </c>
      <c r="E252" s="319"/>
      <c r="F252" s="319" t="s">
        <v>2582</v>
      </c>
      <c r="G252" s="12" t="b" cm="1">
        <f t="array" ref="G252">COntains(ActiveDirectoryComputers[[#This Row],[computer.operatingSystem]], "Pro")</f>
        <v>0</v>
      </c>
      <c r="H252" s="306" t="b">
        <v>0</v>
      </c>
      <c r="I252" s="338" t="b">
        <v>0</v>
      </c>
      <c r="J252" s="307"/>
    </row>
    <row r="253" spans="1:10" x14ac:dyDescent="0.2">
      <c r="A253" s="268" t="s">
        <v>1817</v>
      </c>
      <c r="B253" s="268"/>
      <c r="C253" s="268" t="s">
        <v>2305</v>
      </c>
      <c r="D253" s="268" t="s">
        <v>2306</v>
      </c>
      <c r="E253" s="268"/>
      <c r="F253" s="268" t="s">
        <v>2583</v>
      </c>
      <c r="G253" s="12" t="b" cm="1">
        <f t="array" ref="G253">COntains(ActiveDirectoryComputers[[#This Row],[computer.operatingSystem]], "Pro")</f>
        <v>0</v>
      </c>
      <c r="H253" s="306" t="b">
        <v>0</v>
      </c>
      <c r="I253" s="325" t="b">
        <v>0</v>
      </c>
      <c r="J253" s="307"/>
    </row>
    <row r="254" spans="1:10" x14ac:dyDescent="0.2">
      <c r="A254" s="268" t="s">
        <v>1818</v>
      </c>
      <c r="B254" s="268"/>
      <c r="C254" s="268" t="s">
        <v>2304</v>
      </c>
      <c r="D254" s="268" t="s">
        <v>2226</v>
      </c>
      <c r="E254" s="268"/>
      <c r="F254" s="268" t="s">
        <v>2584</v>
      </c>
      <c r="G254" s="12" t="b" cm="1">
        <f t="array" ref="G254">COntains(ActiveDirectoryComputers[[#This Row],[computer.operatingSystem]], "Pro")</f>
        <v>0</v>
      </c>
      <c r="H254" s="306" t="b">
        <v>0</v>
      </c>
      <c r="I254" s="325" t="b">
        <v>0</v>
      </c>
      <c r="J254" s="307"/>
    </row>
    <row r="255" spans="1:10" x14ac:dyDescent="0.2">
      <c r="A255" s="268" t="s">
        <v>1819</v>
      </c>
      <c r="B255" s="268"/>
      <c r="C255" s="268" t="s">
        <v>307</v>
      </c>
      <c r="D255" s="268" t="s">
        <v>2347</v>
      </c>
      <c r="E255" s="268"/>
      <c r="F255" s="268" t="s">
        <v>2585</v>
      </c>
      <c r="G255" s="12" t="b" cm="1">
        <f t="array" ref="G255">COntains(ActiveDirectoryComputers[[#This Row],[computer.operatingSystem]], "Pro")</f>
        <v>0</v>
      </c>
      <c r="H255" s="306" t="b">
        <v>0</v>
      </c>
      <c r="I255" s="325" t="b">
        <v>0</v>
      </c>
      <c r="J255" s="307"/>
    </row>
    <row r="256" spans="1:10" x14ac:dyDescent="0.2">
      <c r="A256" s="268" t="s">
        <v>1820</v>
      </c>
      <c r="B256" s="268"/>
      <c r="C256" s="268" t="s">
        <v>307</v>
      </c>
      <c r="D256" s="268" t="s">
        <v>2347</v>
      </c>
      <c r="E256" s="268"/>
      <c r="F256" s="268" t="s">
        <v>2586</v>
      </c>
      <c r="G256" s="12" t="b" cm="1">
        <f t="array" ref="G256">COntains(ActiveDirectoryComputers[[#This Row],[computer.operatingSystem]], "Pro")</f>
        <v>0</v>
      </c>
      <c r="H256" s="306" t="b">
        <v>0</v>
      </c>
      <c r="I256" s="325" t="b">
        <v>0</v>
      </c>
      <c r="J256" s="307"/>
    </row>
    <row r="257" spans="1:10" x14ac:dyDescent="0.2">
      <c r="A257" s="268" t="s">
        <v>1821</v>
      </c>
      <c r="B257" s="268"/>
      <c r="C257" s="268" t="s">
        <v>307</v>
      </c>
      <c r="D257" s="268" t="s">
        <v>2347</v>
      </c>
      <c r="E257" s="268"/>
      <c r="F257" s="268" t="s">
        <v>2587</v>
      </c>
      <c r="G257" s="12" t="b" cm="1">
        <f t="array" ref="G257">COntains(ActiveDirectoryComputers[[#This Row],[computer.operatingSystem]], "Pro")</f>
        <v>0</v>
      </c>
      <c r="H257" s="306" t="b">
        <v>0</v>
      </c>
      <c r="I257" s="338" t="b">
        <v>0</v>
      </c>
      <c r="J257" s="307"/>
    </row>
    <row r="258" spans="1:10" x14ac:dyDescent="0.2">
      <c r="A258" s="319" t="s">
        <v>1822</v>
      </c>
      <c r="B258" s="319"/>
      <c r="C258" s="319" t="s">
        <v>307</v>
      </c>
      <c r="D258" s="319" t="s">
        <v>2347</v>
      </c>
      <c r="E258" s="319"/>
      <c r="F258" s="319" t="s">
        <v>2588</v>
      </c>
      <c r="G258" s="12" t="b" cm="1">
        <f t="array" ref="G258">COntains(ActiveDirectoryComputers[[#This Row],[computer.operatingSystem]], "Pro")</f>
        <v>0</v>
      </c>
      <c r="H258" s="306" t="b">
        <v>0</v>
      </c>
      <c r="I258" s="338" t="b">
        <v>0</v>
      </c>
      <c r="J258" s="307"/>
    </row>
    <row r="259" spans="1:10" x14ac:dyDescent="0.2">
      <c r="A259" s="268" t="s">
        <v>1823</v>
      </c>
      <c r="B259" s="268"/>
      <c r="C259" s="268" t="s">
        <v>307</v>
      </c>
      <c r="D259" s="268" t="s">
        <v>2347</v>
      </c>
      <c r="E259" s="268"/>
      <c r="F259" s="268" t="s">
        <v>2589</v>
      </c>
      <c r="G259" s="12" t="b" cm="1">
        <f t="array" ref="G259">COntains(ActiveDirectoryComputers[[#This Row],[computer.operatingSystem]], "Pro")</f>
        <v>0</v>
      </c>
      <c r="H259" s="306" t="b">
        <v>0</v>
      </c>
      <c r="I259" s="325" t="b">
        <v>0</v>
      </c>
      <c r="J259" s="307"/>
    </row>
    <row r="260" spans="1:10" x14ac:dyDescent="0.2">
      <c r="A260" s="268" t="s">
        <v>1824</v>
      </c>
      <c r="B260" s="268"/>
      <c r="C260" s="268" t="s">
        <v>307</v>
      </c>
      <c r="D260" s="268" t="s">
        <v>2347</v>
      </c>
      <c r="E260" s="268"/>
      <c r="F260" s="268" t="s">
        <v>2590</v>
      </c>
      <c r="G260" s="12" t="b" cm="1">
        <f t="array" ref="G260">COntains(ActiveDirectoryComputers[[#This Row],[computer.operatingSystem]], "Pro")</f>
        <v>0</v>
      </c>
      <c r="H260" s="306" t="b">
        <v>0</v>
      </c>
      <c r="I260" s="325" t="b">
        <v>0</v>
      </c>
      <c r="J260" s="307"/>
    </row>
    <row r="261" spans="1:10" x14ac:dyDescent="0.2">
      <c r="A261" s="319" t="s">
        <v>1825</v>
      </c>
      <c r="B261" s="319"/>
      <c r="C261" s="319" t="s">
        <v>2305</v>
      </c>
      <c r="D261" s="319" t="s">
        <v>2306</v>
      </c>
      <c r="E261" s="319"/>
      <c r="F261" s="319" t="s">
        <v>2591</v>
      </c>
      <c r="G261" s="12" t="b" cm="1">
        <f t="array" ref="G261">COntains(ActiveDirectoryComputers[[#This Row],[computer.operatingSystem]], "Pro")</f>
        <v>0</v>
      </c>
      <c r="H261" s="306" t="b">
        <v>0</v>
      </c>
      <c r="I261" s="338" t="b">
        <v>0</v>
      </c>
      <c r="J261" s="307"/>
    </row>
    <row r="262" spans="1:10" x14ac:dyDescent="0.2">
      <c r="A262" s="319" t="s">
        <v>1826</v>
      </c>
      <c r="B262" s="319"/>
      <c r="C262" s="319" t="s">
        <v>307</v>
      </c>
      <c r="D262" s="319" t="s">
        <v>2347</v>
      </c>
      <c r="E262" s="319"/>
      <c r="F262" s="319" t="s">
        <v>2592</v>
      </c>
      <c r="G262" s="12" t="b" cm="1">
        <f t="array" ref="G262">COntains(ActiveDirectoryComputers[[#This Row],[computer.operatingSystem]], "Pro")</f>
        <v>0</v>
      </c>
      <c r="H262" s="306" t="b">
        <v>0</v>
      </c>
      <c r="I262" s="338" t="b">
        <v>0</v>
      </c>
      <c r="J262" s="307"/>
    </row>
    <row r="263" spans="1:10" x14ac:dyDescent="0.2">
      <c r="A263" s="319" t="s">
        <v>1827</v>
      </c>
      <c r="B263" s="319"/>
      <c r="C263" s="319" t="s">
        <v>307</v>
      </c>
      <c r="D263" s="319" t="s">
        <v>2347</v>
      </c>
      <c r="E263" s="319"/>
      <c r="F263" s="319" t="s">
        <v>2593</v>
      </c>
      <c r="G263" s="12" t="b" cm="1">
        <f t="array" ref="G263">COntains(ActiveDirectoryComputers[[#This Row],[computer.operatingSystem]], "Pro")</f>
        <v>0</v>
      </c>
      <c r="H263" s="306" t="b">
        <v>0</v>
      </c>
      <c r="I263" s="338" t="b">
        <v>0</v>
      </c>
      <c r="J263" s="307"/>
    </row>
    <row r="264" spans="1:10" x14ac:dyDescent="0.2">
      <c r="A264" s="319" t="s">
        <v>1828</v>
      </c>
      <c r="B264" s="319"/>
      <c r="C264" s="319" t="s">
        <v>2305</v>
      </c>
      <c r="D264" s="319" t="s">
        <v>2306</v>
      </c>
      <c r="E264" s="319"/>
      <c r="F264" s="319" t="s">
        <v>2594</v>
      </c>
      <c r="G264" s="12" t="b" cm="1">
        <f t="array" ref="G264">COntains(ActiveDirectoryComputers[[#This Row],[computer.operatingSystem]], "Pro")</f>
        <v>0</v>
      </c>
      <c r="H264" s="306" t="b">
        <v>0</v>
      </c>
      <c r="I264" s="338" t="b">
        <v>0</v>
      </c>
      <c r="J264" s="307"/>
    </row>
    <row r="265" spans="1:10" x14ac:dyDescent="0.2">
      <c r="A265" s="319" t="s">
        <v>1829</v>
      </c>
      <c r="B265" s="319"/>
      <c r="C265" s="319" t="s">
        <v>2304</v>
      </c>
      <c r="D265" s="319" t="s">
        <v>2226</v>
      </c>
      <c r="E265" s="319"/>
      <c r="F265" s="319" t="s">
        <v>2595</v>
      </c>
      <c r="G265" s="12" t="b" cm="1">
        <f t="array" ref="G265">COntains(ActiveDirectoryComputers[[#This Row],[computer.operatingSystem]], "Pro")</f>
        <v>0</v>
      </c>
      <c r="H265" s="306" t="b">
        <v>0</v>
      </c>
      <c r="I265" s="338" t="b">
        <v>0</v>
      </c>
      <c r="J265" s="307"/>
    </row>
    <row r="266" spans="1:10" x14ac:dyDescent="0.2">
      <c r="A266" s="319" t="s">
        <v>2385</v>
      </c>
      <c r="B266" s="319"/>
      <c r="C266" s="319" t="s">
        <v>2305</v>
      </c>
      <c r="D266" s="319" t="s">
        <v>2306</v>
      </c>
      <c r="E266" s="319"/>
      <c r="F266" s="319" t="s">
        <v>2596</v>
      </c>
      <c r="G266" s="12" t="b" cm="1">
        <f t="array" ref="G266">COntains(ActiveDirectoryComputers[[#This Row],[computer.operatingSystem]], "Pro")</f>
        <v>0</v>
      </c>
      <c r="H266" s="306" t="b">
        <v>0</v>
      </c>
      <c r="I266" s="338" t="b">
        <v>0</v>
      </c>
      <c r="J266" s="307"/>
    </row>
    <row r="267" spans="1:10" x14ac:dyDescent="0.2">
      <c r="A267" s="268" t="s">
        <v>1831</v>
      </c>
      <c r="B267" s="268"/>
      <c r="C267" s="268" t="s">
        <v>2305</v>
      </c>
      <c r="D267" s="268" t="s">
        <v>2306</v>
      </c>
      <c r="E267" s="268"/>
      <c r="F267" s="268" t="s">
        <v>2597</v>
      </c>
      <c r="G267" s="12" t="b" cm="1">
        <f t="array" ref="G267">COntains(ActiveDirectoryComputers[[#This Row],[computer.operatingSystem]], "Pro")</f>
        <v>0</v>
      </c>
      <c r="H267" s="306" t="b">
        <v>0</v>
      </c>
      <c r="I267" s="325" t="b">
        <v>0</v>
      </c>
      <c r="J267" s="307"/>
    </row>
    <row r="268" spans="1:10" x14ac:dyDescent="0.2">
      <c r="A268" s="268" t="s">
        <v>1832</v>
      </c>
      <c r="B268" s="268"/>
      <c r="C268" s="268" t="s">
        <v>2305</v>
      </c>
      <c r="D268" s="268" t="s">
        <v>2306</v>
      </c>
      <c r="E268" s="268"/>
      <c r="F268" s="268" t="s">
        <v>2598</v>
      </c>
      <c r="G268" s="12" t="b" cm="1">
        <f t="array" ref="G268">COntains(ActiveDirectoryComputers[[#This Row],[computer.operatingSystem]], "Pro")</f>
        <v>0</v>
      </c>
      <c r="H268" s="306" t="b">
        <v>0</v>
      </c>
      <c r="I268" s="325" t="b">
        <v>0</v>
      </c>
      <c r="J268" s="307"/>
    </row>
    <row r="269" spans="1:10" x14ac:dyDescent="0.2">
      <c r="A269" s="319" t="s">
        <v>1833</v>
      </c>
      <c r="B269" s="319"/>
      <c r="C269" s="319" t="s">
        <v>2304</v>
      </c>
      <c r="D269" s="319" t="s">
        <v>2226</v>
      </c>
      <c r="E269" s="319"/>
      <c r="F269" s="319" t="s">
        <v>2599</v>
      </c>
      <c r="G269" s="12" t="b" cm="1">
        <f t="array" ref="G269">COntains(ActiveDirectoryComputers[[#This Row],[computer.operatingSystem]], "Pro")</f>
        <v>0</v>
      </c>
      <c r="H269" s="306" t="b">
        <v>0</v>
      </c>
      <c r="I269" s="338" t="b">
        <v>0</v>
      </c>
      <c r="J269" s="307"/>
    </row>
    <row r="270" spans="1:10" x14ac:dyDescent="0.2">
      <c r="A270" s="319" t="s">
        <v>1834</v>
      </c>
      <c r="B270" s="319"/>
      <c r="C270" s="319" t="s">
        <v>2305</v>
      </c>
      <c r="D270" s="319" t="s">
        <v>2306</v>
      </c>
      <c r="E270" s="319"/>
      <c r="F270" s="319" t="s">
        <v>2600</v>
      </c>
      <c r="G270" s="12" t="b" cm="1">
        <f t="array" ref="G270">COntains(ActiveDirectoryComputers[[#This Row],[computer.operatingSystem]], "Pro")</f>
        <v>0</v>
      </c>
      <c r="H270" s="306" t="b">
        <v>0</v>
      </c>
      <c r="I270" s="338" t="b">
        <v>0</v>
      </c>
      <c r="J270" s="307"/>
    </row>
    <row r="271" spans="1:10" x14ac:dyDescent="0.2">
      <c r="A271" s="268" t="s">
        <v>1835</v>
      </c>
      <c r="B271" s="268"/>
      <c r="C271" s="268" t="s">
        <v>2305</v>
      </c>
      <c r="D271" s="268" t="s">
        <v>2306</v>
      </c>
      <c r="E271" s="268"/>
      <c r="F271" s="268" t="s">
        <v>2601</v>
      </c>
      <c r="G271" s="12" t="b" cm="1">
        <f t="array" ref="G271">COntains(ActiveDirectoryComputers[[#This Row],[computer.operatingSystem]], "Pro")</f>
        <v>0</v>
      </c>
      <c r="H271" s="306" t="b">
        <v>0</v>
      </c>
      <c r="I271" s="325" t="b">
        <v>0</v>
      </c>
      <c r="J271" s="307"/>
    </row>
    <row r="272" spans="1:10" x14ac:dyDescent="0.2">
      <c r="A272" s="268" t="s">
        <v>1837</v>
      </c>
      <c r="B272" s="268"/>
      <c r="C272" s="268" t="s">
        <v>2304</v>
      </c>
      <c r="D272" s="268" t="s">
        <v>2226</v>
      </c>
      <c r="E272" s="268"/>
      <c r="F272" s="268" t="s">
        <v>2602</v>
      </c>
      <c r="G272" s="12" t="b" cm="1">
        <f t="array" ref="G272">COntains(ActiveDirectoryComputers[[#This Row],[computer.operatingSystem]], "Pro")</f>
        <v>0</v>
      </c>
      <c r="H272" s="306" t="b">
        <v>0</v>
      </c>
      <c r="I272" s="325" t="b">
        <v>0</v>
      </c>
      <c r="J272" s="307"/>
    </row>
    <row r="273" spans="1:10" x14ac:dyDescent="0.2">
      <c r="A273" s="268" t="s">
        <v>1839</v>
      </c>
      <c r="B273" s="268"/>
      <c r="C273" s="268" t="s">
        <v>2305</v>
      </c>
      <c r="D273" s="268" t="s">
        <v>2306</v>
      </c>
      <c r="E273" s="268"/>
      <c r="F273" s="268" t="s">
        <v>2603</v>
      </c>
      <c r="G273" s="12" t="b" cm="1">
        <f t="array" ref="G273">COntains(ActiveDirectoryComputers[[#This Row],[computer.operatingSystem]], "Pro")</f>
        <v>0</v>
      </c>
      <c r="H273" s="306" t="b">
        <v>0</v>
      </c>
      <c r="I273" s="325" t="b">
        <v>0</v>
      </c>
      <c r="J273" s="307"/>
    </row>
    <row r="274" spans="1:10" x14ac:dyDescent="0.2">
      <c r="A274" s="268" t="s">
        <v>1841</v>
      </c>
      <c r="B274" s="268"/>
      <c r="C274" s="268" t="s">
        <v>307</v>
      </c>
      <c r="D274" s="268" t="s">
        <v>2347</v>
      </c>
      <c r="E274" s="268"/>
      <c r="F274" s="268" t="s">
        <v>2604</v>
      </c>
      <c r="G274" s="12" t="b" cm="1">
        <f t="array" ref="G274">COntains(ActiveDirectoryComputers[[#This Row],[computer.operatingSystem]], "Pro")</f>
        <v>0</v>
      </c>
      <c r="H274" s="306" t="b">
        <v>0</v>
      </c>
      <c r="I274" s="325" t="b">
        <v>0</v>
      </c>
      <c r="J274" s="307"/>
    </row>
    <row r="275" spans="1:10" x14ac:dyDescent="0.2">
      <c r="A275" s="268" t="s">
        <v>2389</v>
      </c>
      <c r="B275" s="268"/>
      <c r="C275" s="268" t="s">
        <v>2305</v>
      </c>
      <c r="D275" s="268" t="s">
        <v>2306</v>
      </c>
      <c r="E275" s="268"/>
      <c r="F275" s="268" t="s">
        <v>2605</v>
      </c>
      <c r="G275" s="12" t="b" cm="1">
        <f t="array" ref="G275">COntains(ActiveDirectoryComputers[[#This Row],[computer.operatingSystem]], "Pro")</f>
        <v>0</v>
      </c>
      <c r="H275" s="306" t="b">
        <v>0</v>
      </c>
      <c r="I275" s="325" t="b">
        <v>0</v>
      </c>
      <c r="J275" s="307"/>
    </row>
    <row r="276" spans="1:10" x14ac:dyDescent="0.2">
      <c r="A276" s="268" t="s">
        <v>1842</v>
      </c>
      <c r="B276" s="268"/>
      <c r="C276" s="268" t="s">
        <v>2304</v>
      </c>
      <c r="D276" s="268" t="s">
        <v>2226</v>
      </c>
      <c r="E276" s="268"/>
      <c r="F276" s="268" t="s">
        <v>2606</v>
      </c>
      <c r="G276" s="12" t="b" cm="1">
        <f t="array" ref="G276">COntains(ActiveDirectoryComputers[[#This Row],[computer.operatingSystem]], "Pro")</f>
        <v>0</v>
      </c>
      <c r="H276" s="306" t="b">
        <v>0</v>
      </c>
      <c r="I276" s="325" t="b">
        <v>0</v>
      </c>
      <c r="J276" s="307"/>
    </row>
    <row r="277" spans="1:10" x14ac:dyDescent="0.2">
      <c r="A277" s="268" t="s">
        <v>1843</v>
      </c>
      <c r="B277" s="268"/>
      <c r="C277" s="268" t="s">
        <v>2305</v>
      </c>
      <c r="D277" s="268" t="s">
        <v>2306</v>
      </c>
      <c r="E277" s="268"/>
      <c r="F277" s="268" t="s">
        <v>2607</v>
      </c>
      <c r="G277" s="12" t="b" cm="1">
        <f t="array" ref="G277">COntains(ActiveDirectoryComputers[[#This Row],[computer.operatingSystem]], "Pro")</f>
        <v>0</v>
      </c>
      <c r="H277" s="306" t="b">
        <v>0</v>
      </c>
      <c r="I277" s="325" t="b">
        <v>0</v>
      </c>
      <c r="J277" s="307"/>
    </row>
    <row r="278" spans="1:10" x14ac:dyDescent="0.2">
      <c r="A278" s="319" t="s">
        <v>1844</v>
      </c>
      <c r="B278" s="319"/>
      <c r="C278" s="319" t="s">
        <v>2305</v>
      </c>
      <c r="D278" s="319" t="s">
        <v>2306</v>
      </c>
      <c r="E278" s="319"/>
      <c r="F278" s="319" t="s">
        <v>2608</v>
      </c>
      <c r="G278" s="12" t="b" cm="1">
        <f t="array" ref="G278">COntains(ActiveDirectoryComputers[[#This Row],[computer.operatingSystem]], "Pro")</f>
        <v>0</v>
      </c>
      <c r="H278" s="306" t="b">
        <v>0</v>
      </c>
      <c r="I278" s="308" t="b">
        <v>0</v>
      </c>
      <c r="J278" s="307"/>
    </row>
    <row r="279" spans="1:10" x14ac:dyDescent="0.2">
      <c r="A279" s="319" t="s">
        <v>1845</v>
      </c>
      <c r="B279" s="319"/>
      <c r="C279" s="319" t="s">
        <v>2305</v>
      </c>
      <c r="D279" s="319" t="s">
        <v>2306</v>
      </c>
      <c r="E279" s="319"/>
      <c r="F279" s="319" t="s">
        <v>2609</v>
      </c>
      <c r="G279" s="12" t="b" cm="1">
        <f t="array" ref="G279">COntains(ActiveDirectoryComputers[[#This Row],[computer.operatingSystem]], "Pro")</f>
        <v>0</v>
      </c>
      <c r="H279" s="306" t="b">
        <v>0</v>
      </c>
      <c r="I279" s="308" t="b">
        <v>0</v>
      </c>
      <c r="J279" s="307"/>
    </row>
    <row r="280" spans="1:10" x14ac:dyDescent="0.2">
      <c r="A280" s="268" t="s">
        <v>1847</v>
      </c>
      <c r="B280" s="268"/>
      <c r="C280" s="268" t="s">
        <v>2305</v>
      </c>
      <c r="D280" s="268" t="s">
        <v>2306</v>
      </c>
      <c r="E280" s="268"/>
      <c r="F280" s="268" t="s">
        <v>2610</v>
      </c>
      <c r="G280" s="12" t="b" cm="1">
        <f t="array" ref="G280">COntains(ActiveDirectoryComputers[[#This Row],[computer.operatingSystem]], "Pro")</f>
        <v>0</v>
      </c>
      <c r="H280" s="306" t="b">
        <v>0</v>
      </c>
      <c r="I280" s="338" t="b">
        <v>0</v>
      </c>
      <c r="J280" s="307"/>
    </row>
    <row r="281" spans="1:10" x14ac:dyDescent="0.2">
      <c r="A281" s="319" t="s">
        <v>1874</v>
      </c>
      <c r="B281" s="319"/>
      <c r="C281" s="319" t="s">
        <v>2216</v>
      </c>
      <c r="D281" s="319" t="s">
        <v>2230</v>
      </c>
      <c r="E281" s="319"/>
      <c r="F281" s="319" t="s">
        <v>2503</v>
      </c>
      <c r="G281" s="12" t="b" cm="1">
        <f t="array" ref="G281">COntains(ActiveDirectoryComputers[[#This Row],[computer.operatingSystem]], "Pro")</f>
        <v>0</v>
      </c>
      <c r="H281" s="306" t="b">
        <v>0</v>
      </c>
      <c r="I281" s="338" t="b">
        <v>0</v>
      </c>
      <c r="J281" s="307"/>
    </row>
    <row r="282" spans="1:10" x14ac:dyDescent="0.2">
      <c r="A282" s="319" t="s">
        <v>557</v>
      </c>
      <c r="B282" s="319"/>
      <c r="C282" s="319" t="s">
        <v>2225</v>
      </c>
      <c r="D282" s="319" t="s">
        <v>2226</v>
      </c>
      <c r="E282" s="319"/>
      <c r="F282" s="319" t="s">
        <v>3624</v>
      </c>
      <c r="G282" s="12" t="b" cm="1">
        <f t="array" ref="G282">COntains(ActiveDirectoryComputers[[#This Row],[computer.operatingSystem]], "Pro")</f>
        <v>0</v>
      </c>
      <c r="H282" s="306" t="b">
        <v>0</v>
      </c>
      <c r="I282" s="308" t="b">
        <v>0</v>
      </c>
      <c r="J282" s="307"/>
    </row>
    <row r="283" spans="1:10" x14ac:dyDescent="0.2">
      <c r="A283" s="319" t="s">
        <v>2421</v>
      </c>
      <c r="B283" s="319"/>
      <c r="C283" s="319" t="s">
        <v>2216</v>
      </c>
      <c r="D283" s="319" t="s">
        <v>2229</v>
      </c>
      <c r="E283" s="319"/>
      <c r="F283" s="319" t="s">
        <v>3625</v>
      </c>
      <c r="G283" s="12" t="b" cm="1">
        <f t="array" ref="G283">COntains(ActiveDirectoryComputers[[#This Row],[computer.operatingSystem]], "Pro")</f>
        <v>0</v>
      </c>
      <c r="H283" s="306" t="b">
        <v>0</v>
      </c>
      <c r="I283" s="308" t="b">
        <v>0</v>
      </c>
      <c r="J283" s="307"/>
    </row>
    <row r="284" spans="1:10" x14ac:dyDescent="0.2">
      <c r="A284" s="268" t="s">
        <v>2422</v>
      </c>
      <c r="B284" s="268"/>
      <c r="C284" s="268" t="s">
        <v>2225</v>
      </c>
      <c r="D284" s="268" t="s">
        <v>2226</v>
      </c>
      <c r="E284" s="268"/>
      <c r="F284" s="268" t="s">
        <v>3626</v>
      </c>
      <c r="G284" s="12" t="b" cm="1">
        <f t="array" ref="G284">COntains(ActiveDirectoryComputers[[#This Row],[computer.operatingSystem]], "Pro")</f>
        <v>0</v>
      </c>
      <c r="H284" s="306" t="b">
        <v>0</v>
      </c>
      <c r="I284" s="338" t="b">
        <v>0</v>
      </c>
      <c r="J284" s="307"/>
    </row>
    <row r="285" spans="1:10" x14ac:dyDescent="0.2">
      <c r="A285" s="342" t="s">
        <v>669</v>
      </c>
      <c r="B285" s="342" t="s">
        <v>2246</v>
      </c>
      <c r="C285" s="342" t="s">
        <v>2224</v>
      </c>
      <c r="D285" s="342" t="s">
        <v>2423</v>
      </c>
      <c r="E285" s="342"/>
      <c r="F285" s="317" t="s">
        <v>2630</v>
      </c>
      <c r="G285" s="124" t="b" cm="1">
        <f t="array" ref="G285">COntains(ActiveDirectoryComputers[[#This Row],[computer.operatingSystem]], "Pro")</f>
        <v>1</v>
      </c>
      <c r="H285" s="315" t="b">
        <v>0</v>
      </c>
      <c r="I285" s="341" t="b">
        <v>0</v>
      </c>
      <c r="J285" s="307"/>
    </row>
    <row r="286" spans="1:10" x14ac:dyDescent="0.2">
      <c r="A286" s="271" t="s">
        <v>677</v>
      </c>
      <c r="B286" s="271" t="s">
        <v>2247</v>
      </c>
      <c r="C286" s="271" t="s">
        <v>2224</v>
      </c>
      <c r="D286" s="271" t="s">
        <v>2423</v>
      </c>
      <c r="E286" s="271"/>
      <c r="F286" s="271" t="s">
        <v>2631</v>
      </c>
      <c r="G286" s="124" t="b" cm="1">
        <f t="array" ref="G286">COntains(ActiveDirectoryComputers[[#This Row],[computer.operatingSystem]], "Pro")</f>
        <v>1</v>
      </c>
      <c r="H286" s="315" t="b">
        <v>0</v>
      </c>
      <c r="I286" s="337" t="b">
        <v>0</v>
      </c>
      <c r="J286" s="307"/>
    </row>
    <row r="287" spans="1:10" x14ac:dyDescent="0.2">
      <c r="A287" s="271" t="s">
        <v>2248</v>
      </c>
      <c r="B287" s="271" t="s">
        <v>2249</v>
      </c>
      <c r="C287" s="271" t="s">
        <v>2216</v>
      </c>
      <c r="D287" s="271" t="s">
        <v>2217</v>
      </c>
      <c r="E287" s="271"/>
      <c r="F287" s="271" t="s">
        <v>2632</v>
      </c>
      <c r="G287" s="124" t="b" cm="1">
        <f t="array" ref="G287">COntains(ActiveDirectoryComputers[[#This Row],[computer.operatingSystem]], "Pro")</f>
        <v>0</v>
      </c>
      <c r="H287" s="315" t="b">
        <v>0</v>
      </c>
      <c r="I287" s="337" t="b">
        <v>0</v>
      </c>
      <c r="J287" s="307"/>
    </row>
    <row r="288" spans="1:10" x14ac:dyDescent="0.2">
      <c r="A288" s="271" t="s">
        <v>3743</v>
      </c>
      <c r="B288" s="271" t="s">
        <v>3744</v>
      </c>
      <c r="C288" s="271" t="s">
        <v>2326</v>
      </c>
      <c r="D288" s="271" t="s">
        <v>2423</v>
      </c>
      <c r="E288" s="271"/>
      <c r="F288" s="271" t="s">
        <v>3745</v>
      </c>
      <c r="G288" s="124" t="b" cm="1">
        <f t="array" ref="G288">COntains(ActiveDirectoryComputers[[#This Row],[computer.operatingSystem]], "Pro")</f>
        <v>0</v>
      </c>
      <c r="H288" s="315" t="b">
        <v>0</v>
      </c>
      <c r="I288" s="337" t="b">
        <v>0</v>
      </c>
      <c r="J288" s="307"/>
    </row>
    <row r="289" spans="1:10" x14ac:dyDescent="0.2">
      <c r="A289" s="271" t="s">
        <v>3746</v>
      </c>
      <c r="B289" s="271" t="s">
        <v>3747</v>
      </c>
      <c r="C289" s="271" t="s">
        <v>2326</v>
      </c>
      <c r="D289" s="271" t="s">
        <v>2423</v>
      </c>
      <c r="E289" s="271"/>
      <c r="F289" s="271" t="s">
        <v>3748</v>
      </c>
      <c r="G289" s="124" t="b" cm="1">
        <f t="array" ref="G289">COntains(ActiveDirectoryComputers[[#This Row],[computer.operatingSystem]], "Pro")</f>
        <v>0</v>
      </c>
      <c r="H289" s="315" t="b">
        <v>0</v>
      </c>
      <c r="I289" s="337" t="b">
        <v>0</v>
      </c>
      <c r="J289" s="307"/>
    </row>
    <row r="290" spans="1:10" x14ac:dyDescent="0.2">
      <c r="A290" s="271" t="s">
        <v>795</v>
      </c>
      <c r="B290" s="271" t="s">
        <v>2256</v>
      </c>
      <c r="C290" s="271" t="s">
        <v>2213</v>
      </c>
      <c r="D290" s="271" t="s">
        <v>2214</v>
      </c>
      <c r="E290" s="271"/>
      <c r="F290" s="271" t="s">
        <v>2634</v>
      </c>
      <c r="G290" s="124" t="b" cm="1">
        <f t="array" ref="G290">COntains(ActiveDirectoryComputers[[#This Row],[computer.operatingSystem]], "Pro")</f>
        <v>0</v>
      </c>
      <c r="H290" s="315" t="b">
        <v>0</v>
      </c>
      <c r="I290" s="337" t="b">
        <v>0</v>
      </c>
      <c r="J290" s="307"/>
    </row>
    <row r="291" spans="1:10" x14ac:dyDescent="0.2">
      <c r="A291" s="271" t="s">
        <v>3749</v>
      </c>
      <c r="B291" s="271" t="s">
        <v>3750</v>
      </c>
      <c r="C291" s="271" t="s">
        <v>2216</v>
      </c>
      <c r="D291" s="271" t="s">
        <v>2423</v>
      </c>
      <c r="E291" s="271"/>
      <c r="F291" s="271" t="s">
        <v>3751</v>
      </c>
      <c r="G291" s="124" t="b" cm="1">
        <f t="array" ref="G291">COntains(ActiveDirectoryComputers[[#This Row],[computer.operatingSystem]], "Pro")</f>
        <v>0</v>
      </c>
      <c r="H291" s="315" t="b">
        <v>0</v>
      </c>
      <c r="I291" s="337" t="b">
        <v>0</v>
      </c>
      <c r="J291" s="307"/>
    </row>
    <row r="292" spans="1:10" x14ac:dyDescent="0.2">
      <c r="A292" s="271" t="s">
        <v>3752</v>
      </c>
      <c r="B292" s="271" t="s">
        <v>3753</v>
      </c>
      <c r="C292" s="271" t="s">
        <v>2224</v>
      </c>
      <c r="D292" s="271" t="s">
        <v>2423</v>
      </c>
      <c r="E292" s="271"/>
      <c r="F292" s="271" t="s">
        <v>3754</v>
      </c>
      <c r="G292" s="124" t="b" cm="1">
        <f t="array" ref="G292">COntains(ActiveDirectoryComputers[[#This Row],[computer.operatingSystem]], "Pro")</f>
        <v>1</v>
      </c>
      <c r="H292" s="315" t="b">
        <v>0</v>
      </c>
      <c r="I292" s="337" t="b">
        <v>0</v>
      </c>
      <c r="J292" s="307"/>
    </row>
    <row r="293" spans="1:10" x14ac:dyDescent="0.2">
      <c r="A293" s="271" t="s">
        <v>3755</v>
      </c>
      <c r="B293" s="271" t="s">
        <v>3756</v>
      </c>
      <c r="C293" s="271" t="s">
        <v>2224</v>
      </c>
      <c r="D293" s="271" t="s">
        <v>2423</v>
      </c>
      <c r="E293" s="271"/>
      <c r="F293" s="271" t="s">
        <v>3757</v>
      </c>
      <c r="G293" s="124" t="b" cm="1">
        <f t="array" ref="G293">COntains(ActiveDirectoryComputers[[#This Row],[computer.operatingSystem]], "Pro")</f>
        <v>1</v>
      </c>
      <c r="H293" s="315" t="b">
        <v>0</v>
      </c>
      <c r="I293" s="337" t="b">
        <v>0</v>
      </c>
      <c r="J293" s="307"/>
    </row>
    <row r="294" spans="1:10" x14ac:dyDescent="0.2">
      <c r="A294" s="271" t="s">
        <v>3758</v>
      </c>
      <c r="B294" s="271" t="s">
        <v>3759</v>
      </c>
      <c r="C294" s="271" t="s">
        <v>2216</v>
      </c>
      <c r="D294" s="271" t="s">
        <v>2423</v>
      </c>
      <c r="E294" s="271"/>
      <c r="F294" s="271" t="s">
        <v>3760</v>
      </c>
      <c r="G294" s="124" t="b" cm="1">
        <f t="array" ref="G294">COntains(ActiveDirectoryComputers[[#This Row],[computer.operatingSystem]], "Pro")</f>
        <v>0</v>
      </c>
      <c r="H294" s="315" t="b">
        <v>0</v>
      </c>
      <c r="I294" s="337" t="b">
        <v>0</v>
      </c>
      <c r="J294" s="307"/>
    </row>
    <row r="295" spans="1:10" x14ac:dyDescent="0.2">
      <c r="A295" s="317" t="s">
        <v>3761</v>
      </c>
      <c r="B295" s="317" t="s">
        <v>3762</v>
      </c>
      <c r="C295" s="317" t="s">
        <v>2224</v>
      </c>
      <c r="D295" s="317" t="s">
        <v>2423</v>
      </c>
      <c r="E295" s="317"/>
      <c r="F295" s="317" t="s">
        <v>3763</v>
      </c>
      <c r="G295" s="124" t="b" cm="1">
        <f t="array" ref="G295">COntains(ActiveDirectoryComputers[[#This Row],[computer.operatingSystem]], "Pro")</f>
        <v>1</v>
      </c>
      <c r="H295" s="315" t="b">
        <v>0</v>
      </c>
      <c r="I295" s="337" t="b">
        <v>0</v>
      </c>
      <c r="J295" s="307"/>
    </row>
    <row r="296" spans="1:10" x14ac:dyDescent="0.2">
      <c r="A296" s="317" t="s">
        <v>3764</v>
      </c>
      <c r="B296" s="317" t="s">
        <v>3765</v>
      </c>
      <c r="C296" s="317" t="s">
        <v>2224</v>
      </c>
      <c r="D296" s="317" t="s">
        <v>2423</v>
      </c>
      <c r="E296" s="317"/>
      <c r="F296" s="317" t="s">
        <v>3766</v>
      </c>
      <c r="G296" s="124" t="b" cm="1">
        <f t="array" ref="G296">COntains(ActiveDirectoryComputers[[#This Row],[computer.operatingSystem]], "Pro")</f>
        <v>1</v>
      </c>
      <c r="H296" s="315" t="b">
        <v>0</v>
      </c>
      <c r="I296" s="337" t="b">
        <v>0</v>
      </c>
      <c r="J296" s="307"/>
    </row>
    <row r="297" spans="1:10" x14ac:dyDescent="0.2">
      <c r="A297" s="317" t="s">
        <v>3767</v>
      </c>
      <c r="B297" s="317" t="s">
        <v>3768</v>
      </c>
      <c r="C297" s="317" t="s">
        <v>2224</v>
      </c>
      <c r="D297" s="317" t="s">
        <v>2423</v>
      </c>
      <c r="E297" s="317"/>
      <c r="F297" s="317" t="s">
        <v>3769</v>
      </c>
      <c r="G297" s="124" t="b" cm="1">
        <f t="array" ref="G297">COntains(ActiveDirectoryComputers[[#This Row],[computer.operatingSystem]], "Pro")</f>
        <v>1</v>
      </c>
      <c r="H297" s="315" t="b">
        <v>0</v>
      </c>
      <c r="I297" s="337" t="b">
        <v>0</v>
      </c>
      <c r="J297" s="307"/>
    </row>
    <row r="298" spans="1:10" x14ac:dyDescent="0.2">
      <c r="A298" s="317" t="s">
        <v>3770</v>
      </c>
      <c r="B298" s="317" t="s">
        <v>3771</v>
      </c>
      <c r="C298" s="317" t="s">
        <v>2224</v>
      </c>
      <c r="D298" s="317" t="s">
        <v>2423</v>
      </c>
      <c r="E298" s="317"/>
      <c r="F298" s="317" t="s">
        <v>3772</v>
      </c>
      <c r="G298" s="124" t="b" cm="1">
        <f t="array" ref="G298">COntains(ActiveDirectoryComputers[[#This Row],[computer.operatingSystem]], "Pro")</f>
        <v>1</v>
      </c>
      <c r="H298" s="315" t="b">
        <v>0</v>
      </c>
      <c r="I298" s="341" t="b">
        <v>0</v>
      </c>
      <c r="J298" s="307"/>
    </row>
    <row r="299" spans="1:10" x14ac:dyDescent="0.2">
      <c r="A299" s="317" t="s">
        <v>3773</v>
      </c>
      <c r="B299" s="317" t="s">
        <v>3774</v>
      </c>
      <c r="C299" s="317" t="s">
        <v>2224</v>
      </c>
      <c r="D299" s="317" t="s">
        <v>2423</v>
      </c>
      <c r="E299" s="317"/>
      <c r="F299" s="317" t="s">
        <v>3775</v>
      </c>
      <c r="G299" s="124" t="b" cm="1">
        <f t="array" ref="G299">COntains(ActiveDirectoryComputers[[#This Row],[computer.operatingSystem]], "Pro")</f>
        <v>1</v>
      </c>
      <c r="H299" s="315" t="b">
        <v>0</v>
      </c>
      <c r="I299" s="341" t="b">
        <v>0</v>
      </c>
      <c r="J299" s="307"/>
    </row>
    <row r="300" spans="1:10" x14ac:dyDescent="0.2">
      <c r="A300" s="271" t="s">
        <v>800</v>
      </c>
      <c r="B300" s="271" t="s">
        <v>2257</v>
      </c>
      <c r="C300" s="271" t="s">
        <v>2224</v>
      </c>
      <c r="D300" s="271" t="s">
        <v>2423</v>
      </c>
      <c r="E300" s="271"/>
      <c r="F300" s="271" t="s">
        <v>2635</v>
      </c>
      <c r="G300" s="124" t="b" cm="1">
        <f t="array" ref="G300">COntains(ActiveDirectoryComputers[[#This Row],[computer.operatingSystem]], "Pro")</f>
        <v>1</v>
      </c>
      <c r="H300" s="315" t="b">
        <v>0</v>
      </c>
      <c r="I300" s="337" t="b">
        <v>0</v>
      </c>
      <c r="J300" s="307"/>
    </row>
    <row r="301" spans="1:10" x14ac:dyDescent="0.2">
      <c r="A301" s="317" t="s">
        <v>2116</v>
      </c>
      <c r="B301" s="317" t="s">
        <v>2259</v>
      </c>
      <c r="C301" s="317" t="s">
        <v>2224</v>
      </c>
      <c r="D301" s="317" t="s">
        <v>2423</v>
      </c>
      <c r="E301" s="317"/>
      <c r="F301" s="317" t="s">
        <v>2636</v>
      </c>
      <c r="G301" s="124" t="b" cm="1">
        <f t="array" ref="G301">COntains(ActiveDirectoryComputers[[#This Row],[computer.operatingSystem]], "Pro")</f>
        <v>1</v>
      </c>
      <c r="H301" s="315" t="b">
        <v>0</v>
      </c>
      <c r="I301" s="341" t="b">
        <v>0</v>
      </c>
      <c r="J301" s="307"/>
    </row>
    <row r="302" spans="1:10" x14ac:dyDescent="0.2">
      <c r="A302" s="124" t="s">
        <v>806</v>
      </c>
      <c r="B302" s="124" t="s">
        <v>2260</v>
      </c>
      <c r="C302" s="124" t="s">
        <v>2326</v>
      </c>
      <c r="D302" s="124" t="s">
        <v>2217</v>
      </c>
      <c r="E302" s="124"/>
      <c r="F302" s="124" t="s">
        <v>3776</v>
      </c>
      <c r="G302" s="124" t="b" cm="1">
        <f t="array" ref="G302">COntains(ActiveDirectoryComputers[[#This Row],[computer.operatingSystem]], "Pro")</f>
        <v>0</v>
      </c>
      <c r="H302" s="315" t="b">
        <v>0</v>
      </c>
      <c r="I302" s="316" t="b">
        <v>0</v>
      </c>
      <c r="J302" s="307"/>
    </row>
    <row r="303" spans="1:10" x14ac:dyDescent="0.2">
      <c r="A303" s="271" t="s">
        <v>3777</v>
      </c>
      <c r="B303" s="271" t="s">
        <v>3778</v>
      </c>
      <c r="C303" s="271" t="s">
        <v>2326</v>
      </c>
      <c r="D303" s="271" t="s">
        <v>2423</v>
      </c>
      <c r="E303" s="271"/>
      <c r="F303" s="271" t="s">
        <v>3779</v>
      </c>
      <c r="G303" s="124" t="b" cm="1">
        <f t="array" ref="G303">COntains(ActiveDirectoryComputers[[#This Row],[computer.operatingSystem]], "Pro")</f>
        <v>0</v>
      </c>
      <c r="H303" s="315" t="b">
        <v>0</v>
      </c>
      <c r="I303" s="337" t="b">
        <v>0</v>
      </c>
      <c r="J303" s="307"/>
    </row>
    <row r="304" spans="1:10" x14ac:dyDescent="0.2">
      <c r="A304" s="317" t="s">
        <v>813</v>
      </c>
      <c r="B304" s="317" t="s">
        <v>2261</v>
      </c>
      <c r="C304" s="317" t="s">
        <v>2216</v>
      </c>
      <c r="D304" s="317" t="s">
        <v>2423</v>
      </c>
      <c r="E304" s="317"/>
      <c r="F304" s="317" t="s">
        <v>2637</v>
      </c>
      <c r="G304" s="124" t="b" cm="1">
        <f t="array" ref="G304">COntains(ActiveDirectoryComputers[[#This Row],[computer.operatingSystem]], "Pro")</f>
        <v>0</v>
      </c>
      <c r="H304" s="315" t="b">
        <v>0</v>
      </c>
      <c r="I304" s="337" t="b">
        <v>0</v>
      </c>
      <c r="J304" s="307"/>
    </row>
    <row r="305" spans="1:10" x14ac:dyDescent="0.2">
      <c r="A305" s="271" t="s">
        <v>1875</v>
      </c>
      <c r="B305" s="271" t="s">
        <v>2264</v>
      </c>
      <c r="C305" s="271" t="s">
        <v>2326</v>
      </c>
      <c r="D305" s="271" t="s">
        <v>2423</v>
      </c>
      <c r="E305" s="271"/>
      <c r="F305" s="271" t="s">
        <v>2638</v>
      </c>
      <c r="G305" s="124" t="b" cm="1">
        <f t="array" ref="G305">COntains(ActiveDirectoryComputers[[#This Row],[computer.operatingSystem]], "Pro")</f>
        <v>0</v>
      </c>
      <c r="H305" s="315" t="b">
        <v>0</v>
      </c>
      <c r="I305" s="337" t="b">
        <v>0</v>
      </c>
      <c r="J305" s="307"/>
    </row>
    <row r="306" spans="1:10" x14ac:dyDescent="0.2">
      <c r="A306" s="271" t="s">
        <v>1362</v>
      </c>
      <c r="B306" s="271" t="s">
        <v>2265</v>
      </c>
      <c r="C306" s="271" t="s">
        <v>2213</v>
      </c>
      <c r="D306" s="271" t="s">
        <v>2214</v>
      </c>
      <c r="E306" s="271"/>
      <c r="F306" s="271" t="s">
        <v>2639</v>
      </c>
      <c r="G306" s="124" t="b" cm="1">
        <f t="array" ref="G306">COntains(ActiveDirectoryComputers[[#This Row],[computer.operatingSystem]], "Pro")</f>
        <v>0</v>
      </c>
      <c r="H306" s="315" t="b">
        <v>0</v>
      </c>
      <c r="I306" s="341" t="b">
        <v>0</v>
      </c>
      <c r="J306" s="307"/>
    </row>
    <row r="307" spans="1:10" x14ac:dyDescent="0.2">
      <c r="A307" s="271" t="s">
        <v>838</v>
      </c>
      <c r="B307" s="271" t="s">
        <v>2266</v>
      </c>
      <c r="C307" s="271" t="s">
        <v>2326</v>
      </c>
      <c r="D307" s="271" t="s">
        <v>2217</v>
      </c>
      <c r="E307" s="271"/>
      <c r="F307" s="271" t="s">
        <v>2640</v>
      </c>
      <c r="G307" s="124" t="b" cm="1">
        <f t="array" ref="G307">COntains(ActiveDirectoryComputers[[#This Row],[computer.operatingSystem]], "Pro")</f>
        <v>0</v>
      </c>
      <c r="H307" s="315" t="b">
        <v>0</v>
      </c>
      <c r="I307" s="316" t="b">
        <v>0</v>
      </c>
      <c r="J307" s="307"/>
    </row>
    <row r="308" spans="1:10" x14ac:dyDescent="0.2">
      <c r="A308" s="271" t="s">
        <v>2267</v>
      </c>
      <c r="B308" s="271" t="s">
        <v>2268</v>
      </c>
      <c r="C308" s="271" t="s">
        <v>2216</v>
      </c>
      <c r="D308" s="271" t="s">
        <v>2217</v>
      </c>
      <c r="E308" s="271"/>
      <c r="F308" s="271" t="s">
        <v>2641</v>
      </c>
      <c r="G308" s="124" t="b" cm="1">
        <f t="array" ref="G308">COntains(ActiveDirectoryComputers[[#This Row],[computer.operatingSystem]], "Pro")</f>
        <v>0</v>
      </c>
      <c r="H308" s="315" t="b">
        <v>0</v>
      </c>
      <c r="I308" s="316" t="b">
        <v>0</v>
      </c>
      <c r="J308" s="307"/>
    </row>
    <row r="309" spans="1:10" x14ac:dyDescent="0.2">
      <c r="A309" s="271" t="s">
        <v>2269</v>
      </c>
      <c r="B309" s="271" t="s">
        <v>2270</v>
      </c>
      <c r="C309" s="271" t="s">
        <v>2216</v>
      </c>
      <c r="D309" s="271" t="s">
        <v>2217</v>
      </c>
      <c r="E309" s="271"/>
      <c r="F309" s="271" t="s">
        <v>2642</v>
      </c>
      <c r="G309" s="124" t="b" cm="1">
        <f t="array" ref="G309">COntains(ActiveDirectoryComputers[[#This Row],[computer.operatingSystem]], "Pro")</f>
        <v>0</v>
      </c>
      <c r="H309" s="315" t="b">
        <v>0</v>
      </c>
      <c r="I309" s="316" t="b">
        <v>0</v>
      </c>
      <c r="J309" s="307"/>
    </row>
    <row r="310" spans="1:10" x14ac:dyDescent="0.2">
      <c r="A310" s="271" t="s">
        <v>1372</v>
      </c>
      <c r="B310" s="271" t="s">
        <v>2271</v>
      </c>
      <c r="C310" s="271" t="s">
        <v>2213</v>
      </c>
      <c r="D310" s="271" t="s">
        <v>2214</v>
      </c>
      <c r="E310" s="271"/>
      <c r="F310" s="271" t="s">
        <v>2643</v>
      </c>
      <c r="G310" s="124" t="b" cm="1">
        <f t="array" ref="G310">COntains(ActiveDirectoryComputers[[#This Row],[computer.operatingSystem]], "Pro")</f>
        <v>0</v>
      </c>
      <c r="H310" s="315" t="b">
        <v>0</v>
      </c>
      <c r="I310" s="337" t="b">
        <v>0</v>
      </c>
      <c r="J310" s="307"/>
    </row>
    <row r="311" spans="1:10" x14ac:dyDescent="0.2">
      <c r="A311" s="271" t="s">
        <v>1387</v>
      </c>
      <c r="B311" s="271" t="s">
        <v>2272</v>
      </c>
      <c r="C311" s="271" t="s">
        <v>2216</v>
      </c>
      <c r="D311" s="271" t="s">
        <v>2217</v>
      </c>
      <c r="E311" s="271"/>
      <c r="F311" s="271" t="s">
        <v>2644</v>
      </c>
      <c r="G311" s="124" t="b" cm="1">
        <f t="array" ref="G311">COntains(ActiveDirectoryComputers[[#This Row],[computer.operatingSystem]], "Pro")</f>
        <v>0</v>
      </c>
      <c r="H311" s="315" t="b">
        <v>0</v>
      </c>
      <c r="I311" s="337" t="b">
        <v>0</v>
      </c>
      <c r="J311" s="307"/>
    </row>
    <row r="312" spans="1:10" x14ac:dyDescent="0.2">
      <c r="A312" s="271" t="s">
        <v>2275</v>
      </c>
      <c r="B312" s="271" t="s">
        <v>2276</v>
      </c>
      <c r="C312" s="271" t="s">
        <v>2216</v>
      </c>
      <c r="D312" s="271" t="s">
        <v>2229</v>
      </c>
      <c r="E312" s="271"/>
      <c r="F312" s="271" t="s">
        <v>2645</v>
      </c>
      <c r="G312" s="124" t="b" cm="1">
        <f t="array" ref="G312">COntains(ActiveDirectoryComputers[[#This Row],[computer.operatingSystem]], "Pro")</f>
        <v>0</v>
      </c>
      <c r="H312" s="315" t="b">
        <v>0</v>
      </c>
      <c r="I312" s="337" t="b">
        <v>0</v>
      </c>
      <c r="J312" s="307"/>
    </row>
    <row r="313" spans="1:10" x14ac:dyDescent="0.2">
      <c r="A313" s="317" t="s">
        <v>2277</v>
      </c>
      <c r="B313" s="317" t="s">
        <v>2278</v>
      </c>
      <c r="C313" s="317" t="s">
        <v>2216</v>
      </c>
      <c r="D313" s="317" t="s">
        <v>2217</v>
      </c>
      <c r="E313" s="317"/>
      <c r="F313" s="317" t="s">
        <v>2646</v>
      </c>
      <c r="G313" s="124" t="b" cm="1">
        <f t="array" ref="G313">COntains(ActiveDirectoryComputers[[#This Row],[computer.operatingSystem]], "Pro")</f>
        <v>0</v>
      </c>
      <c r="H313" s="315" t="b">
        <v>0</v>
      </c>
      <c r="I313" s="341" t="b">
        <v>0</v>
      </c>
      <c r="J313" s="307"/>
    </row>
    <row r="314" spans="1:10" x14ac:dyDescent="0.2">
      <c r="A314" s="124" t="s">
        <v>3780</v>
      </c>
      <c r="B314" s="124" t="s">
        <v>3781</v>
      </c>
      <c r="C314" s="124" t="s">
        <v>2216</v>
      </c>
      <c r="D314" s="124" t="s">
        <v>2217</v>
      </c>
      <c r="E314" s="124"/>
      <c r="F314" s="124" t="s">
        <v>3782</v>
      </c>
      <c r="G314" s="124" t="b" cm="1">
        <f t="array" ref="G314">COntains(ActiveDirectoryComputers[[#This Row],[computer.operatingSystem]], "Pro")</f>
        <v>0</v>
      </c>
      <c r="H314" s="315" t="b">
        <v>0</v>
      </c>
      <c r="I314" s="316" t="b">
        <v>0</v>
      </c>
      <c r="J314" s="307"/>
    </row>
    <row r="315" spans="1:10" x14ac:dyDescent="0.2">
      <c r="A315" s="124" t="s">
        <v>1452</v>
      </c>
      <c r="B315" s="124" t="s">
        <v>2281</v>
      </c>
      <c r="C315" s="124" t="s">
        <v>2216</v>
      </c>
      <c r="D315" s="124" t="s">
        <v>2217</v>
      </c>
      <c r="E315" s="124"/>
      <c r="F315" s="124" t="s">
        <v>2647</v>
      </c>
      <c r="G315" s="124" t="b" cm="1">
        <f t="array" ref="G315">COntains(ActiveDirectoryComputers[[#This Row],[computer.operatingSystem]], "Pro")</f>
        <v>0</v>
      </c>
      <c r="H315" s="315" t="b">
        <v>0</v>
      </c>
      <c r="I315" s="316" t="b">
        <v>0</v>
      </c>
      <c r="J315" s="307"/>
    </row>
    <row r="316" spans="1:10" x14ac:dyDescent="0.2">
      <c r="A316" s="124" t="s">
        <v>2282</v>
      </c>
      <c r="B316" s="124" t="s">
        <v>2283</v>
      </c>
      <c r="C316" s="124" t="s">
        <v>2216</v>
      </c>
      <c r="D316" s="124" t="s">
        <v>2217</v>
      </c>
      <c r="E316" s="124"/>
      <c r="F316" s="124" t="s">
        <v>2648</v>
      </c>
      <c r="G316" s="124" t="b" cm="1">
        <f t="array" ref="G316">COntains(ActiveDirectoryComputers[[#This Row],[computer.operatingSystem]], "Pro")</f>
        <v>0</v>
      </c>
      <c r="H316" s="315" t="b">
        <v>0</v>
      </c>
      <c r="I316" s="316" t="b">
        <v>0</v>
      </c>
      <c r="J316" s="307"/>
    </row>
    <row r="317" spans="1:10" x14ac:dyDescent="0.2">
      <c r="A317" s="124" t="s">
        <v>1456</v>
      </c>
      <c r="B317" s="124" t="s">
        <v>2284</v>
      </c>
      <c r="C317" s="124" t="s">
        <v>2216</v>
      </c>
      <c r="D317" s="124" t="s">
        <v>2217</v>
      </c>
      <c r="E317" s="124"/>
      <c r="F317" s="124" t="s">
        <v>2649</v>
      </c>
      <c r="G317" s="124" t="b" cm="1">
        <f t="array" ref="G317">COntains(ActiveDirectoryComputers[[#This Row],[computer.operatingSystem]], "Pro")</f>
        <v>0</v>
      </c>
      <c r="H317" s="315" t="b">
        <v>0</v>
      </c>
      <c r="I317" s="316" t="b">
        <v>0</v>
      </c>
      <c r="J317" s="307"/>
    </row>
    <row r="318" spans="1:10" x14ac:dyDescent="0.2">
      <c r="A318" s="124" t="s">
        <v>2286</v>
      </c>
      <c r="B318" s="124" t="s">
        <v>2287</v>
      </c>
      <c r="C318" s="124" t="s">
        <v>2216</v>
      </c>
      <c r="D318" s="124" t="s">
        <v>2217</v>
      </c>
      <c r="E318" s="124"/>
      <c r="F318" s="124" t="s">
        <v>2650</v>
      </c>
      <c r="G318" s="124" t="b" cm="1">
        <f t="array" ref="G318">COntains(ActiveDirectoryComputers[[#This Row],[computer.operatingSystem]], "Pro")</f>
        <v>0</v>
      </c>
      <c r="H318" s="315" t="b">
        <v>0</v>
      </c>
      <c r="I318" s="316" t="b">
        <v>0</v>
      </c>
      <c r="J318" s="307"/>
    </row>
    <row r="319" spans="1:10" x14ac:dyDescent="0.2">
      <c r="A319" s="124" t="s">
        <v>1461</v>
      </c>
      <c r="B319" s="124" t="s">
        <v>2289</v>
      </c>
      <c r="C319" s="124" t="s">
        <v>2213</v>
      </c>
      <c r="D319" s="124" t="s">
        <v>2214</v>
      </c>
      <c r="E319" s="124"/>
      <c r="F319" s="124" t="s">
        <v>2651</v>
      </c>
      <c r="G319" s="124" t="b" cm="1">
        <f t="array" ref="G319">COntains(ActiveDirectoryComputers[[#This Row],[computer.operatingSystem]], "Pro")</f>
        <v>0</v>
      </c>
      <c r="H319" s="315" t="b">
        <v>0</v>
      </c>
      <c r="I319" s="316" t="b">
        <v>0</v>
      </c>
      <c r="J319" s="307"/>
    </row>
    <row r="320" spans="1:10" x14ac:dyDescent="0.2">
      <c r="A320" s="124" t="s">
        <v>3656</v>
      </c>
      <c r="B320" s="124" t="s">
        <v>3657</v>
      </c>
      <c r="C320" s="124" t="s">
        <v>2216</v>
      </c>
      <c r="D320" s="124" t="s">
        <v>2217</v>
      </c>
      <c r="E320" s="124"/>
      <c r="F320" s="124" t="s">
        <v>3658</v>
      </c>
      <c r="G320" s="124" t="b" cm="1">
        <f t="array" ref="G320">COntains(ActiveDirectoryComputers[[#This Row],[computer.operatingSystem]], "Pro")</f>
        <v>0</v>
      </c>
      <c r="H320" s="315" t="b">
        <v>0</v>
      </c>
      <c r="I320" s="316" t="b">
        <v>0</v>
      </c>
      <c r="J320" s="307"/>
    </row>
    <row r="321" spans="1:10" x14ac:dyDescent="0.2">
      <c r="A321" s="124" t="s">
        <v>3393</v>
      </c>
      <c r="B321" s="124" t="s">
        <v>3394</v>
      </c>
      <c r="C321" s="124" t="s">
        <v>2216</v>
      </c>
      <c r="D321" s="124" t="s">
        <v>2423</v>
      </c>
      <c r="E321" s="124"/>
      <c r="F321" s="124" t="s">
        <v>3395</v>
      </c>
      <c r="G321" s="124" t="b" cm="1">
        <f t="array" ref="G321">COntains(ActiveDirectoryComputers[[#This Row],[computer.operatingSystem]], "Pro")</f>
        <v>0</v>
      </c>
      <c r="H321" s="315" t="b">
        <v>0</v>
      </c>
      <c r="I321" s="316" t="b">
        <v>0</v>
      </c>
      <c r="J321" s="307"/>
    </row>
    <row r="322" spans="1:10" x14ac:dyDescent="0.2">
      <c r="A322" s="124" t="s">
        <v>1489</v>
      </c>
      <c r="B322" s="124" t="s">
        <v>2295</v>
      </c>
      <c r="C322" s="124" t="s">
        <v>2219</v>
      </c>
      <c r="D322" s="124" t="s">
        <v>2220</v>
      </c>
      <c r="E322" s="124"/>
      <c r="F322" s="124" t="s">
        <v>2652</v>
      </c>
      <c r="G322" s="124" t="b" cm="1">
        <f t="array" ref="G322">COntains(ActiveDirectoryComputers[[#This Row],[computer.operatingSystem]], "Pro")</f>
        <v>0</v>
      </c>
      <c r="H322" s="315" t="b">
        <v>0</v>
      </c>
      <c r="I322" s="316" t="b">
        <v>0</v>
      </c>
      <c r="J322" s="307"/>
    </row>
    <row r="323" spans="1:10" x14ac:dyDescent="0.2">
      <c r="A323" s="124" t="s">
        <v>1521</v>
      </c>
      <c r="B323" s="124" t="s">
        <v>3659</v>
      </c>
      <c r="C323" s="124" t="s">
        <v>2216</v>
      </c>
      <c r="D323" s="124" t="s">
        <v>2217</v>
      </c>
      <c r="E323" s="124"/>
      <c r="F323" s="124" t="s">
        <v>3660</v>
      </c>
      <c r="G323" s="124" t="b" cm="1">
        <f t="array" ref="G323">COntains(ActiveDirectoryComputers[[#This Row],[computer.operatingSystem]], "Pro")</f>
        <v>0</v>
      </c>
      <c r="H323" s="315" t="b">
        <v>0</v>
      </c>
      <c r="I323" s="316" t="b">
        <v>0</v>
      </c>
      <c r="J323" s="307"/>
    </row>
    <row r="324" spans="1:10" x14ac:dyDescent="0.2">
      <c r="A324" s="124" t="s">
        <v>2298</v>
      </c>
      <c r="B324" s="124" t="s">
        <v>2299</v>
      </c>
      <c r="C324" s="124" t="s">
        <v>2216</v>
      </c>
      <c r="D324" s="124" t="s">
        <v>2423</v>
      </c>
      <c r="E324" s="124"/>
      <c r="F324" s="124" t="s">
        <v>2653</v>
      </c>
      <c r="G324" s="124" t="b" cm="1">
        <f t="array" ref="G324">COntains(ActiveDirectoryComputers[[#This Row],[computer.operatingSystem]], "Pro")</f>
        <v>0</v>
      </c>
      <c r="H324" s="315" t="b">
        <v>0</v>
      </c>
      <c r="I324" s="316" t="b">
        <v>0</v>
      </c>
      <c r="J324" s="307"/>
    </row>
    <row r="325" spans="1:10" x14ac:dyDescent="0.2">
      <c r="A325" s="124" t="s">
        <v>1597</v>
      </c>
      <c r="B325" s="124" t="s">
        <v>2307</v>
      </c>
      <c r="C325" s="124" t="s">
        <v>2216</v>
      </c>
      <c r="D325" s="124" t="s">
        <v>2217</v>
      </c>
      <c r="E325" s="124"/>
      <c r="F325" s="124" t="s">
        <v>2654</v>
      </c>
      <c r="G325" s="124" t="b" cm="1">
        <f t="array" ref="G325">COntains(ActiveDirectoryComputers[[#This Row],[computer.operatingSystem]], "Pro")</f>
        <v>0</v>
      </c>
      <c r="H325" s="315" t="b">
        <v>0</v>
      </c>
      <c r="I325" s="316" t="b">
        <v>0</v>
      </c>
      <c r="J325" s="307"/>
    </row>
    <row r="326" spans="1:10" x14ac:dyDescent="0.2">
      <c r="A326" s="124" t="s">
        <v>1600</v>
      </c>
      <c r="B326" s="124" t="s">
        <v>2308</v>
      </c>
      <c r="C326" s="124" t="s">
        <v>2216</v>
      </c>
      <c r="D326" s="124" t="s">
        <v>2217</v>
      </c>
      <c r="E326" s="124"/>
      <c r="F326" s="124" t="s">
        <v>2655</v>
      </c>
      <c r="G326" s="124" t="b" cm="1">
        <f t="array" ref="G326">COntains(ActiveDirectoryComputers[[#This Row],[computer.operatingSystem]], "Pro")</f>
        <v>0</v>
      </c>
      <c r="H326" s="315" t="b">
        <v>0</v>
      </c>
      <c r="I326" s="316" t="b">
        <v>0</v>
      </c>
      <c r="J326" s="307"/>
    </row>
    <row r="327" spans="1:10" x14ac:dyDescent="0.2">
      <c r="A327" s="124" t="s">
        <v>1602</v>
      </c>
      <c r="B327" s="124" t="s">
        <v>2309</v>
      </c>
      <c r="C327" s="124" t="s">
        <v>2213</v>
      </c>
      <c r="D327" s="124" t="s">
        <v>2214</v>
      </c>
      <c r="E327" s="124"/>
      <c r="F327" s="124" t="s">
        <v>2656</v>
      </c>
      <c r="G327" s="124" t="b" cm="1">
        <f t="array" ref="G327">COntains(ActiveDirectoryComputers[[#This Row],[computer.operatingSystem]], "Pro")</f>
        <v>0</v>
      </c>
      <c r="H327" s="315" t="b">
        <v>0</v>
      </c>
      <c r="I327" s="316" t="b">
        <v>0</v>
      </c>
      <c r="J327" s="307"/>
    </row>
    <row r="328" spans="1:10" x14ac:dyDescent="0.2">
      <c r="A328" s="124" t="s">
        <v>1612</v>
      </c>
      <c r="B328" s="124" t="s">
        <v>2310</v>
      </c>
      <c r="C328" s="124" t="s">
        <v>2216</v>
      </c>
      <c r="D328" s="124" t="s">
        <v>2217</v>
      </c>
      <c r="E328" s="124"/>
      <c r="F328" s="124" t="s">
        <v>2657</v>
      </c>
      <c r="G328" s="124" t="b" cm="1">
        <f t="array" ref="G328">COntains(ActiveDirectoryComputers[[#This Row],[computer.operatingSystem]], "Pro")</f>
        <v>0</v>
      </c>
      <c r="H328" s="315" t="b">
        <v>0</v>
      </c>
      <c r="I328" s="316" t="b">
        <v>0</v>
      </c>
      <c r="J328" s="307"/>
    </row>
    <row r="329" spans="1:10" x14ac:dyDescent="0.2">
      <c r="A329" s="124" t="s">
        <v>1617</v>
      </c>
      <c r="B329" s="124" t="s">
        <v>2311</v>
      </c>
      <c r="C329" s="124" t="s">
        <v>2216</v>
      </c>
      <c r="D329" s="124" t="s">
        <v>2217</v>
      </c>
      <c r="E329" s="124"/>
      <c r="F329" s="124" t="s">
        <v>2658</v>
      </c>
      <c r="G329" s="124" t="b" cm="1">
        <f t="array" ref="G329">COntains(ActiveDirectoryComputers[[#This Row],[computer.operatingSystem]], "Pro")</f>
        <v>0</v>
      </c>
      <c r="H329" s="315" t="b">
        <v>0</v>
      </c>
      <c r="I329" s="316" t="b">
        <v>0</v>
      </c>
      <c r="J329" s="307"/>
    </row>
    <row r="330" spans="1:10" x14ac:dyDescent="0.2">
      <c r="A330" s="124" t="s">
        <v>1622</v>
      </c>
      <c r="B330" s="124" t="s">
        <v>2312</v>
      </c>
      <c r="C330" s="124" t="s">
        <v>2225</v>
      </c>
      <c r="D330" s="124" t="s">
        <v>2231</v>
      </c>
      <c r="E330" s="124"/>
      <c r="F330" s="124" t="s">
        <v>2659</v>
      </c>
      <c r="G330" s="124" t="b" cm="1">
        <f t="array" ref="G330">COntains(ActiveDirectoryComputers[[#This Row],[computer.operatingSystem]], "Pro")</f>
        <v>0</v>
      </c>
      <c r="H330" s="315" t="b">
        <v>0</v>
      </c>
      <c r="I330" s="316" t="b">
        <v>0</v>
      </c>
      <c r="J330" s="307"/>
    </row>
    <row r="331" spans="1:10" x14ac:dyDescent="0.2">
      <c r="A331" s="124" t="s">
        <v>1626</v>
      </c>
      <c r="B331" s="124" t="s">
        <v>2313</v>
      </c>
      <c r="C331" s="124" t="s">
        <v>2216</v>
      </c>
      <c r="D331" s="124" t="s">
        <v>2423</v>
      </c>
      <c r="E331" s="124"/>
      <c r="F331" s="124" t="s">
        <v>2660</v>
      </c>
      <c r="G331" s="124" t="b" cm="1">
        <f t="array" ref="G331">COntains(ActiveDirectoryComputers[[#This Row],[computer.operatingSystem]], "Pro")</f>
        <v>0</v>
      </c>
      <c r="H331" s="315" t="b">
        <v>0</v>
      </c>
      <c r="I331" s="316" t="b">
        <v>0</v>
      </c>
      <c r="J331" s="307"/>
    </row>
    <row r="332" spans="1:10" x14ac:dyDescent="0.2">
      <c r="A332" s="124" t="s">
        <v>1629</v>
      </c>
      <c r="B332" s="124" t="s">
        <v>2315</v>
      </c>
      <c r="C332" s="124" t="s">
        <v>2216</v>
      </c>
      <c r="D332" s="124" t="s">
        <v>2217</v>
      </c>
      <c r="E332" s="124"/>
      <c r="F332" s="124" t="s">
        <v>2661</v>
      </c>
      <c r="G332" s="124" t="b" cm="1">
        <f t="array" ref="G332">COntains(ActiveDirectoryComputers[[#This Row],[computer.operatingSystem]], "Pro")</f>
        <v>0</v>
      </c>
      <c r="H332" s="315" t="b">
        <v>0</v>
      </c>
      <c r="I332" s="316" t="b">
        <v>0</v>
      </c>
      <c r="J332" s="307"/>
    </row>
    <row r="333" spans="1:10" x14ac:dyDescent="0.2">
      <c r="A333" s="124" t="s">
        <v>1631</v>
      </c>
      <c r="B333" s="124" t="s">
        <v>2316</v>
      </c>
      <c r="C333" s="124" t="s">
        <v>2252</v>
      </c>
      <c r="D333" s="124" t="s">
        <v>2214</v>
      </c>
      <c r="E333" s="124"/>
      <c r="F333" s="124" t="s">
        <v>2662</v>
      </c>
      <c r="G333" s="124" t="b" cm="1">
        <f t="array" ref="G333">COntains(ActiveDirectoryComputers[[#This Row],[computer.operatingSystem]], "Pro")</f>
        <v>1</v>
      </c>
      <c r="H333" s="315" t="b">
        <v>0</v>
      </c>
      <c r="I333" s="316" t="b">
        <v>0</v>
      </c>
      <c r="J333" s="307"/>
    </row>
    <row r="334" spans="1:10" x14ac:dyDescent="0.2">
      <c r="A334" s="124" t="s">
        <v>1640</v>
      </c>
      <c r="B334" s="124" t="s">
        <v>2317</v>
      </c>
      <c r="C334" s="124" t="s">
        <v>2216</v>
      </c>
      <c r="D334" s="124" t="s">
        <v>2217</v>
      </c>
      <c r="E334" s="124"/>
      <c r="F334" s="124" t="s">
        <v>2663</v>
      </c>
      <c r="G334" s="124" t="b" cm="1">
        <f t="array" ref="G334">COntains(ActiveDirectoryComputers[[#This Row],[computer.operatingSystem]], "Pro")</f>
        <v>0</v>
      </c>
      <c r="H334" s="315" t="b">
        <v>0</v>
      </c>
      <c r="I334" s="316" t="b">
        <v>0</v>
      </c>
      <c r="J334" s="307"/>
    </row>
    <row r="335" spans="1:10" x14ac:dyDescent="0.2">
      <c r="A335" s="124" t="s">
        <v>1650</v>
      </c>
      <c r="B335" s="124" t="s">
        <v>2318</v>
      </c>
      <c r="C335" s="124" t="s">
        <v>2216</v>
      </c>
      <c r="D335" s="124" t="s">
        <v>2423</v>
      </c>
      <c r="E335" s="124"/>
      <c r="F335" s="124" t="s">
        <v>2664</v>
      </c>
      <c r="G335" s="124" t="b" cm="1">
        <f t="array" ref="G335">COntains(ActiveDirectoryComputers[[#This Row],[computer.operatingSystem]], "Pro")</f>
        <v>0</v>
      </c>
      <c r="H335" s="315" t="b">
        <v>0</v>
      </c>
      <c r="I335" s="316" t="b">
        <v>0</v>
      </c>
      <c r="J335" s="307"/>
    </row>
    <row r="336" spans="1:10" x14ac:dyDescent="0.2">
      <c r="A336" s="124" t="s">
        <v>1668</v>
      </c>
      <c r="B336" s="124" t="s">
        <v>2319</v>
      </c>
      <c r="C336" s="124" t="s">
        <v>2213</v>
      </c>
      <c r="D336" s="124" t="s">
        <v>2214</v>
      </c>
      <c r="E336" s="124"/>
      <c r="F336" s="124" t="s">
        <v>2665</v>
      </c>
      <c r="G336" s="124" t="b" cm="1">
        <f t="array" ref="G336">COntains(ActiveDirectoryComputers[[#This Row],[computer.operatingSystem]], "Pro")</f>
        <v>0</v>
      </c>
      <c r="H336" s="315" t="b">
        <v>0</v>
      </c>
      <c r="I336" s="316" t="b">
        <v>0</v>
      </c>
      <c r="J336" s="307"/>
    </row>
    <row r="337" spans="1:10" x14ac:dyDescent="0.2">
      <c r="A337" s="124" t="s">
        <v>1683</v>
      </c>
      <c r="B337" s="124" t="s">
        <v>2332</v>
      </c>
      <c r="C337" s="124" t="s">
        <v>2213</v>
      </c>
      <c r="D337" s="124" t="s">
        <v>2214</v>
      </c>
      <c r="E337" s="124"/>
      <c r="F337" s="124" t="s">
        <v>2666</v>
      </c>
      <c r="G337" s="124" t="b" cm="1">
        <f t="array" ref="G337">COntains(ActiveDirectoryComputers[[#This Row],[computer.operatingSystem]], "Pro")</f>
        <v>0</v>
      </c>
      <c r="H337" s="315" t="b">
        <v>0</v>
      </c>
      <c r="I337" s="316" t="b">
        <v>0</v>
      </c>
      <c r="J337" s="307"/>
    </row>
    <row r="338" spans="1:10" x14ac:dyDescent="0.2">
      <c r="A338" s="124" t="s">
        <v>2333</v>
      </c>
      <c r="B338" s="124" t="s">
        <v>3783</v>
      </c>
      <c r="C338" s="124" t="s">
        <v>2216</v>
      </c>
      <c r="D338" s="124" t="s">
        <v>2217</v>
      </c>
      <c r="E338" s="124"/>
      <c r="F338" s="124" t="s">
        <v>3784</v>
      </c>
      <c r="G338" s="124" t="b" cm="1">
        <f t="array" ref="G338">COntains(ActiveDirectoryComputers[[#This Row],[computer.operatingSystem]], "Pro")</f>
        <v>0</v>
      </c>
      <c r="H338" s="315" t="b">
        <v>0</v>
      </c>
      <c r="I338" s="316" t="b">
        <v>0</v>
      </c>
      <c r="J338" s="307"/>
    </row>
    <row r="339" spans="1:10" x14ac:dyDescent="0.2">
      <c r="A339" s="124" t="s">
        <v>1718</v>
      </c>
      <c r="B339" s="124" t="s">
        <v>2334</v>
      </c>
      <c r="C339" s="124" t="s">
        <v>2252</v>
      </c>
      <c r="D339" s="124" t="s">
        <v>2214</v>
      </c>
      <c r="E339" s="124"/>
      <c r="F339" s="124" t="s">
        <v>2667</v>
      </c>
      <c r="G339" s="124" t="b" cm="1">
        <f t="array" ref="G339">COntains(ActiveDirectoryComputers[[#This Row],[computer.operatingSystem]], "Pro")</f>
        <v>1</v>
      </c>
      <c r="H339" s="315" t="b">
        <v>0</v>
      </c>
      <c r="I339" s="316" t="b">
        <v>0</v>
      </c>
      <c r="J339" s="307"/>
    </row>
    <row r="340" spans="1:10" x14ac:dyDescent="0.2">
      <c r="A340" s="124" t="s">
        <v>2335</v>
      </c>
      <c r="B340" s="124" t="s">
        <v>2336</v>
      </c>
      <c r="C340" s="124" t="s">
        <v>2213</v>
      </c>
      <c r="D340" s="124" t="s">
        <v>2214</v>
      </c>
      <c r="E340" s="124"/>
      <c r="F340" s="124" t="s">
        <v>2668</v>
      </c>
      <c r="G340" s="124" t="b" cm="1">
        <f t="array" ref="G340">COntains(ActiveDirectoryComputers[[#This Row],[computer.operatingSystem]], "Pro")</f>
        <v>0</v>
      </c>
      <c r="H340" s="315" t="b">
        <v>0</v>
      </c>
      <c r="I340" s="316" t="b">
        <v>0</v>
      </c>
      <c r="J340" s="307"/>
    </row>
    <row r="341" spans="1:10" x14ac:dyDescent="0.2">
      <c r="A341" s="124" t="s">
        <v>3785</v>
      </c>
      <c r="B341" s="124" t="s">
        <v>3786</v>
      </c>
      <c r="C341" s="124" t="s">
        <v>2216</v>
      </c>
      <c r="D341" s="124" t="s">
        <v>2423</v>
      </c>
      <c r="E341" s="124"/>
      <c r="F341" s="124" t="s">
        <v>3787</v>
      </c>
      <c r="G341" s="124" t="b" cm="1">
        <f t="array" ref="G341">COntains(ActiveDirectoryComputers[[#This Row],[computer.operatingSystem]], "Pro")</f>
        <v>0</v>
      </c>
      <c r="H341" s="315" t="b">
        <v>0</v>
      </c>
      <c r="I341" s="316" t="b">
        <v>0</v>
      </c>
      <c r="J341" s="307"/>
    </row>
    <row r="342" spans="1:10" x14ac:dyDescent="0.2">
      <c r="A342" s="124" t="s">
        <v>2338</v>
      </c>
      <c r="B342" s="124" t="s">
        <v>2339</v>
      </c>
      <c r="C342" s="124" t="s">
        <v>2216</v>
      </c>
      <c r="D342" s="124" t="s">
        <v>2217</v>
      </c>
      <c r="E342" s="124"/>
      <c r="F342" s="124" t="s">
        <v>2669</v>
      </c>
      <c r="G342" s="124" t="b" cm="1">
        <f t="array" ref="G342">COntains(ActiveDirectoryComputers[[#This Row],[computer.operatingSystem]], "Pro")</f>
        <v>0</v>
      </c>
      <c r="H342" s="315" t="b">
        <v>0</v>
      </c>
      <c r="I342" s="316" t="b">
        <v>0</v>
      </c>
      <c r="J342" s="307"/>
    </row>
    <row r="343" spans="1:10" x14ac:dyDescent="0.2">
      <c r="A343" s="124" t="s">
        <v>1701</v>
      </c>
      <c r="B343" s="124" t="s">
        <v>2340</v>
      </c>
      <c r="C343" s="124" t="s">
        <v>2219</v>
      </c>
      <c r="D343" s="124" t="s">
        <v>2220</v>
      </c>
      <c r="E343" s="124"/>
      <c r="F343" s="124" t="s">
        <v>2670</v>
      </c>
      <c r="G343" s="124" t="b" cm="1">
        <f t="array" ref="G343">COntains(ActiveDirectoryComputers[[#This Row],[computer.operatingSystem]], "Pro")</f>
        <v>0</v>
      </c>
      <c r="H343" s="315" t="b">
        <v>0</v>
      </c>
      <c r="I343" s="316" t="b">
        <v>0</v>
      </c>
      <c r="J343" s="307"/>
    </row>
    <row r="344" spans="1:10" x14ac:dyDescent="0.2">
      <c r="A344" s="124" t="s">
        <v>973</v>
      </c>
      <c r="B344" s="124" t="s">
        <v>2341</v>
      </c>
      <c r="C344" s="124" t="s">
        <v>2216</v>
      </c>
      <c r="D344" s="124" t="s">
        <v>2229</v>
      </c>
      <c r="E344" s="124"/>
      <c r="F344" s="124" t="s">
        <v>2671</v>
      </c>
      <c r="G344" s="124" t="b" cm="1">
        <f t="array" ref="G344">COntains(ActiveDirectoryComputers[[#This Row],[computer.operatingSystem]], "Pro")</f>
        <v>0</v>
      </c>
      <c r="H344" s="315" t="b">
        <v>0</v>
      </c>
      <c r="I344" s="316" t="b">
        <v>0</v>
      </c>
      <c r="J344" s="307"/>
    </row>
    <row r="345" spans="1:10" x14ac:dyDescent="0.2">
      <c r="A345" s="124" t="s">
        <v>979</v>
      </c>
      <c r="B345" s="124" t="s">
        <v>2342</v>
      </c>
      <c r="C345" s="124" t="s">
        <v>2219</v>
      </c>
      <c r="D345" s="124" t="s">
        <v>2220</v>
      </c>
      <c r="E345" s="124"/>
      <c r="F345" s="124" t="s">
        <v>2672</v>
      </c>
      <c r="G345" s="124" t="b" cm="1">
        <f t="array" ref="G345">COntains(ActiveDirectoryComputers[[#This Row],[computer.operatingSystem]], "Pro")</f>
        <v>0</v>
      </c>
      <c r="H345" s="315" t="b">
        <v>0</v>
      </c>
      <c r="I345" s="316" t="b">
        <v>0</v>
      </c>
      <c r="J345" s="307"/>
    </row>
    <row r="346" spans="1:10" x14ac:dyDescent="0.2">
      <c r="A346" s="124" t="s">
        <v>2343</v>
      </c>
      <c r="B346" s="124" t="s">
        <v>2344</v>
      </c>
      <c r="C346" s="124" t="s">
        <v>2216</v>
      </c>
      <c r="D346" s="124" t="s">
        <v>2217</v>
      </c>
      <c r="E346" s="124"/>
      <c r="F346" s="124" t="s">
        <v>2673</v>
      </c>
      <c r="G346" s="124" t="b" cm="1">
        <f t="array" ref="G346">COntains(ActiveDirectoryComputers[[#This Row],[computer.operatingSystem]], "Pro")</f>
        <v>0</v>
      </c>
      <c r="H346" s="315" t="b">
        <v>0</v>
      </c>
      <c r="I346" s="316" t="b">
        <v>0</v>
      </c>
      <c r="J346" s="307"/>
    </row>
    <row r="347" spans="1:10" x14ac:dyDescent="0.2">
      <c r="A347" s="124" t="s">
        <v>1884</v>
      </c>
      <c r="B347" s="124" t="s">
        <v>2348</v>
      </c>
      <c r="C347" s="124" t="s">
        <v>2216</v>
      </c>
      <c r="D347" s="124" t="s">
        <v>2423</v>
      </c>
      <c r="E347" s="124"/>
      <c r="F347" s="124" t="s">
        <v>2674</v>
      </c>
      <c r="G347" s="124" t="b" cm="1">
        <f t="array" ref="G347">COntains(ActiveDirectoryComputers[[#This Row],[computer.operatingSystem]], "Pro")</f>
        <v>0</v>
      </c>
      <c r="H347" s="315" t="b">
        <v>0</v>
      </c>
      <c r="I347" s="316" t="b">
        <v>0</v>
      </c>
      <c r="J347" s="307"/>
    </row>
    <row r="348" spans="1:10" x14ac:dyDescent="0.2">
      <c r="A348" s="124" t="s">
        <v>1886</v>
      </c>
      <c r="B348" s="124" t="s">
        <v>2349</v>
      </c>
      <c r="C348" s="124" t="s">
        <v>2224</v>
      </c>
      <c r="D348" s="124" t="s">
        <v>2423</v>
      </c>
      <c r="E348" s="124"/>
      <c r="F348" s="124" t="s">
        <v>2675</v>
      </c>
      <c r="G348" s="124" t="b" cm="1">
        <f t="array" ref="G348">COntains(ActiveDirectoryComputers[[#This Row],[computer.operatingSystem]], "Pro")</f>
        <v>1</v>
      </c>
      <c r="H348" s="315" t="b">
        <v>0</v>
      </c>
      <c r="I348" s="316" t="b">
        <v>0</v>
      </c>
      <c r="J348" s="307"/>
    </row>
    <row r="349" spans="1:10" x14ac:dyDescent="0.2">
      <c r="A349" s="124" t="s">
        <v>1888</v>
      </c>
      <c r="B349" s="124" t="s">
        <v>2350</v>
      </c>
      <c r="C349" s="124" t="s">
        <v>2216</v>
      </c>
      <c r="D349" s="124" t="s">
        <v>2423</v>
      </c>
      <c r="E349" s="124"/>
      <c r="F349" s="124" t="s">
        <v>2676</v>
      </c>
      <c r="G349" s="124" t="b" cm="1">
        <f t="array" ref="G349">COntains(ActiveDirectoryComputers[[#This Row],[computer.operatingSystem]], "Pro")</f>
        <v>0</v>
      </c>
      <c r="H349" s="315" t="b">
        <v>0</v>
      </c>
      <c r="I349" s="316" t="b">
        <v>0</v>
      </c>
      <c r="J349" s="307"/>
    </row>
    <row r="350" spans="1:10" x14ac:dyDescent="0.2">
      <c r="A350" s="124" t="s">
        <v>1126</v>
      </c>
      <c r="B350" s="124" t="s">
        <v>2351</v>
      </c>
      <c r="C350" s="124" t="s">
        <v>2216</v>
      </c>
      <c r="D350" s="124" t="s">
        <v>2423</v>
      </c>
      <c r="E350" s="124"/>
      <c r="F350" s="124" t="s">
        <v>2677</v>
      </c>
      <c r="G350" s="124" t="b" cm="1">
        <f t="array" ref="G350">COntains(ActiveDirectoryComputers[[#This Row],[computer.operatingSystem]], "Pro")</f>
        <v>0</v>
      </c>
      <c r="H350" s="315" t="b">
        <v>0</v>
      </c>
      <c r="I350" s="316" t="b">
        <v>0</v>
      </c>
      <c r="J350" s="307"/>
    </row>
    <row r="351" spans="1:10" x14ac:dyDescent="0.2">
      <c r="A351" s="124" t="s">
        <v>1890</v>
      </c>
      <c r="B351" s="124" t="s">
        <v>2352</v>
      </c>
      <c r="C351" s="124" t="s">
        <v>2216</v>
      </c>
      <c r="D351" s="124" t="s">
        <v>2423</v>
      </c>
      <c r="E351" s="124"/>
      <c r="F351" s="124" t="s">
        <v>2678</v>
      </c>
      <c r="G351" s="124" t="b" cm="1">
        <f t="array" ref="G351">COntains(ActiveDirectoryComputers[[#This Row],[computer.operatingSystem]], "Pro")</f>
        <v>0</v>
      </c>
      <c r="H351" s="315" t="b">
        <v>0</v>
      </c>
      <c r="I351" s="341" t="b">
        <v>0</v>
      </c>
      <c r="J351" s="307"/>
    </row>
    <row r="352" spans="1:10" x14ac:dyDescent="0.2">
      <c r="A352" s="124" t="s">
        <v>1892</v>
      </c>
      <c r="B352" s="124" t="s">
        <v>2353</v>
      </c>
      <c r="C352" s="124" t="s">
        <v>2216</v>
      </c>
      <c r="D352" s="124" t="s">
        <v>2423</v>
      </c>
      <c r="E352" s="124"/>
      <c r="F352" s="124" t="s">
        <v>2679</v>
      </c>
      <c r="G352" s="124" t="b" cm="1">
        <f t="array" ref="G352">COntains(ActiveDirectoryComputers[[#This Row],[computer.operatingSystem]], "Pro")</f>
        <v>0</v>
      </c>
      <c r="H352" s="315" t="b">
        <v>0</v>
      </c>
      <c r="I352" s="316" t="b">
        <v>0</v>
      </c>
      <c r="J352" s="307"/>
    </row>
    <row r="353" spans="1:10" x14ac:dyDescent="0.2">
      <c r="A353" s="333" t="s">
        <v>585</v>
      </c>
      <c r="B353" s="333" t="s">
        <v>2322</v>
      </c>
      <c r="C353" s="333" t="s">
        <v>2326</v>
      </c>
      <c r="D353" s="333" t="s">
        <v>2423</v>
      </c>
      <c r="E353" s="333"/>
      <c r="F353" s="333" t="s">
        <v>2696</v>
      </c>
      <c r="G353" s="305" t="b" cm="1">
        <f t="array" ref="G353">COntains(ActiveDirectoryComputers[[#This Row],[computer.operatingSystem]], "Pro")</f>
        <v>0</v>
      </c>
      <c r="H353" s="313" t="b">
        <v>0</v>
      </c>
      <c r="I353" s="340" t="b">
        <v>0</v>
      </c>
      <c r="J353" s="307"/>
    </row>
    <row r="354" spans="1:10" x14ac:dyDescent="0.2">
      <c r="A354" s="335" t="s">
        <v>593</v>
      </c>
      <c r="B354" s="335" t="s">
        <v>2323</v>
      </c>
      <c r="C354" s="335" t="s">
        <v>2326</v>
      </c>
      <c r="D354" s="335" t="s">
        <v>2423</v>
      </c>
      <c r="E354" s="335"/>
      <c r="F354" s="335" t="s">
        <v>2697</v>
      </c>
      <c r="G354" s="303" t="b" cm="1">
        <f t="array" ref="G354">COntains(ActiveDirectoryComputers[[#This Row],[computer.operatingSystem]], "Pro")</f>
        <v>0</v>
      </c>
      <c r="H354" s="313" t="b">
        <v>0</v>
      </c>
      <c r="I354" s="340" t="b">
        <v>0</v>
      </c>
      <c r="J354" s="307"/>
    </row>
    <row r="355" spans="1:10" x14ac:dyDescent="0.2">
      <c r="A355" s="335" t="s">
        <v>1740</v>
      </c>
      <c r="B355" s="335" t="s">
        <v>2356</v>
      </c>
      <c r="C355" s="335" t="s">
        <v>2213</v>
      </c>
      <c r="D355" s="335" t="s">
        <v>2214</v>
      </c>
      <c r="E355" s="335"/>
      <c r="F355" s="335" t="s">
        <v>3661</v>
      </c>
      <c r="G355" s="303" t="b" cm="1">
        <f t="array" ref="G355">COntains(ActiveDirectoryComputers[[#This Row],[computer.operatingSystem]], "Pro")</f>
        <v>0</v>
      </c>
      <c r="H355" s="313" t="b">
        <v>0</v>
      </c>
      <c r="I355" s="340" t="b">
        <v>0</v>
      </c>
      <c r="J355" s="307"/>
    </row>
    <row r="356" spans="1:10" x14ac:dyDescent="0.2">
      <c r="A356" s="333" t="s">
        <v>574</v>
      </c>
      <c r="B356" s="333" t="s">
        <v>2357</v>
      </c>
      <c r="C356" s="333" t="s">
        <v>2252</v>
      </c>
      <c r="D356" s="333" t="s">
        <v>2231</v>
      </c>
      <c r="E356" s="333"/>
      <c r="F356" s="333" t="s">
        <v>2680</v>
      </c>
      <c r="G356" s="305" t="b" cm="1">
        <f t="array" ref="G356">COntains(ActiveDirectoryComputers[[#This Row],[computer.operatingSystem]], "Pro")</f>
        <v>1</v>
      </c>
      <c r="H356" s="313" t="b">
        <v>0</v>
      </c>
      <c r="I356" s="314" t="b">
        <v>0</v>
      </c>
      <c r="J356" s="307"/>
    </row>
    <row r="357" spans="1:10" x14ac:dyDescent="0.2">
      <c r="A357" s="303" t="s">
        <v>440</v>
      </c>
      <c r="B357" s="303" t="s">
        <v>2427</v>
      </c>
      <c r="C357" s="303" t="s">
        <v>2216</v>
      </c>
      <c r="D357" s="303" t="s">
        <v>2423</v>
      </c>
      <c r="E357" s="303"/>
      <c r="F357" s="303" t="s">
        <v>2681</v>
      </c>
      <c r="G357" s="303" t="b" cm="1">
        <f t="array" ref="G357">COntains(ActiveDirectoryComputers[[#This Row],[computer.operatingSystem]], "Pro")</f>
        <v>0</v>
      </c>
      <c r="H357" s="313" t="b">
        <v>0</v>
      </c>
      <c r="I357" s="314" t="b">
        <v>0</v>
      </c>
      <c r="J357" s="307"/>
    </row>
    <row r="358" spans="1:10" x14ac:dyDescent="0.2">
      <c r="A358" s="303" t="s">
        <v>1007</v>
      </c>
      <c r="B358" s="303" t="s">
        <v>3788</v>
      </c>
      <c r="C358" s="303" t="s">
        <v>2326</v>
      </c>
      <c r="D358" s="303" t="s">
        <v>2423</v>
      </c>
      <c r="E358" s="303"/>
      <c r="F358" s="303" t="s">
        <v>3789</v>
      </c>
      <c r="G358" s="303" t="b" cm="1">
        <f t="array" ref="G358">COntains(ActiveDirectoryComputers[[#This Row],[computer.operatingSystem]], "Pro")</f>
        <v>0</v>
      </c>
      <c r="H358" s="313" t="b">
        <v>0</v>
      </c>
      <c r="I358" s="314" t="b">
        <v>0</v>
      </c>
      <c r="J358" s="307"/>
    </row>
    <row r="359" spans="1:10" x14ac:dyDescent="0.2">
      <c r="A359" s="335" t="s">
        <v>1010</v>
      </c>
      <c r="B359" s="335" t="s">
        <v>2361</v>
      </c>
      <c r="C359" s="335" t="s">
        <v>2224</v>
      </c>
      <c r="D359" s="335" t="s">
        <v>2423</v>
      </c>
      <c r="E359" s="335"/>
      <c r="F359" s="335" t="s">
        <v>2682</v>
      </c>
      <c r="G359" s="303" t="b" cm="1">
        <f t="array" ref="G359">COntains(ActiveDirectoryComputers[[#This Row],[computer.operatingSystem]], "Pro")</f>
        <v>1</v>
      </c>
      <c r="H359" s="313" t="b">
        <v>0</v>
      </c>
      <c r="I359" s="340" t="b">
        <v>0</v>
      </c>
      <c r="J359" s="307"/>
    </row>
    <row r="360" spans="1:10" x14ac:dyDescent="0.2">
      <c r="A360" s="335" t="s">
        <v>1089</v>
      </c>
      <c r="B360" s="335" t="s">
        <v>2367</v>
      </c>
      <c r="C360" s="335" t="s">
        <v>2326</v>
      </c>
      <c r="D360" s="335" t="s">
        <v>2217</v>
      </c>
      <c r="E360" s="335"/>
      <c r="F360" s="335" t="s">
        <v>2698</v>
      </c>
      <c r="G360" s="303" t="b" cm="1">
        <f t="array" ref="G360">COntains(ActiveDirectoryComputers[[#This Row],[computer.operatingSystem]], "Pro")</f>
        <v>0</v>
      </c>
      <c r="H360" s="313" t="b">
        <v>0</v>
      </c>
      <c r="I360" s="340" t="b">
        <v>0</v>
      </c>
      <c r="J360" s="307"/>
    </row>
    <row r="361" spans="1:10" x14ac:dyDescent="0.2">
      <c r="A361" s="303" t="s">
        <v>2102</v>
      </c>
      <c r="B361" s="303" t="s">
        <v>2369</v>
      </c>
      <c r="C361" s="303" t="s">
        <v>2225</v>
      </c>
      <c r="D361" s="303" t="s">
        <v>2231</v>
      </c>
      <c r="E361" s="303"/>
      <c r="F361" s="303" t="s">
        <v>2683</v>
      </c>
      <c r="G361" s="303" t="b" cm="1">
        <f t="array" ref="G361">COntains(ActiveDirectoryComputers[[#This Row],[computer.operatingSystem]], "Pro")</f>
        <v>0</v>
      </c>
      <c r="H361" s="313" t="b">
        <v>0</v>
      </c>
      <c r="I361" s="314" t="b">
        <v>0</v>
      </c>
      <c r="J361" s="307"/>
    </row>
    <row r="362" spans="1:10" x14ac:dyDescent="0.2">
      <c r="A362" s="333" t="s">
        <v>2110</v>
      </c>
      <c r="B362" s="333" t="s">
        <v>2370</v>
      </c>
      <c r="C362" s="333" t="s">
        <v>2225</v>
      </c>
      <c r="D362" s="333" t="s">
        <v>2231</v>
      </c>
      <c r="E362" s="333"/>
      <c r="F362" s="333" t="s">
        <v>2684</v>
      </c>
      <c r="G362" s="305" t="b" cm="1">
        <f t="array" ref="G362">COntains(ActiveDirectoryComputers[[#This Row],[computer.operatingSystem]], "Pro")</f>
        <v>0</v>
      </c>
      <c r="H362" s="313" t="b">
        <v>0</v>
      </c>
      <c r="I362" s="340" t="b">
        <v>0</v>
      </c>
      <c r="J362" s="307"/>
    </row>
    <row r="363" spans="1:10" x14ac:dyDescent="0.2">
      <c r="A363" s="335" t="s">
        <v>2111</v>
      </c>
      <c r="B363" s="335" t="s">
        <v>2371</v>
      </c>
      <c r="C363" s="335" t="s">
        <v>2225</v>
      </c>
      <c r="D363" s="335" t="s">
        <v>2231</v>
      </c>
      <c r="E363" s="335"/>
      <c r="F363" s="335" t="s">
        <v>2685</v>
      </c>
      <c r="G363" s="303" t="b" cm="1">
        <f t="array" ref="G363">COntains(ActiveDirectoryComputers[[#This Row],[computer.operatingSystem]], "Pro")</f>
        <v>0</v>
      </c>
      <c r="H363" s="313" t="b">
        <v>0</v>
      </c>
      <c r="I363" s="314" t="b">
        <v>0</v>
      </c>
      <c r="J363" s="307"/>
    </row>
    <row r="364" spans="1:10" x14ac:dyDescent="0.2">
      <c r="A364" s="335" t="s">
        <v>2372</v>
      </c>
      <c r="B364" s="335" t="s">
        <v>2373</v>
      </c>
      <c r="C364" s="335" t="s">
        <v>2216</v>
      </c>
      <c r="D364" s="335" t="s">
        <v>2217</v>
      </c>
      <c r="E364" s="335"/>
      <c r="F364" s="335" t="s">
        <v>2686</v>
      </c>
      <c r="G364" s="303" t="b" cm="1">
        <f t="array" ref="G364">COntains(ActiveDirectoryComputers[[#This Row],[computer.operatingSystem]], "Pro")</f>
        <v>0</v>
      </c>
      <c r="H364" s="313" t="b">
        <v>0</v>
      </c>
      <c r="I364" s="314" t="b">
        <v>0</v>
      </c>
      <c r="J364" s="307"/>
    </row>
    <row r="365" spans="1:10" x14ac:dyDescent="0.2">
      <c r="A365" s="335" t="s">
        <v>1793</v>
      </c>
      <c r="B365" s="335" t="s">
        <v>2374</v>
      </c>
      <c r="C365" s="335" t="s">
        <v>2213</v>
      </c>
      <c r="D365" s="335" t="s">
        <v>2214</v>
      </c>
      <c r="E365" s="335"/>
      <c r="F365" s="335" t="s">
        <v>2687</v>
      </c>
      <c r="G365" s="303" t="b" cm="1">
        <f t="array" ref="G365">COntains(ActiveDirectoryComputers[[#This Row],[computer.operatingSystem]], "Pro")</f>
        <v>0</v>
      </c>
      <c r="H365" s="313" t="b">
        <v>0</v>
      </c>
      <c r="I365" s="314" t="b">
        <v>0</v>
      </c>
      <c r="J365" s="307"/>
    </row>
    <row r="366" spans="1:10" x14ac:dyDescent="0.2">
      <c r="A366" s="303" t="s">
        <v>1801</v>
      </c>
      <c r="B366" s="303" t="s">
        <v>2375</v>
      </c>
      <c r="C366" s="303" t="s">
        <v>2305</v>
      </c>
      <c r="D366" s="303" t="s">
        <v>2306</v>
      </c>
      <c r="E366" s="303"/>
      <c r="F366" s="303" t="s">
        <v>2699</v>
      </c>
      <c r="G366" s="303" t="b" cm="1">
        <f t="array" ref="G366">COntains(ActiveDirectoryComputers[[#This Row],[computer.operatingSystem]], "Pro")</f>
        <v>0</v>
      </c>
      <c r="H366" s="313" t="b">
        <v>0</v>
      </c>
      <c r="I366" s="314" t="b">
        <v>0</v>
      </c>
      <c r="J366" s="307"/>
    </row>
    <row r="367" spans="1:10" x14ac:dyDescent="0.2">
      <c r="A367" s="335" t="s">
        <v>1811</v>
      </c>
      <c r="B367" s="335" t="s">
        <v>2380</v>
      </c>
      <c r="C367" s="335" t="s">
        <v>307</v>
      </c>
      <c r="D367" s="335" t="s">
        <v>2347</v>
      </c>
      <c r="E367" s="335"/>
      <c r="F367" s="335" t="s">
        <v>2700</v>
      </c>
      <c r="G367" s="303" t="b" cm="1">
        <f t="array" ref="G367">COntains(ActiveDirectoryComputers[[#This Row],[computer.operatingSystem]], "Pro")</f>
        <v>0</v>
      </c>
      <c r="H367" s="313" t="b">
        <v>0</v>
      </c>
      <c r="I367" s="314" t="b">
        <v>0</v>
      </c>
      <c r="J367" s="307"/>
    </row>
    <row r="368" spans="1:10" x14ac:dyDescent="0.2">
      <c r="A368" s="335" t="s">
        <v>2381</v>
      </c>
      <c r="B368" s="335" t="s">
        <v>2382</v>
      </c>
      <c r="C368" s="335" t="s">
        <v>2224</v>
      </c>
      <c r="D368" s="335" t="s">
        <v>2229</v>
      </c>
      <c r="E368" s="335"/>
      <c r="F368" s="335" t="s">
        <v>2701</v>
      </c>
      <c r="G368" s="303" t="b" cm="1">
        <f t="array" ref="G368">COntains(ActiveDirectoryComputers[[#This Row],[computer.operatingSystem]], "Pro")</f>
        <v>1</v>
      </c>
      <c r="H368" s="313" t="b">
        <v>0</v>
      </c>
      <c r="I368" s="314" t="b">
        <v>0</v>
      </c>
      <c r="J368" s="307"/>
    </row>
    <row r="369" spans="1:10" x14ac:dyDescent="0.2">
      <c r="A369" s="303" t="s">
        <v>1814</v>
      </c>
      <c r="B369" s="303" t="s">
        <v>1814</v>
      </c>
      <c r="C369" s="303" t="s">
        <v>2383</v>
      </c>
      <c r="D369" s="303" t="s">
        <v>2383</v>
      </c>
      <c r="E369" s="303"/>
      <c r="F369" s="303" t="s">
        <v>2702</v>
      </c>
      <c r="G369" s="303" t="b" cm="1">
        <f t="array" ref="G369">COntains(ActiveDirectoryComputers[[#This Row],[computer.operatingSystem]], "Pro")</f>
        <v>0</v>
      </c>
      <c r="H369" s="313" t="b">
        <v>0</v>
      </c>
      <c r="I369" s="314" t="b">
        <v>0</v>
      </c>
      <c r="J369" s="307"/>
    </row>
    <row r="370" spans="1:10" x14ac:dyDescent="0.2">
      <c r="A370" s="304" t="s">
        <v>1830</v>
      </c>
      <c r="B370" s="304" t="s">
        <v>2384</v>
      </c>
      <c r="C370" s="304" t="s">
        <v>307</v>
      </c>
      <c r="D370" s="304" t="s">
        <v>2347</v>
      </c>
      <c r="E370" s="304"/>
      <c r="F370" s="304" t="s">
        <v>2703</v>
      </c>
      <c r="G370" s="304" t="b" cm="1">
        <f t="array" ref="G370">COntains(ActiveDirectoryComputers[[#This Row],[computer.operatingSystem]], "Pro")</f>
        <v>0</v>
      </c>
      <c r="H370" s="347" t="b">
        <v>0</v>
      </c>
      <c r="I370" s="348" t="b">
        <v>0</v>
      </c>
      <c r="J370" s="307"/>
    </row>
    <row r="371" spans="1:10" x14ac:dyDescent="0.2">
      <c r="A371" s="304" t="s">
        <v>1836</v>
      </c>
      <c r="B371" s="304" t="s">
        <v>2386</v>
      </c>
      <c r="C371" s="304" t="s">
        <v>2305</v>
      </c>
      <c r="D371" s="304" t="s">
        <v>2306</v>
      </c>
      <c r="E371" s="304"/>
      <c r="F371" s="304" t="s">
        <v>2704</v>
      </c>
      <c r="G371" s="304" t="b" cm="1">
        <f t="array" ref="G371">COntains(ActiveDirectoryComputers[[#This Row],[computer.operatingSystem]], "Pro")</f>
        <v>0</v>
      </c>
      <c r="H371" s="347" t="b">
        <v>0</v>
      </c>
      <c r="I371" s="350" t="b">
        <v>0</v>
      </c>
      <c r="J371" s="307"/>
    </row>
    <row r="372" spans="1:10" x14ac:dyDescent="0.2">
      <c r="A372" s="321" t="s">
        <v>1838</v>
      </c>
      <c r="B372" s="321" t="s">
        <v>2387</v>
      </c>
      <c r="C372" s="321" t="s">
        <v>307</v>
      </c>
      <c r="D372" s="321" t="s">
        <v>2347</v>
      </c>
      <c r="E372" s="321"/>
      <c r="F372" s="321" t="s">
        <v>2705</v>
      </c>
      <c r="G372" s="303" t="b" cm="1">
        <f t="array" ref="G372">COntains(ActiveDirectoryComputers[[#This Row],[computer.operatingSystem]], "Pro")</f>
        <v>0</v>
      </c>
      <c r="H372" s="313" t="b">
        <v>0</v>
      </c>
      <c r="I372" s="328" t="b">
        <v>0</v>
      </c>
      <c r="J372" s="307"/>
    </row>
    <row r="373" spans="1:10" x14ac:dyDescent="0.2">
      <c r="A373" s="335" t="s">
        <v>1840</v>
      </c>
      <c r="B373" s="335" t="s">
        <v>2388</v>
      </c>
      <c r="C373" s="335" t="s">
        <v>2305</v>
      </c>
      <c r="D373" s="335" t="s">
        <v>2306</v>
      </c>
      <c r="E373" s="335"/>
      <c r="F373" s="335" t="s">
        <v>2706</v>
      </c>
      <c r="G373" s="303" t="b" cm="1">
        <f t="array" ref="G373">COntains(ActiveDirectoryComputers[[#This Row],[computer.operatingSystem]], "Pro")</f>
        <v>0</v>
      </c>
      <c r="H373" s="313" t="b">
        <v>0</v>
      </c>
      <c r="I373" s="328" t="b">
        <v>0</v>
      </c>
      <c r="J373" s="307"/>
    </row>
    <row r="374" spans="1:10" x14ac:dyDescent="0.2">
      <c r="A374" s="303" t="s">
        <v>1846</v>
      </c>
      <c r="B374" s="303" t="s">
        <v>2390</v>
      </c>
      <c r="C374" s="303" t="s">
        <v>2391</v>
      </c>
      <c r="D374" s="303" t="s">
        <v>2392</v>
      </c>
      <c r="E374" s="303"/>
      <c r="F374" s="303" t="s">
        <v>2707</v>
      </c>
      <c r="G374" s="303" t="b" cm="1">
        <f t="array" ref="G374">COntains(ActiveDirectoryComputers[[#This Row],[computer.operatingSystem]], "Pro")</f>
        <v>0</v>
      </c>
      <c r="H374" s="313" t="b">
        <v>0</v>
      </c>
      <c r="I374" s="314" t="b">
        <v>0</v>
      </c>
      <c r="J374" s="307"/>
    </row>
    <row r="375" spans="1:10" x14ac:dyDescent="0.2">
      <c r="A375" s="303" t="s">
        <v>3396</v>
      </c>
      <c r="B375" s="303" t="s">
        <v>3397</v>
      </c>
      <c r="C375" s="303" t="s">
        <v>2216</v>
      </c>
      <c r="D375" s="303" t="s">
        <v>2217</v>
      </c>
      <c r="E375" s="303"/>
      <c r="F375" s="303" t="s">
        <v>3398</v>
      </c>
      <c r="G375" s="303" t="b" cm="1">
        <f t="array" ref="G375">COntains(ActiveDirectoryComputers[[#This Row],[computer.operatingSystem]], "Pro")</f>
        <v>0</v>
      </c>
      <c r="H375" s="313" t="b">
        <v>0</v>
      </c>
      <c r="I375" s="314" t="b">
        <v>0</v>
      </c>
      <c r="J375" s="307"/>
    </row>
    <row r="376" spans="1:10" x14ac:dyDescent="0.2">
      <c r="A376" s="303" t="s">
        <v>3399</v>
      </c>
      <c r="B376" s="303" t="s">
        <v>3400</v>
      </c>
      <c r="C376" s="303" t="s">
        <v>2216</v>
      </c>
      <c r="D376" s="303" t="s">
        <v>2423</v>
      </c>
      <c r="E376" s="303"/>
      <c r="F376" s="303" t="s">
        <v>3799</v>
      </c>
      <c r="G376" s="303" t="b" cm="1">
        <f t="array" ref="G376">COntains(ActiveDirectoryComputers[[#This Row],[computer.operatingSystem]], "Pro")</f>
        <v>0</v>
      </c>
      <c r="H376" s="313" t="b">
        <v>0</v>
      </c>
      <c r="I376" s="314" t="b">
        <v>0</v>
      </c>
      <c r="J376" s="307"/>
    </row>
    <row r="377" spans="1:10" x14ac:dyDescent="0.2">
      <c r="A377" s="335" t="s">
        <v>3401</v>
      </c>
      <c r="B377" s="335" t="s">
        <v>3402</v>
      </c>
      <c r="C377" s="335" t="s">
        <v>2216</v>
      </c>
      <c r="D377" s="335" t="s">
        <v>2423</v>
      </c>
      <c r="E377" s="335"/>
      <c r="F377" s="335" t="s">
        <v>3403</v>
      </c>
      <c r="G377" s="303" t="b" cm="1">
        <f t="array" ref="G377">COntains(ActiveDirectoryComputers[[#This Row],[computer.operatingSystem]], "Pro")</f>
        <v>0</v>
      </c>
      <c r="H377" s="313" t="b">
        <v>0</v>
      </c>
      <c r="I377" s="314" t="b">
        <v>0</v>
      </c>
      <c r="J377" s="307"/>
    </row>
    <row r="378" spans="1:10" x14ac:dyDescent="0.2">
      <c r="A378" s="303" t="s">
        <v>1849</v>
      </c>
      <c r="B378" s="303" t="s">
        <v>2393</v>
      </c>
      <c r="C378" s="303" t="s">
        <v>2224</v>
      </c>
      <c r="D378" s="303" t="s">
        <v>2230</v>
      </c>
      <c r="E378" s="303"/>
      <c r="F378" s="303" t="s">
        <v>2708</v>
      </c>
      <c r="G378" s="303" t="b" cm="1">
        <f t="array" ref="G378">COntains(ActiveDirectoryComputers[[#This Row],[computer.operatingSystem]], "Pro")</f>
        <v>1</v>
      </c>
      <c r="H378" s="313" t="b">
        <v>0</v>
      </c>
      <c r="I378" s="314" t="b">
        <v>0</v>
      </c>
      <c r="J378" s="307"/>
    </row>
    <row r="379" spans="1:10" x14ac:dyDescent="0.2">
      <c r="A379" s="303" t="s">
        <v>1850</v>
      </c>
      <c r="B379" s="303" t="s">
        <v>2394</v>
      </c>
      <c r="C379" s="303" t="s">
        <v>2224</v>
      </c>
      <c r="D379" s="303" t="s">
        <v>2230</v>
      </c>
      <c r="E379" s="303"/>
      <c r="F379" s="303" t="s">
        <v>2709</v>
      </c>
      <c r="G379" s="303" t="b" cm="1">
        <f t="array" ref="G379">COntains(ActiveDirectoryComputers[[#This Row],[computer.operatingSystem]], "Pro")</f>
        <v>1</v>
      </c>
      <c r="H379" s="313" t="b">
        <v>0</v>
      </c>
      <c r="I379" s="314" t="b">
        <v>0</v>
      </c>
      <c r="J379" s="307"/>
    </row>
    <row r="380" spans="1:10" x14ac:dyDescent="0.2">
      <c r="A380" s="303" t="s">
        <v>1851</v>
      </c>
      <c r="B380" s="303" t="s">
        <v>2395</v>
      </c>
      <c r="C380" s="303" t="s">
        <v>2224</v>
      </c>
      <c r="D380" s="303" t="s">
        <v>2230</v>
      </c>
      <c r="E380" s="303"/>
      <c r="F380" s="303" t="s">
        <v>2710</v>
      </c>
      <c r="G380" s="303" t="b" cm="1">
        <f t="array" ref="G380">COntains(ActiveDirectoryComputers[[#This Row],[computer.operatingSystem]], "Pro")</f>
        <v>1</v>
      </c>
      <c r="H380" s="313" t="b">
        <v>0</v>
      </c>
      <c r="I380" s="314" t="b">
        <v>0</v>
      </c>
      <c r="J380" s="307"/>
    </row>
    <row r="381" spans="1:10" x14ac:dyDescent="0.2">
      <c r="A381" s="304" t="s">
        <v>1852</v>
      </c>
      <c r="B381" s="304" t="s">
        <v>2396</v>
      </c>
      <c r="C381" s="304" t="s">
        <v>2224</v>
      </c>
      <c r="D381" s="304" t="s">
        <v>2230</v>
      </c>
      <c r="E381" s="304"/>
      <c r="F381" s="304" t="s">
        <v>2711</v>
      </c>
      <c r="G381" s="304" t="b" cm="1">
        <f t="array" ref="G381">COntains(ActiveDirectoryComputers[[#This Row],[computer.operatingSystem]], "Pro")</f>
        <v>1</v>
      </c>
      <c r="H381" s="347" t="b">
        <v>0</v>
      </c>
      <c r="I381" s="348" t="b">
        <v>0</v>
      </c>
      <c r="J381" s="307"/>
    </row>
    <row r="382" spans="1:10" x14ac:dyDescent="0.2">
      <c r="A382" s="335" t="s">
        <v>2397</v>
      </c>
      <c r="B382" s="335" t="s">
        <v>2398</v>
      </c>
      <c r="C382" s="335" t="s">
        <v>2326</v>
      </c>
      <c r="D382" s="335" t="s">
        <v>2423</v>
      </c>
      <c r="E382" s="335"/>
      <c r="F382" s="335" t="s">
        <v>2688</v>
      </c>
      <c r="G382" s="303" t="b" cm="1">
        <f t="array" ref="G382">COntains(ActiveDirectoryComputers[[#This Row],[computer.operatingSystem]], "Pro")</f>
        <v>0</v>
      </c>
      <c r="H382" s="313" t="b">
        <v>0</v>
      </c>
      <c r="I382" s="314" t="b">
        <v>0</v>
      </c>
      <c r="J382" s="307"/>
    </row>
    <row r="383" spans="1:10" x14ac:dyDescent="0.2">
      <c r="A383" s="303" t="s">
        <v>2399</v>
      </c>
      <c r="B383" s="303" t="s">
        <v>2400</v>
      </c>
      <c r="C383" s="303" t="s">
        <v>2326</v>
      </c>
      <c r="D383" s="303" t="s">
        <v>2217</v>
      </c>
      <c r="E383" s="303"/>
      <c r="F383" s="303" t="s">
        <v>2689</v>
      </c>
      <c r="G383" s="303" t="b" cm="1">
        <f t="array" ref="G383">COntains(ActiveDirectoryComputers[[#This Row],[computer.operatingSystem]], "Pro")</f>
        <v>0</v>
      </c>
      <c r="H383" s="313" t="b">
        <v>0</v>
      </c>
      <c r="I383" s="314" t="b">
        <v>0</v>
      </c>
      <c r="J383" s="307"/>
    </row>
    <row r="384" spans="1:10" x14ac:dyDescent="0.2">
      <c r="A384" s="303" t="s">
        <v>2401</v>
      </c>
      <c r="B384" s="303" t="s">
        <v>2402</v>
      </c>
      <c r="C384" s="303" t="s">
        <v>2216</v>
      </c>
      <c r="D384" s="303" t="s">
        <v>2423</v>
      </c>
      <c r="E384" s="303"/>
      <c r="F384" s="303" t="s">
        <v>2690</v>
      </c>
      <c r="G384" s="303" t="b" cm="1">
        <f t="array" ref="G384">COntains(ActiveDirectoryComputers[[#This Row],[computer.operatingSystem]], "Pro")</f>
        <v>0</v>
      </c>
      <c r="H384" s="313" t="b">
        <v>0</v>
      </c>
      <c r="I384" s="314" t="b">
        <v>0</v>
      </c>
      <c r="J384" s="307"/>
    </row>
    <row r="385" spans="1:10" x14ac:dyDescent="0.2">
      <c r="A385" s="333" t="s">
        <v>2403</v>
      </c>
      <c r="B385" s="333" t="s">
        <v>2404</v>
      </c>
      <c r="C385" s="333" t="s">
        <v>2216</v>
      </c>
      <c r="D385" s="333" t="s">
        <v>2423</v>
      </c>
      <c r="E385" s="333"/>
      <c r="F385" s="333" t="s">
        <v>2691</v>
      </c>
      <c r="G385" s="305" t="b" cm="1">
        <f t="array" ref="G385">COntains(ActiveDirectoryComputers[[#This Row],[computer.operatingSystem]], "Pro")</f>
        <v>0</v>
      </c>
      <c r="H385" s="313" t="b">
        <v>0</v>
      </c>
      <c r="I385" s="314" t="b">
        <v>0</v>
      </c>
      <c r="J385" s="307"/>
    </row>
    <row r="386" spans="1:10" x14ac:dyDescent="0.2">
      <c r="A386" s="303" t="s">
        <v>2405</v>
      </c>
      <c r="B386" s="303" t="s">
        <v>2406</v>
      </c>
      <c r="C386" s="303" t="s">
        <v>2326</v>
      </c>
      <c r="D386" s="303" t="s">
        <v>2423</v>
      </c>
      <c r="E386" s="303"/>
      <c r="F386" s="303" t="s">
        <v>2692</v>
      </c>
      <c r="G386" s="303" t="b" cm="1">
        <f t="array" ref="G386">COntains(ActiveDirectoryComputers[[#This Row],[computer.operatingSystem]], "Pro")</f>
        <v>0</v>
      </c>
      <c r="H386" s="313" t="b">
        <v>0</v>
      </c>
      <c r="I386" s="314" t="b">
        <v>0</v>
      </c>
      <c r="J386" s="307"/>
    </row>
    <row r="387" spans="1:10" x14ac:dyDescent="0.2">
      <c r="A387" s="335" t="s">
        <v>2407</v>
      </c>
      <c r="B387" s="335" t="s">
        <v>2408</v>
      </c>
      <c r="C387" s="335" t="s">
        <v>2326</v>
      </c>
      <c r="D387" s="335" t="s">
        <v>2423</v>
      </c>
      <c r="E387" s="335"/>
      <c r="F387" s="335" t="s">
        <v>2693</v>
      </c>
      <c r="G387" s="303" t="b" cm="1">
        <f t="array" ref="G387">COntains(ActiveDirectoryComputers[[#This Row],[computer.operatingSystem]], "Pro")</f>
        <v>0</v>
      </c>
      <c r="H387" s="313" t="b">
        <v>0</v>
      </c>
      <c r="I387" s="314" t="b">
        <v>0</v>
      </c>
      <c r="J387" s="307"/>
    </row>
    <row r="388" spans="1:10" x14ac:dyDescent="0.2">
      <c r="A388" s="335" t="s">
        <v>3790</v>
      </c>
      <c r="B388" s="335" t="s">
        <v>3791</v>
      </c>
      <c r="C388" s="335" t="s">
        <v>2326</v>
      </c>
      <c r="D388" s="335" t="s">
        <v>2423</v>
      </c>
      <c r="E388" s="335"/>
      <c r="F388" s="335" t="s">
        <v>3792</v>
      </c>
      <c r="G388" s="303" t="b" cm="1">
        <f t="array" ref="G388">COntains(ActiveDirectoryComputers[[#This Row],[computer.operatingSystem]], "Pro")</f>
        <v>0</v>
      </c>
      <c r="H388" s="313" t="b">
        <v>0</v>
      </c>
      <c r="I388" s="314" t="b">
        <v>0</v>
      </c>
      <c r="J388" s="307"/>
    </row>
    <row r="389" spans="1:10" x14ac:dyDescent="0.2">
      <c r="A389" s="335" t="s">
        <v>3793</v>
      </c>
      <c r="B389" s="335" t="s">
        <v>3794</v>
      </c>
      <c r="C389" s="335" t="s">
        <v>2326</v>
      </c>
      <c r="D389" s="335" t="s">
        <v>2423</v>
      </c>
      <c r="E389" s="335"/>
      <c r="F389" s="335" t="s">
        <v>3795</v>
      </c>
      <c r="G389" s="303" t="b" cm="1">
        <f t="array" ref="G389">COntains(ActiveDirectoryComputers[[#This Row],[computer.operatingSystem]], "Pro")</f>
        <v>0</v>
      </c>
      <c r="H389" s="313" t="b">
        <v>0</v>
      </c>
      <c r="I389" s="314" t="b">
        <v>0</v>
      </c>
      <c r="J389" s="307"/>
    </row>
    <row r="390" spans="1:10" x14ac:dyDescent="0.2">
      <c r="A390" s="335" t="s">
        <v>3796</v>
      </c>
      <c r="B390" s="335" t="s">
        <v>3797</v>
      </c>
      <c r="C390" s="335" t="s">
        <v>2326</v>
      </c>
      <c r="D390" s="335" t="s">
        <v>2423</v>
      </c>
      <c r="E390" s="335"/>
      <c r="F390" s="335" t="s">
        <v>3798</v>
      </c>
      <c r="G390" s="303" t="b" cm="1">
        <f t="array" ref="G390">COntains(ActiveDirectoryComputers[[#This Row],[computer.operatingSystem]], "Pro")</f>
        <v>0</v>
      </c>
      <c r="H390" s="313" t="b">
        <v>0</v>
      </c>
      <c r="I390" s="314" t="b">
        <v>0</v>
      </c>
      <c r="J390" s="307"/>
    </row>
    <row r="391" spans="1:10" x14ac:dyDescent="0.2">
      <c r="A391" s="335" t="s">
        <v>2416</v>
      </c>
      <c r="B391" s="335" t="s">
        <v>2417</v>
      </c>
      <c r="C391" s="335" t="s">
        <v>2216</v>
      </c>
      <c r="D391" s="335" t="s">
        <v>2423</v>
      </c>
      <c r="E391" s="335"/>
      <c r="F391" s="335" t="s">
        <v>2694</v>
      </c>
      <c r="G391" s="303" t="b" cm="1">
        <f t="array" ref="G391">COntains(ActiveDirectoryComputers[[#This Row],[computer.operatingSystem]], "Pro")</f>
        <v>0</v>
      </c>
      <c r="H391" s="313" t="b">
        <v>0</v>
      </c>
      <c r="I391" s="314" t="b">
        <v>0</v>
      </c>
      <c r="J391" s="307"/>
    </row>
    <row r="392" spans="1:10" x14ac:dyDescent="0.2">
      <c r="A392" s="303" t="s">
        <v>2418</v>
      </c>
      <c r="B392" s="303" t="s">
        <v>2419</v>
      </c>
      <c r="C392" s="303" t="s">
        <v>2216</v>
      </c>
      <c r="D392" s="303" t="s">
        <v>2423</v>
      </c>
      <c r="E392" s="303"/>
      <c r="F392" s="303" t="s">
        <v>2695</v>
      </c>
      <c r="G392" s="303" t="b" cm="1">
        <f t="array" ref="G392">COntains(ActiveDirectoryComputers[[#This Row],[computer.operatingSystem]], "Pro")</f>
        <v>0</v>
      </c>
      <c r="H392" s="313" t="b">
        <v>0</v>
      </c>
      <c r="I392" s="314" t="b">
        <v>0</v>
      </c>
      <c r="J392" s="307"/>
    </row>
  </sheetData>
  <mergeCells count="1">
    <mergeCell ref="A1:E1"/>
  </mergeCells>
  <pageMargins left="0.7" right="0.7" top="0.75" bottom="0.75" header="0.3" footer="0.3"/>
  <pageSetup orientation="portrait"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894E0-D7E5-44D4-ABBB-C527D62514FA}">
  <sheetPr codeName="Sheet2"/>
  <dimension ref="A1:L171"/>
  <sheetViews>
    <sheetView workbookViewId="0">
      <selection activeCell="A4" sqref="A4"/>
    </sheetView>
  </sheetViews>
  <sheetFormatPr defaultRowHeight="14.25" x14ac:dyDescent="0.2"/>
  <cols>
    <col min="1" max="1" width="33.109375" bestFit="1" customWidth="1"/>
    <col min="2" max="2" width="28.109375" bestFit="1" customWidth="1"/>
    <col min="3" max="3" width="10.5546875" bestFit="1" customWidth="1"/>
    <col min="4" max="4" width="12.6640625" bestFit="1" customWidth="1"/>
    <col min="5" max="6" width="17.88671875" bestFit="1" customWidth="1"/>
    <col min="7" max="7" width="14.109375" bestFit="1" customWidth="1"/>
    <col min="8" max="9" width="16.109375" bestFit="1" customWidth="1"/>
    <col min="10" max="10" width="6.6640625" bestFit="1" customWidth="1"/>
    <col min="11" max="11" width="6" bestFit="1" customWidth="1"/>
    <col min="12" max="12" width="7.5546875" bestFit="1" customWidth="1"/>
  </cols>
  <sheetData>
    <row r="1" spans="1:12" ht="19.5" x14ac:dyDescent="0.2">
      <c r="A1" s="279" t="s">
        <v>2931</v>
      </c>
      <c r="B1" s="280"/>
      <c r="C1" s="280"/>
      <c r="D1" s="280"/>
      <c r="E1" s="280"/>
      <c r="F1" s="280"/>
      <c r="G1" s="280"/>
      <c r="H1" s="280"/>
      <c r="I1" s="280"/>
      <c r="J1" s="280"/>
      <c r="K1" s="280"/>
      <c r="L1" s="281"/>
    </row>
    <row r="2" spans="1:12" x14ac:dyDescent="0.2">
      <c r="A2" t="s">
        <v>218</v>
      </c>
      <c r="B2" t="s">
        <v>3404</v>
      </c>
      <c r="C2" t="s">
        <v>2149</v>
      </c>
      <c r="D2" t="s">
        <v>3405</v>
      </c>
      <c r="E2" t="s">
        <v>2712</v>
      </c>
      <c r="F2" t="s">
        <v>2932</v>
      </c>
      <c r="G2" t="s">
        <v>2713</v>
      </c>
      <c r="H2" t="s">
        <v>3406</v>
      </c>
      <c r="I2" t="s">
        <v>3407</v>
      </c>
      <c r="J2" t="s">
        <v>3408</v>
      </c>
      <c r="K2" t="s">
        <v>3409</v>
      </c>
    </row>
    <row r="3" spans="1:12" x14ac:dyDescent="0.2">
      <c r="A3" s="151" t="s">
        <v>2739</v>
      </c>
      <c r="B3" t="s">
        <v>3410</v>
      </c>
      <c r="C3" s="151" t="s">
        <v>2740</v>
      </c>
      <c r="D3" t="s">
        <v>2740</v>
      </c>
      <c r="E3" s="151" t="s">
        <v>2228</v>
      </c>
      <c r="F3" t="s">
        <v>2228</v>
      </c>
      <c r="G3" s="151" t="s">
        <v>2741</v>
      </c>
      <c r="H3" t="s">
        <v>3411</v>
      </c>
      <c r="I3" t="s">
        <v>3411</v>
      </c>
      <c r="J3">
        <v>1</v>
      </c>
      <c r="K3" t="b">
        <v>0</v>
      </c>
    </row>
    <row r="4" spans="1:12" x14ac:dyDescent="0.2">
      <c r="A4" s="151" t="s">
        <v>2868</v>
      </c>
      <c r="B4" t="s">
        <v>3410</v>
      </c>
      <c r="C4" s="151" t="s">
        <v>2869</v>
      </c>
      <c r="D4" t="s">
        <v>2869</v>
      </c>
      <c r="E4" s="151" t="s">
        <v>2870</v>
      </c>
      <c r="F4" t="s">
        <v>1244</v>
      </c>
      <c r="G4" s="151" t="s">
        <v>2741</v>
      </c>
      <c r="H4" t="s">
        <v>226</v>
      </c>
      <c r="I4" t="s">
        <v>226</v>
      </c>
      <c r="J4">
        <v>1</v>
      </c>
      <c r="K4" t="b">
        <v>0</v>
      </c>
    </row>
    <row r="5" spans="1:12" x14ac:dyDescent="0.2">
      <c r="A5" s="151" t="s">
        <v>2834</v>
      </c>
      <c r="B5" t="s">
        <v>3410</v>
      </c>
      <c r="C5" s="151" t="s">
        <v>499</v>
      </c>
      <c r="D5" t="s">
        <v>499</v>
      </c>
      <c r="E5" s="151" t="s">
        <v>3412</v>
      </c>
      <c r="F5" t="s">
        <v>3381</v>
      </c>
      <c r="G5" s="151" t="s">
        <v>2833</v>
      </c>
      <c r="H5" t="s">
        <v>3413</v>
      </c>
      <c r="I5" t="s">
        <v>3413</v>
      </c>
      <c r="J5">
        <v>1</v>
      </c>
      <c r="K5" t="b">
        <v>0</v>
      </c>
    </row>
    <row r="6" spans="1:12" x14ac:dyDescent="0.2">
      <c r="A6" s="151" t="s">
        <v>2832</v>
      </c>
      <c r="B6" t="s">
        <v>3410</v>
      </c>
      <c r="C6" s="151" t="s">
        <v>494</v>
      </c>
      <c r="D6" t="s">
        <v>494</v>
      </c>
      <c r="E6" s="151" t="s">
        <v>3414</v>
      </c>
      <c r="F6" t="s">
        <v>3382</v>
      </c>
      <c r="G6" s="151" t="s">
        <v>2833</v>
      </c>
      <c r="H6" t="s">
        <v>3415</v>
      </c>
      <c r="I6" t="s">
        <v>3415</v>
      </c>
      <c r="J6">
        <v>1</v>
      </c>
      <c r="K6" t="b">
        <v>0</v>
      </c>
    </row>
    <row r="7" spans="1:12" x14ac:dyDescent="0.2">
      <c r="A7" s="151" t="s">
        <v>2865</v>
      </c>
      <c r="B7" t="s">
        <v>3410</v>
      </c>
      <c r="C7" s="151" t="s">
        <v>504</v>
      </c>
      <c r="D7" t="s">
        <v>504</v>
      </c>
      <c r="E7" s="151" t="s">
        <v>3416</v>
      </c>
      <c r="F7" t="s">
        <v>3383</v>
      </c>
      <c r="G7" s="151" t="s">
        <v>2833</v>
      </c>
      <c r="H7" t="s">
        <v>3417</v>
      </c>
      <c r="I7" t="s">
        <v>3417</v>
      </c>
      <c r="J7">
        <v>1</v>
      </c>
      <c r="K7" t="b">
        <v>0</v>
      </c>
    </row>
    <row r="8" spans="1:12" x14ac:dyDescent="0.2">
      <c r="A8" s="151" t="s">
        <v>2758</v>
      </c>
      <c r="B8" t="s">
        <v>3410</v>
      </c>
      <c r="C8" s="151" t="s">
        <v>2759</v>
      </c>
      <c r="D8" t="s">
        <v>3410</v>
      </c>
      <c r="E8" s="151" t="s">
        <v>2760</v>
      </c>
      <c r="F8" t="s">
        <v>226</v>
      </c>
      <c r="G8" s="151" t="s">
        <v>2735</v>
      </c>
      <c r="H8" t="s">
        <v>3418</v>
      </c>
      <c r="I8" t="s">
        <v>3418</v>
      </c>
      <c r="K8" t="b">
        <v>0</v>
      </c>
    </row>
    <row r="9" spans="1:12" x14ac:dyDescent="0.2">
      <c r="A9" s="151" t="s">
        <v>2753</v>
      </c>
      <c r="B9" t="s">
        <v>3410</v>
      </c>
      <c r="C9" s="151" t="s">
        <v>2754</v>
      </c>
      <c r="D9" t="s">
        <v>2754</v>
      </c>
      <c r="E9" s="151" t="s">
        <v>3419</v>
      </c>
      <c r="F9" t="s">
        <v>3419</v>
      </c>
      <c r="G9" s="151" t="s">
        <v>2755</v>
      </c>
      <c r="H9" t="s">
        <v>3420</v>
      </c>
      <c r="I9" t="s">
        <v>3420</v>
      </c>
      <c r="K9" t="b">
        <v>0</v>
      </c>
    </row>
    <row r="10" spans="1:12" x14ac:dyDescent="0.2">
      <c r="A10" s="151" t="s">
        <v>2766</v>
      </c>
      <c r="B10" t="s">
        <v>3410</v>
      </c>
      <c r="C10" s="151" t="s">
        <v>2767</v>
      </c>
      <c r="D10" t="s">
        <v>3410</v>
      </c>
      <c r="E10" s="151" t="s">
        <v>3421</v>
      </c>
      <c r="F10" t="s">
        <v>226</v>
      </c>
      <c r="G10" s="151" t="s">
        <v>2755</v>
      </c>
      <c r="H10" t="s">
        <v>3422</v>
      </c>
      <c r="I10" t="s">
        <v>3422</v>
      </c>
      <c r="K10" t="b">
        <v>0</v>
      </c>
    </row>
    <row r="11" spans="1:12" x14ac:dyDescent="0.2">
      <c r="A11" s="151" t="s">
        <v>3423</v>
      </c>
      <c r="B11" t="s">
        <v>3410</v>
      </c>
      <c r="C11" s="151" t="s">
        <v>3424</v>
      </c>
      <c r="D11" t="s">
        <v>3424</v>
      </c>
      <c r="E11" s="151" t="s">
        <v>3425</v>
      </c>
      <c r="F11" t="s">
        <v>2258</v>
      </c>
      <c r="G11" s="151" t="s">
        <v>2715</v>
      </c>
      <c r="H11" t="s">
        <v>226</v>
      </c>
      <c r="I11" t="s">
        <v>226</v>
      </c>
      <c r="J11">
        <v>1</v>
      </c>
      <c r="K11" t="b">
        <v>0</v>
      </c>
    </row>
    <row r="12" spans="1:12" x14ac:dyDescent="0.2">
      <c r="A12" s="151" t="s">
        <v>3426</v>
      </c>
      <c r="B12" t="s">
        <v>3410</v>
      </c>
      <c r="C12" s="151" t="s">
        <v>3427</v>
      </c>
      <c r="D12" t="s">
        <v>3427</v>
      </c>
      <c r="E12" s="151" t="s">
        <v>3428</v>
      </c>
      <c r="F12" t="s">
        <v>1875</v>
      </c>
      <c r="G12" s="151" t="s">
        <v>2715</v>
      </c>
      <c r="H12" t="s">
        <v>226</v>
      </c>
      <c r="I12" t="s">
        <v>226</v>
      </c>
      <c r="J12">
        <v>3</v>
      </c>
      <c r="K12" t="b">
        <v>0</v>
      </c>
    </row>
    <row r="13" spans="1:12" x14ac:dyDescent="0.2">
      <c r="A13" s="151" t="s">
        <v>2839</v>
      </c>
      <c r="B13" t="s">
        <v>3410</v>
      </c>
      <c r="C13" s="151" t="s">
        <v>2840</v>
      </c>
      <c r="D13" t="s">
        <v>2840</v>
      </c>
      <c r="E13" s="151" t="s">
        <v>2841</v>
      </c>
      <c r="F13" t="s">
        <v>2253</v>
      </c>
      <c r="G13" s="151" t="s">
        <v>2770</v>
      </c>
      <c r="H13" t="s">
        <v>226</v>
      </c>
      <c r="I13" t="s">
        <v>226</v>
      </c>
      <c r="J13">
        <v>1</v>
      </c>
      <c r="K13" t="b">
        <v>0</v>
      </c>
    </row>
    <row r="14" spans="1:12" x14ac:dyDescent="0.2">
      <c r="A14" s="151" t="s">
        <v>2828</v>
      </c>
      <c r="B14" t="s">
        <v>3410</v>
      </c>
      <c r="C14" s="151" t="s">
        <v>2829</v>
      </c>
      <c r="D14" t="s">
        <v>2829</v>
      </c>
      <c r="E14" s="151" t="s">
        <v>2254</v>
      </c>
      <c r="F14" t="s">
        <v>2254</v>
      </c>
      <c r="G14" s="151" t="s">
        <v>2770</v>
      </c>
      <c r="H14" t="s">
        <v>226</v>
      </c>
      <c r="I14" t="s">
        <v>226</v>
      </c>
      <c r="J14">
        <v>1</v>
      </c>
      <c r="K14" t="b">
        <v>0</v>
      </c>
    </row>
    <row r="15" spans="1:12" x14ac:dyDescent="0.2">
      <c r="A15" s="151" t="s">
        <v>2830</v>
      </c>
      <c r="B15" t="s">
        <v>3410</v>
      </c>
      <c r="C15" s="151" t="s">
        <v>2831</v>
      </c>
      <c r="D15" t="s">
        <v>2831</v>
      </c>
      <c r="E15" s="151" t="s">
        <v>2255</v>
      </c>
      <c r="F15" t="s">
        <v>2255</v>
      </c>
      <c r="G15" s="151" t="s">
        <v>2770</v>
      </c>
      <c r="H15" t="s">
        <v>226</v>
      </c>
      <c r="I15" t="s">
        <v>226</v>
      </c>
      <c r="J15">
        <v>1</v>
      </c>
      <c r="K15" t="b">
        <v>0</v>
      </c>
    </row>
    <row r="16" spans="1:12" x14ac:dyDescent="0.2">
      <c r="A16" s="151" t="s">
        <v>2902</v>
      </c>
      <c r="B16" t="s">
        <v>3410</v>
      </c>
      <c r="C16" s="151" t="s">
        <v>2903</v>
      </c>
      <c r="D16" t="s">
        <v>2903</v>
      </c>
      <c r="E16" s="151" t="s">
        <v>2904</v>
      </c>
      <c r="F16" t="s">
        <v>2321</v>
      </c>
      <c r="G16" s="151" t="s">
        <v>2717</v>
      </c>
      <c r="H16" t="s">
        <v>3429</v>
      </c>
      <c r="I16" t="s">
        <v>2972</v>
      </c>
      <c r="K16" t="b">
        <v>0</v>
      </c>
    </row>
    <row r="17" spans="1:11" x14ac:dyDescent="0.2">
      <c r="A17" s="151" t="s">
        <v>3430</v>
      </c>
      <c r="B17" t="s">
        <v>3410</v>
      </c>
      <c r="C17" s="151" t="s">
        <v>3431</v>
      </c>
      <c r="D17" t="s">
        <v>3431</v>
      </c>
      <c r="E17" s="151" t="s">
        <v>585</v>
      </c>
      <c r="F17" t="s">
        <v>585</v>
      </c>
      <c r="G17" s="151" t="s">
        <v>2717</v>
      </c>
      <c r="H17" t="s">
        <v>226</v>
      </c>
      <c r="I17" t="s">
        <v>226</v>
      </c>
      <c r="K17" t="b">
        <v>0</v>
      </c>
    </row>
    <row r="18" spans="1:11" x14ac:dyDescent="0.2">
      <c r="A18" s="151" t="s">
        <v>3432</v>
      </c>
      <c r="B18" t="s">
        <v>3410</v>
      </c>
      <c r="C18" s="151" t="s">
        <v>3433</v>
      </c>
      <c r="D18" t="s">
        <v>3433</v>
      </c>
      <c r="E18" s="151" t="s">
        <v>590</v>
      </c>
      <c r="F18" t="s">
        <v>590</v>
      </c>
      <c r="G18" s="151" t="s">
        <v>2717</v>
      </c>
      <c r="H18" t="s">
        <v>226</v>
      </c>
      <c r="I18" t="s">
        <v>226</v>
      </c>
      <c r="K18" t="b">
        <v>0</v>
      </c>
    </row>
    <row r="19" spans="1:11" x14ac:dyDescent="0.2">
      <c r="A19" s="151" t="s">
        <v>3434</v>
      </c>
      <c r="B19" t="s">
        <v>3410</v>
      </c>
      <c r="C19" s="151" t="s">
        <v>3435</v>
      </c>
      <c r="D19" t="s">
        <v>3435</v>
      </c>
      <c r="E19" s="151" t="s">
        <v>593</v>
      </c>
      <c r="F19" t="s">
        <v>593</v>
      </c>
      <c r="G19" s="151" t="s">
        <v>2717</v>
      </c>
      <c r="H19" t="s">
        <v>226</v>
      </c>
      <c r="I19" t="s">
        <v>226</v>
      </c>
      <c r="K19" t="b">
        <v>0</v>
      </c>
    </row>
    <row r="20" spans="1:11" x14ac:dyDescent="0.2">
      <c r="A20" s="151" t="s">
        <v>2720</v>
      </c>
      <c r="B20" t="s">
        <v>3410</v>
      </c>
      <c r="C20" s="151" t="s">
        <v>3436</v>
      </c>
      <c r="D20" t="s">
        <v>3436</v>
      </c>
      <c r="E20" s="151" t="s">
        <v>3437</v>
      </c>
      <c r="F20" t="s">
        <v>2324</v>
      </c>
      <c r="G20" s="151" t="s">
        <v>2717</v>
      </c>
      <c r="H20" t="s">
        <v>3438</v>
      </c>
      <c r="I20" t="s">
        <v>2972</v>
      </c>
      <c r="K20" t="b">
        <v>0</v>
      </c>
    </row>
    <row r="21" spans="1:11" x14ac:dyDescent="0.2">
      <c r="A21" s="151" t="s">
        <v>3439</v>
      </c>
      <c r="B21" t="s">
        <v>3410</v>
      </c>
      <c r="C21" s="151" t="s">
        <v>3440</v>
      </c>
      <c r="D21" t="s">
        <v>3440</v>
      </c>
      <c r="E21" s="151" t="s">
        <v>2325</v>
      </c>
      <c r="F21" t="s">
        <v>2325</v>
      </c>
      <c r="G21" s="151" t="s">
        <v>2717</v>
      </c>
      <c r="H21" t="s">
        <v>226</v>
      </c>
      <c r="I21" t="s">
        <v>226</v>
      </c>
      <c r="K21" t="b">
        <v>0</v>
      </c>
    </row>
    <row r="22" spans="1:11" x14ac:dyDescent="0.2">
      <c r="A22" s="151" t="s">
        <v>2721</v>
      </c>
      <c r="B22" t="s">
        <v>3410</v>
      </c>
      <c r="C22" s="151" t="s">
        <v>828</v>
      </c>
      <c r="D22" t="s">
        <v>828</v>
      </c>
      <c r="E22" s="151" t="s">
        <v>3441</v>
      </c>
      <c r="F22" t="s">
        <v>2327</v>
      </c>
      <c r="G22" s="151" t="s">
        <v>2717</v>
      </c>
      <c r="H22" t="s">
        <v>3442</v>
      </c>
      <c r="I22" t="s">
        <v>2972</v>
      </c>
      <c r="K22" t="b">
        <v>0</v>
      </c>
    </row>
    <row r="23" spans="1:11" x14ac:dyDescent="0.2">
      <c r="A23" s="151" t="s">
        <v>3443</v>
      </c>
      <c r="B23" t="s">
        <v>3410</v>
      </c>
      <c r="C23" s="151" t="s">
        <v>3444</v>
      </c>
      <c r="D23" t="s">
        <v>3444</v>
      </c>
      <c r="E23" s="151" t="s">
        <v>2328</v>
      </c>
      <c r="F23" t="s">
        <v>2328</v>
      </c>
      <c r="G23" s="151" t="s">
        <v>2717</v>
      </c>
      <c r="H23" t="s">
        <v>226</v>
      </c>
      <c r="I23" t="s">
        <v>226</v>
      </c>
      <c r="K23" t="b">
        <v>0</v>
      </c>
    </row>
    <row r="24" spans="1:11" x14ac:dyDescent="0.2">
      <c r="A24" s="151" t="s">
        <v>3445</v>
      </c>
      <c r="B24" t="s">
        <v>3410</v>
      </c>
      <c r="C24" s="151" t="s">
        <v>508</v>
      </c>
      <c r="D24" t="s">
        <v>2972</v>
      </c>
      <c r="E24" s="151" t="s">
        <v>3446</v>
      </c>
      <c r="F24" t="s">
        <v>3410</v>
      </c>
      <c r="G24" s="151" t="s">
        <v>3447</v>
      </c>
      <c r="H24" t="s">
        <v>226</v>
      </c>
      <c r="I24" t="s">
        <v>226</v>
      </c>
      <c r="J24">
        <v>1</v>
      </c>
      <c r="K24" t="b">
        <v>1</v>
      </c>
    </row>
    <row r="25" spans="1:11" x14ac:dyDescent="0.2">
      <c r="A25" s="151" t="s">
        <v>3448</v>
      </c>
      <c r="B25" t="s">
        <v>3410</v>
      </c>
      <c r="C25" s="151" t="s">
        <v>508</v>
      </c>
      <c r="D25" t="s">
        <v>2972</v>
      </c>
      <c r="E25" s="151"/>
      <c r="F25" t="s">
        <v>2972</v>
      </c>
      <c r="G25" s="151" t="s">
        <v>3447</v>
      </c>
      <c r="H25" t="s">
        <v>226</v>
      </c>
      <c r="I25" t="s">
        <v>226</v>
      </c>
      <c r="K25" t="b">
        <v>0</v>
      </c>
    </row>
    <row r="26" spans="1:11" x14ac:dyDescent="0.2">
      <c r="A26" s="151" t="s">
        <v>3449</v>
      </c>
      <c r="B26" t="s">
        <v>3410</v>
      </c>
      <c r="C26" s="151" t="s">
        <v>508</v>
      </c>
      <c r="D26" t="s">
        <v>2972</v>
      </c>
      <c r="E26" s="151"/>
      <c r="F26" t="s">
        <v>2972</v>
      </c>
      <c r="G26" s="151" t="s">
        <v>3447</v>
      </c>
      <c r="H26" t="s">
        <v>226</v>
      </c>
      <c r="I26" t="s">
        <v>226</v>
      </c>
      <c r="K26" t="b">
        <v>0</v>
      </c>
    </row>
    <row r="27" spans="1:11" x14ac:dyDescent="0.2">
      <c r="A27" s="151" t="s">
        <v>3450</v>
      </c>
      <c r="B27" t="s">
        <v>3410</v>
      </c>
      <c r="C27" s="151" t="s">
        <v>508</v>
      </c>
      <c r="D27" t="s">
        <v>2972</v>
      </c>
      <c r="E27" s="151"/>
      <c r="F27" t="s">
        <v>2972</v>
      </c>
      <c r="G27" s="151" t="s">
        <v>3447</v>
      </c>
      <c r="H27" t="s">
        <v>226</v>
      </c>
      <c r="I27" t="s">
        <v>226</v>
      </c>
      <c r="K27" t="b">
        <v>0</v>
      </c>
    </row>
    <row r="28" spans="1:11" x14ac:dyDescent="0.2">
      <c r="A28" s="151" t="s">
        <v>3451</v>
      </c>
      <c r="B28" t="s">
        <v>3410</v>
      </c>
      <c r="C28" s="151" t="s">
        <v>508</v>
      </c>
      <c r="D28" t="s">
        <v>2972</v>
      </c>
      <c r="E28" s="151"/>
      <c r="F28" t="s">
        <v>2972</v>
      </c>
      <c r="G28" s="151" t="s">
        <v>3447</v>
      </c>
      <c r="H28" t="s">
        <v>226</v>
      </c>
      <c r="I28" t="s">
        <v>226</v>
      </c>
      <c r="K28" t="b">
        <v>0</v>
      </c>
    </row>
    <row r="29" spans="1:11" x14ac:dyDescent="0.2">
      <c r="A29" s="151" t="s">
        <v>3452</v>
      </c>
      <c r="B29" t="s">
        <v>3410</v>
      </c>
      <c r="C29" s="151" t="s">
        <v>508</v>
      </c>
      <c r="D29" t="s">
        <v>2972</v>
      </c>
      <c r="E29" s="151"/>
      <c r="F29" t="s">
        <v>2972</v>
      </c>
      <c r="G29" s="151" t="s">
        <v>3447</v>
      </c>
      <c r="H29" t="s">
        <v>226</v>
      </c>
      <c r="I29" t="s">
        <v>226</v>
      </c>
      <c r="J29">
        <v>1</v>
      </c>
      <c r="K29" t="b">
        <v>0</v>
      </c>
    </row>
    <row r="30" spans="1:11" x14ac:dyDescent="0.2">
      <c r="A30" s="151" t="s">
        <v>3453</v>
      </c>
      <c r="B30" t="s">
        <v>3410</v>
      </c>
      <c r="C30" s="151" t="s">
        <v>508</v>
      </c>
      <c r="D30" t="s">
        <v>2972</v>
      </c>
      <c r="E30" s="151"/>
      <c r="F30" t="s">
        <v>2972</v>
      </c>
      <c r="G30" s="151" t="s">
        <v>3447</v>
      </c>
      <c r="H30" t="s">
        <v>226</v>
      </c>
      <c r="I30" t="s">
        <v>226</v>
      </c>
      <c r="J30">
        <v>1</v>
      </c>
      <c r="K30" t="b">
        <v>0</v>
      </c>
    </row>
    <row r="31" spans="1:11" x14ac:dyDescent="0.2">
      <c r="A31" s="151" t="s">
        <v>3454</v>
      </c>
      <c r="B31" t="s">
        <v>3410</v>
      </c>
      <c r="C31" s="151" t="s">
        <v>508</v>
      </c>
      <c r="D31" t="s">
        <v>2972</v>
      </c>
      <c r="E31" s="151"/>
      <c r="F31" t="s">
        <v>2972</v>
      </c>
      <c r="G31" s="151" t="s">
        <v>3447</v>
      </c>
      <c r="H31" t="s">
        <v>226</v>
      </c>
      <c r="I31" t="s">
        <v>226</v>
      </c>
      <c r="J31">
        <v>1</v>
      </c>
      <c r="K31" t="b">
        <v>0</v>
      </c>
    </row>
    <row r="32" spans="1:11" x14ac:dyDescent="0.2">
      <c r="A32" s="151" t="s">
        <v>3455</v>
      </c>
      <c r="B32" t="s">
        <v>3410</v>
      </c>
      <c r="C32" s="151" t="s">
        <v>508</v>
      </c>
      <c r="D32" t="s">
        <v>2972</v>
      </c>
      <c r="E32" s="151"/>
      <c r="F32" t="s">
        <v>2972</v>
      </c>
      <c r="G32" s="151" t="s">
        <v>3447</v>
      </c>
      <c r="H32" t="s">
        <v>226</v>
      </c>
      <c r="I32" t="s">
        <v>226</v>
      </c>
      <c r="J32">
        <v>1</v>
      </c>
      <c r="K32" t="b">
        <v>0</v>
      </c>
    </row>
    <row r="33" spans="1:11" x14ac:dyDescent="0.2">
      <c r="A33" s="151" t="s">
        <v>2905</v>
      </c>
      <c r="B33" t="s">
        <v>3410</v>
      </c>
      <c r="C33" s="151" t="s">
        <v>2906</v>
      </c>
      <c r="D33" t="s">
        <v>2906</v>
      </c>
      <c r="E33" s="151" t="s">
        <v>3456</v>
      </c>
      <c r="F33" t="s">
        <v>3456</v>
      </c>
      <c r="G33" s="151" t="s">
        <v>2723</v>
      </c>
      <c r="H33" t="s">
        <v>3457</v>
      </c>
      <c r="I33" t="s">
        <v>3457</v>
      </c>
      <c r="J33">
        <v>1</v>
      </c>
      <c r="K33" t="b">
        <v>0</v>
      </c>
    </row>
    <row r="34" spans="1:11" x14ac:dyDescent="0.2">
      <c r="A34" s="151" t="s">
        <v>2907</v>
      </c>
      <c r="B34" t="s">
        <v>3410</v>
      </c>
      <c r="C34" s="151" t="s">
        <v>2908</v>
      </c>
      <c r="D34" t="s">
        <v>2908</v>
      </c>
      <c r="E34" s="151" t="s">
        <v>3458</v>
      </c>
      <c r="F34" t="s">
        <v>3458</v>
      </c>
      <c r="G34" s="151" t="s">
        <v>2723</v>
      </c>
      <c r="H34" t="s">
        <v>3459</v>
      </c>
      <c r="I34" t="s">
        <v>3459</v>
      </c>
      <c r="J34">
        <v>1</v>
      </c>
      <c r="K34" t="b">
        <v>0</v>
      </c>
    </row>
    <row r="35" spans="1:11" x14ac:dyDescent="0.2">
      <c r="A35" s="151" t="s">
        <v>2909</v>
      </c>
      <c r="B35" t="s">
        <v>3410</v>
      </c>
      <c r="C35" s="151" t="s">
        <v>2910</v>
      </c>
      <c r="D35" t="s">
        <v>2910</v>
      </c>
      <c r="E35" s="151" t="s">
        <v>3460</v>
      </c>
      <c r="F35" t="s">
        <v>3460</v>
      </c>
      <c r="G35" s="151" t="s">
        <v>2723</v>
      </c>
      <c r="H35" t="s">
        <v>3461</v>
      </c>
      <c r="I35" t="s">
        <v>3461</v>
      </c>
      <c r="J35">
        <v>1</v>
      </c>
      <c r="K35" t="b">
        <v>0</v>
      </c>
    </row>
    <row r="36" spans="1:11" x14ac:dyDescent="0.2">
      <c r="A36" s="151" t="s">
        <v>2724</v>
      </c>
      <c r="B36" t="s">
        <v>3410</v>
      </c>
      <c r="C36" s="151" t="s">
        <v>3462</v>
      </c>
      <c r="D36" t="s">
        <v>3462</v>
      </c>
      <c r="E36" s="151" t="s">
        <v>3463</v>
      </c>
      <c r="F36" t="s">
        <v>3463</v>
      </c>
      <c r="G36" s="151" t="s">
        <v>2723</v>
      </c>
      <c r="H36" t="s">
        <v>3464</v>
      </c>
      <c r="I36" t="s">
        <v>3464</v>
      </c>
      <c r="J36">
        <v>1</v>
      </c>
      <c r="K36" t="b">
        <v>0</v>
      </c>
    </row>
    <row r="37" spans="1:11" x14ac:dyDescent="0.2">
      <c r="A37" s="151" t="s">
        <v>2725</v>
      </c>
      <c r="B37" t="s">
        <v>3410</v>
      </c>
      <c r="C37" s="151" t="s">
        <v>3465</v>
      </c>
      <c r="D37" t="s">
        <v>3465</v>
      </c>
      <c r="E37" s="151" t="s">
        <v>3466</v>
      </c>
      <c r="F37" t="s">
        <v>3466</v>
      </c>
      <c r="G37" s="151" t="s">
        <v>2723</v>
      </c>
      <c r="H37" t="s">
        <v>3467</v>
      </c>
      <c r="I37" t="s">
        <v>3467</v>
      </c>
      <c r="J37">
        <v>1</v>
      </c>
      <c r="K37" t="b">
        <v>0</v>
      </c>
    </row>
    <row r="38" spans="1:11" x14ac:dyDescent="0.2">
      <c r="A38" s="151" t="s">
        <v>2726</v>
      </c>
      <c r="B38" t="s">
        <v>3410</v>
      </c>
      <c r="C38" s="151" t="s">
        <v>3468</v>
      </c>
      <c r="D38" t="s">
        <v>3468</v>
      </c>
      <c r="E38" s="151" t="s">
        <v>3469</v>
      </c>
      <c r="F38" t="s">
        <v>3469</v>
      </c>
      <c r="G38" s="151" t="s">
        <v>2723</v>
      </c>
      <c r="H38" t="s">
        <v>3470</v>
      </c>
      <c r="I38" t="s">
        <v>3470</v>
      </c>
      <c r="J38">
        <v>1</v>
      </c>
      <c r="K38" t="b">
        <v>0</v>
      </c>
    </row>
    <row r="39" spans="1:11" x14ac:dyDescent="0.2">
      <c r="A39" s="151" t="s">
        <v>2926</v>
      </c>
      <c r="B39" t="s">
        <v>3410</v>
      </c>
      <c r="C39" s="151" t="s">
        <v>2927</v>
      </c>
      <c r="D39" t="s">
        <v>3410</v>
      </c>
      <c r="E39" s="151" t="s">
        <v>2928</v>
      </c>
      <c r="F39" t="s">
        <v>3410</v>
      </c>
      <c r="G39" s="151" t="s">
        <v>2723</v>
      </c>
      <c r="H39" t="s">
        <v>226</v>
      </c>
      <c r="I39" t="s">
        <v>226</v>
      </c>
      <c r="K39" t="b">
        <v>0</v>
      </c>
    </row>
    <row r="40" spans="1:11" x14ac:dyDescent="0.2">
      <c r="A40" s="151" t="s">
        <v>2727</v>
      </c>
      <c r="B40" t="s">
        <v>3410</v>
      </c>
      <c r="C40" s="151" t="s">
        <v>419</v>
      </c>
      <c r="D40" t="s">
        <v>2972</v>
      </c>
      <c r="E40" s="151"/>
      <c r="F40" t="s">
        <v>2972</v>
      </c>
      <c r="G40" s="151" t="s">
        <v>2723</v>
      </c>
      <c r="I40" t="s">
        <v>2972</v>
      </c>
      <c r="J40">
        <v>1</v>
      </c>
      <c r="K40" t="b">
        <v>0</v>
      </c>
    </row>
    <row r="41" spans="1:11" x14ac:dyDescent="0.2">
      <c r="A41" s="151" t="s">
        <v>2728</v>
      </c>
      <c r="B41" t="s">
        <v>3410</v>
      </c>
      <c r="C41" s="151" t="s">
        <v>419</v>
      </c>
      <c r="D41" t="s">
        <v>2972</v>
      </c>
      <c r="E41" s="151"/>
      <c r="F41" t="s">
        <v>2972</v>
      </c>
      <c r="G41" s="151" t="s">
        <v>2723</v>
      </c>
      <c r="I41" t="s">
        <v>2972</v>
      </c>
      <c r="J41">
        <v>1</v>
      </c>
      <c r="K41" t="b">
        <v>0</v>
      </c>
    </row>
    <row r="42" spans="1:11" x14ac:dyDescent="0.2">
      <c r="A42" s="151" t="s">
        <v>2729</v>
      </c>
      <c r="B42" t="s">
        <v>3410</v>
      </c>
      <c r="C42" s="151" t="s">
        <v>419</v>
      </c>
      <c r="D42" t="s">
        <v>2972</v>
      </c>
      <c r="E42" s="151"/>
      <c r="F42" t="s">
        <v>2972</v>
      </c>
      <c r="G42" s="151" t="s">
        <v>2723</v>
      </c>
      <c r="I42" t="s">
        <v>2972</v>
      </c>
      <c r="J42">
        <v>1</v>
      </c>
      <c r="K42" t="b">
        <v>0</v>
      </c>
    </row>
    <row r="43" spans="1:11" x14ac:dyDescent="0.2">
      <c r="A43" s="151" t="s">
        <v>2722</v>
      </c>
      <c r="B43" t="s">
        <v>3410</v>
      </c>
      <c r="C43" s="151" t="s">
        <v>3471</v>
      </c>
      <c r="D43" t="s">
        <v>2972</v>
      </c>
      <c r="E43" s="151"/>
      <c r="F43" t="s">
        <v>2972</v>
      </c>
      <c r="G43" s="151" t="s">
        <v>2723</v>
      </c>
      <c r="H43" t="s">
        <v>226</v>
      </c>
      <c r="I43" t="s">
        <v>226</v>
      </c>
      <c r="K43" t="b">
        <v>0</v>
      </c>
    </row>
    <row r="44" spans="1:11" x14ac:dyDescent="0.2">
      <c r="A44" s="151" t="s">
        <v>2804</v>
      </c>
      <c r="B44" t="s">
        <v>3410</v>
      </c>
      <c r="C44" s="151" t="s">
        <v>2805</v>
      </c>
      <c r="D44" t="s">
        <v>2805</v>
      </c>
      <c r="E44" s="151" t="s">
        <v>3472</v>
      </c>
      <c r="F44" t="s">
        <v>3473</v>
      </c>
      <c r="G44" s="151" t="s">
        <v>2806</v>
      </c>
      <c r="I44" t="s">
        <v>3474</v>
      </c>
      <c r="J44">
        <v>1</v>
      </c>
      <c r="K44" t="b">
        <v>0</v>
      </c>
    </row>
    <row r="45" spans="1:11" x14ac:dyDescent="0.2">
      <c r="A45" s="151" t="s">
        <v>2811</v>
      </c>
      <c r="B45" t="s">
        <v>3410</v>
      </c>
      <c r="C45" s="151" t="s">
        <v>1731</v>
      </c>
      <c r="D45" t="s">
        <v>1731</v>
      </c>
      <c r="E45" s="151" t="s">
        <v>2329</v>
      </c>
      <c r="F45" t="s">
        <v>2329</v>
      </c>
      <c r="G45" s="151" t="s">
        <v>2762</v>
      </c>
      <c r="H45" t="s">
        <v>3475</v>
      </c>
      <c r="I45" t="s">
        <v>3475</v>
      </c>
      <c r="J45">
        <v>1</v>
      </c>
      <c r="K45" t="b">
        <v>0</v>
      </c>
    </row>
    <row r="46" spans="1:11" x14ac:dyDescent="0.2">
      <c r="A46" s="151" t="s">
        <v>2763</v>
      </c>
      <c r="B46" t="s">
        <v>3410</v>
      </c>
      <c r="C46" s="151" t="s">
        <v>1020</v>
      </c>
      <c r="D46" t="s">
        <v>1020</v>
      </c>
      <c r="E46" s="151" t="s">
        <v>2424</v>
      </c>
      <c r="F46" t="s">
        <v>2424</v>
      </c>
      <c r="G46" s="151" t="s">
        <v>2762</v>
      </c>
      <c r="H46" t="s">
        <v>3476</v>
      </c>
      <c r="I46" t="s">
        <v>2972</v>
      </c>
      <c r="J46">
        <v>1</v>
      </c>
      <c r="K46" t="b">
        <v>0</v>
      </c>
    </row>
    <row r="47" spans="1:11" x14ac:dyDescent="0.2">
      <c r="A47" s="151" t="s">
        <v>2785</v>
      </c>
      <c r="B47" t="s">
        <v>3410</v>
      </c>
      <c r="C47" s="151" t="s">
        <v>1029</v>
      </c>
      <c r="D47" t="s">
        <v>3410</v>
      </c>
      <c r="E47" s="151" t="s">
        <v>3477</v>
      </c>
      <c r="F47" t="s">
        <v>1030</v>
      </c>
      <c r="G47" s="151" t="s">
        <v>2738</v>
      </c>
      <c r="H47" t="s">
        <v>3478</v>
      </c>
      <c r="I47" t="s">
        <v>3479</v>
      </c>
      <c r="J47">
        <v>1</v>
      </c>
      <c r="K47" t="b">
        <v>1</v>
      </c>
    </row>
    <row r="48" spans="1:11" x14ac:dyDescent="0.2">
      <c r="A48" s="151" t="s">
        <v>2787</v>
      </c>
      <c r="B48" t="s">
        <v>3410</v>
      </c>
      <c r="C48" s="151" t="s">
        <v>1026</v>
      </c>
      <c r="D48" t="s">
        <v>3410</v>
      </c>
      <c r="E48" s="151" t="s">
        <v>3480</v>
      </c>
      <c r="F48" t="s">
        <v>1027</v>
      </c>
      <c r="G48" s="151" t="s">
        <v>2738</v>
      </c>
      <c r="H48" t="s">
        <v>3481</v>
      </c>
      <c r="I48" t="s">
        <v>3482</v>
      </c>
      <c r="J48">
        <v>1</v>
      </c>
      <c r="K48" t="b">
        <v>1</v>
      </c>
    </row>
    <row r="49" spans="1:11" x14ac:dyDescent="0.2">
      <c r="A49" s="151" t="s">
        <v>2788</v>
      </c>
      <c r="B49" t="s">
        <v>3410</v>
      </c>
      <c r="C49" s="151" t="s">
        <v>1033</v>
      </c>
      <c r="D49" t="s">
        <v>3410</v>
      </c>
      <c r="E49" s="151" t="s">
        <v>3483</v>
      </c>
      <c r="F49" t="s">
        <v>1034</v>
      </c>
      <c r="G49" s="151" t="s">
        <v>2738</v>
      </c>
      <c r="H49" t="s">
        <v>3484</v>
      </c>
      <c r="I49" t="s">
        <v>3484</v>
      </c>
      <c r="J49">
        <v>1</v>
      </c>
      <c r="K49" t="b">
        <v>1</v>
      </c>
    </row>
    <row r="50" spans="1:11" x14ac:dyDescent="0.2">
      <c r="A50" s="151"/>
      <c r="B50" t="s">
        <v>3410</v>
      </c>
      <c r="C50" s="151" t="s">
        <v>3485</v>
      </c>
      <c r="D50" t="s">
        <v>3485</v>
      </c>
      <c r="E50" s="151" t="s">
        <v>2363</v>
      </c>
      <c r="F50" t="s">
        <v>2363</v>
      </c>
      <c r="G50" s="151" t="s">
        <v>3486</v>
      </c>
      <c r="I50" t="s">
        <v>2972</v>
      </c>
      <c r="J50">
        <v>3</v>
      </c>
      <c r="K50" t="b">
        <v>0</v>
      </c>
    </row>
    <row r="51" spans="1:11" x14ac:dyDescent="0.2">
      <c r="A51" s="151"/>
      <c r="B51" t="s">
        <v>3410</v>
      </c>
      <c r="C51" s="151" t="s">
        <v>3487</v>
      </c>
      <c r="D51" t="s">
        <v>3487</v>
      </c>
      <c r="E51" s="151" t="s">
        <v>2364</v>
      </c>
      <c r="F51" t="s">
        <v>2364</v>
      </c>
      <c r="G51" s="151" t="s">
        <v>3486</v>
      </c>
      <c r="I51" t="s">
        <v>2972</v>
      </c>
      <c r="J51">
        <v>3</v>
      </c>
      <c r="K51" t="b">
        <v>0</v>
      </c>
    </row>
    <row r="52" spans="1:11" x14ac:dyDescent="0.2">
      <c r="A52" s="151"/>
      <c r="B52" t="s">
        <v>3410</v>
      </c>
      <c r="C52" s="151" t="s">
        <v>3488</v>
      </c>
      <c r="D52" t="s">
        <v>3488</v>
      </c>
      <c r="E52" s="151" t="s">
        <v>2365</v>
      </c>
      <c r="F52" t="s">
        <v>2365</v>
      </c>
      <c r="G52" s="151" t="s">
        <v>3486</v>
      </c>
      <c r="I52" t="s">
        <v>2972</v>
      </c>
      <c r="J52">
        <v>3</v>
      </c>
      <c r="K52" t="b">
        <v>0</v>
      </c>
    </row>
    <row r="53" spans="1:11" x14ac:dyDescent="0.2">
      <c r="A53" s="151" t="s">
        <v>3489</v>
      </c>
      <c r="B53" t="s">
        <v>3410</v>
      </c>
      <c r="C53" s="151" t="s">
        <v>419</v>
      </c>
      <c r="D53" t="s">
        <v>2972</v>
      </c>
      <c r="E53" s="151"/>
      <c r="F53" t="s">
        <v>2972</v>
      </c>
      <c r="G53" s="151" t="s">
        <v>3486</v>
      </c>
      <c r="I53" t="s">
        <v>2972</v>
      </c>
      <c r="J53">
        <v>1</v>
      </c>
      <c r="K53" t="b">
        <v>0</v>
      </c>
    </row>
    <row r="54" spans="1:11" x14ac:dyDescent="0.2">
      <c r="A54" s="151" t="s">
        <v>3490</v>
      </c>
      <c r="B54" t="s">
        <v>3410</v>
      </c>
      <c r="C54" s="151" t="s">
        <v>3491</v>
      </c>
      <c r="D54" t="s">
        <v>3410</v>
      </c>
      <c r="E54" s="151"/>
      <c r="F54" t="s">
        <v>226</v>
      </c>
      <c r="G54" s="151" t="s">
        <v>3486</v>
      </c>
      <c r="H54" t="s">
        <v>3492</v>
      </c>
      <c r="I54" t="s">
        <v>3492</v>
      </c>
      <c r="J54">
        <v>1</v>
      </c>
      <c r="K54" t="b">
        <v>0</v>
      </c>
    </row>
    <row r="55" spans="1:11" x14ac:dyDescent="0.2">
      <c r="A55" s="151" t="s">
        <v>3493</v>
      </c>
      <c r="B55" t="s">
        <v>3410</v>
      </c>
      <c r="C55" s="151" t="s">
        <v>3494</v>
      </c>
      <c r="D55" t="s">
        <v>3410</v>
      </c>
      <c r="E55" s="151"/>
      <c r="F55" t="s">
        <v>226</v>
      </c>
      <c r="G55" s="151" t="s">
        <v>3486</v>
      </c>
      <c r="H55" t="s">
        <v>3495</v>
      </c>
      <c r="I55" t="s">
        <v>3495</v>
      </c>
      <c r="J55">
        <v>1</v>
      </c>
      <c r="K55" t="b">
        <v>0</v>
      </c>
    </row>
    <row r="56" spans="1:11" x14ac:dyDescent="0.2">
      <c r="A56" s="151" t="s">
        <v>3496</v>
      </c>
      <c r="B56" t="s">
        <v>3410</v>
      </c>
      <c r="C56" s="151" t="s">
        <v>3497</v>
      </c>
      <c r="D56" t="s">
        <v>3410</v>
      </c>
      <c r="E56" s="151"/>
      <c r="F56" t="s">
        <v>226</v>
      </c>
      <c r="G56" s="151" t="s">
        <v>3486</v>
      </c>
      <c r="H56" t="s">
        <v>3498</v>
      </c>
      <c r="I56" t="s">
        <v>3498</v>
      </c>
      <c r="J56">
        <v>1</v>
      </c>
      <c r="K56" t="b">
        <v>0</v>
      </c>
    </row>
    <row r="57" spans="1:11" x14ac:dyDescent="0.2">
      <c r="A57" s="151" t="s">
        <v>2849</v>
      </c>
      <c r="B57" t="s">
        <v>3410</v>
      </c>
      <c r="C57" s="151" t="s">
        <v>2850</v>
      </c>
      <c r="D57" t="s">
        <v>2850</v>
      </c>
      <c r="E57" s="151" t="s">
        <v>2401</v>
      </c>
      <c r="F57" t="s">
        <v>2401</v>
      </c>
      <c r="G57" s="151" t="s">
        <v>3499</v>
      </c>
      <c r="H57" t="s">
        <v>3500</v>
      </c>
      <c r="I57" t="s">
        <v>3500</v>
      </c>
      <c r="J57">
        <v>1</v>
      </c>
      <c r="K57" t="b">
        <v>0</v>
      </c>
    </row>
    <row r="58" spans="1:11" x14ac:dyDescent="0.2">
      <c r="A58" s="151" t="s">
        <v>2855</v>
      </c>
      <c r="B58" t="s">
        <v>3410</v>
      </c>
      <c r="C58" s="151" t="s">
        <v>2856</v>
      </c>
      <c r="D58" t="s">
        <v>2856</v>
      </c>
      <c r="E58" s="151" t="s">
        <v>2403</v>
      </c>
      <c r="F58" t="s">
        <v>2403</v>
      </c>
      <c r="G58" s="151" t="s">
        <v>3499</v>
      </c>
      <c r="H58" t="s">
        <v>3501</v>
      </c>
      <c r="I58" t="s">
        <v>3501</v>
      </c>
      <c r="J58">
        <v>1</v>
      </c>
      <c r="K58" t="b">
        <v>0</v>
      </c>
    </row>
    <row r="59" spans="1:11" x14ac:dyDescent="0.2">
      <c r="A59" s="151" t="s">
        <v>2838</v>
      </c>
      <c r="B59" t="s">
        <v>3410</v>
      </c>
      <c r="C59" s="151" t="s">
        <v>3502</v>
      </c>
      <c r="D59" t="s">
        <v>3502</v>
      </c>
      <c r="E59" s="151" t="s">
        <v>2416</v>
      </c>
      <c r="F59" t="s">
        <v>2416</v>
      </c>
      <c r="G59" s="151" t="s">
        <v>3499</v>
      </c>
      <c r="H59" t="s">
        <v>3503</v>
      </c>
      <c r="I59" t="s">
        <v>3503</v>
      </c>
      <c r="J59">
        <v>1</v>
      </c>
      <c r="K59" t="b">
        <v>0</v>
      </c>
    </row>
    <row r="60" spans="1:11" x14ac:dyDescent="0.2">
      <c r="A60" s="151" t="s">
        <v>2847</v>
      </c>
      <c r="B60" t="s">
        <v>3410</v>
      </c>
      <c r="C60" s="151" t="s">
        <v>2848</v>
      </c>
      <c r="D60" t="s">
        <v>3410</v>
      </c>
      <c r="E60" s="151"/>
      <c r="F60" t="s">
        <v>226</v>
      </c>
      <c r="G60" s="151" t="s">
        <v>3499</v>
      </c>
      <c r="H60" t="s">
        <v>3504</v>
      </c>
      <c r="I60" t="s">
        <v>3504</v>
      </c>
      <c r="J60">
        <v>1</v>
      </c>
      <c r="K60" t="b">
        <v>0</v>
      </c>
    </row>
    <row r="61" spans="1:11" x14ac:dyDescent="0.2">
      <c r="A61" s="151" t="s">
        <v>2898</v>
      </c>
      <c r="B61" t="s">
        <v>3410</v>
      </c>
      <c r="C61" s="151" t="s">
        <v>2899</v>
      </c>
      <c r="D61" t="s">
        <v>3410</v>
      </c>
      <c r="E61" s="151" t="s">
        <v>2900</v>
      </c>
      <c r="F61" t="s">
        <v>226</v>
      </c>
      <c r="G61" s="151" t="s">
        <v>2782</v>
      </c>
      <c r="H61" t="s">
        <v>226</v>
      </c>
      <c r="I61" t="s">
        <v>226</v>
      </c>
      <c r="J61">
        <v>-1</v>
      </c>
      <c r="K61" t="b">
        <v>0</v>
      </c>
    </row>
    <row r="62" spans="1:11" x14ac:dyDescent="0.2">
      <c r="A62" s="151" t="s">
        <v>2895</v>
      </c>
      <c r="B62" t="s">
        <v>3410</v>
      </c>
      <c r="C62" s="151" t="s">
        <v>1293</v>
      </c>
      <c r="D62" t="s">
        <v>1293</v>
      </c>
      <c r="E62" s="151" t="s">
        <v>2896</v>
      </c>
      <c r="F62" t="s">
        <v>2426</v>
      </c>
      <c r="G62" s="151" t="s">
        <v>2782</v>
      </c>
      <c r="H62" t="s">
        <v>226</v>
      </c>
      <c r="I62" t="s">
        <v>226</v>
      </c>
      <c r="J62">
        <v>1</v>
      </c>
      <c r="K62" t="b">
        <v>0</v>
      </c>
    </row>
    <row r="63" spans="1:11" x14ac:dyDescent="0.2">
      <c r="A63" s="151" t="s">
        <v>2888</v>
      </c>
      <c r="B63" t="s">
        <v>3410</v>
      </c>
      <c r="C63" s="151" t="s">
        <v>1761</v>
      </c>
      <c r="D63" t="s">
        <v>1761</v>
      </c>
      <c r="E63" s="151" t="s">
        <v>3388</v>
      </c>
      <c r="F63" t="s">
        <v>3388</v>
      </c>
      <c r="G63" s="151" t="s">
        <v>2854</v>
      </c>
      <c r="H63" t="s">
        <v>226</v>
      </c>
      <c r="I63" t="s">
        <v>226</v>
      </c>
      <c r="J63">
        <v>1</v>
      </c>
      <c r="K63" t="b">
        <v>0</v>
      </c>
    </row>
    <row r="64" spans="1:11" x14ac:dyDescent="0.2">
      <c r="A64" s="151" t="s">
        <v>2874</v>
      </c>
      <c r="B64" t="s">
        <v>3410</v>
      </c>
      <c r="C64" s="151" t="s">
        <v>2875</v>
      </c>
      <c r="D64" t="s">
        <v>2875</v>
      </c>
      <c r="E64" s="151" t="s">
        <v>2876</v>
      </c>
      <c r="F64" t="s">
        <v>2409</v>
      </c>
      <c r="G64" s="151" t="s">
        <v>2854</v>
      </c>
      <c r="H64" t="s">
        <v>226</v>
      </c>
      <c r="I64" t="s">
        <v>226</v>
      </c>
      <c r="J64">
        <v>1</v>
      </c>
      <c r="K64" t="b">
        <v>0</v>
      </c>
    </row>
    <row r="65" spans="1:11" x14ac:dyDescent="0.2">
      <c r="A65" s="151" t="s">
        <v>2890</v>
      </c>
      <c r="B65" t="s">
        <v>3410</v>
      </c>
      <c r="C65" s="151" t="s">
        <v>1237</v>
      </c>
      <c r="D65" t="s">
        <v>1237</v>
      </c>
      <c r="E65" s="151" t="s">
        <v>2410</v>
      </c>
      <c r="F65" t="s">
        <v>2410</v>
      </c>
      <c r="G65" s="151" t="s">
        <v>2854</v>
      </c>
      <c r="H65" t="s">
        <v>226</v>
      </c>
      <c r="I65" t="s">
        <v>226</v>
      </c>
      <c r="J65">
        <v>1</v>
      </c>
      <c r="K65" t="b">
        <v>0</v>
      </c>
    </row>
    <row r="66" spans="1:11" x14ac:dyDescent="0.2">
      <c r="A66" s="151" t="s">
        <v>2892</v>
      </c>
      <c r="B66" t="s">
        <v>3410</v>
      </c>
      <c r="C66" s="151" t="s">
        <v>1279</v>
      </c>
      <c r="D66" t="s">
        <v>1279</v>
      </c>
      <c r="E66" s="151" t="s">
        <v>2411</v>
      </c>
      <c r="F66" t="s">
        <v>2411</v>
      </c>
      <c r="G66" s="151" t="s">
        <v>2854</v>
      </c>
      <c r="H66" t="s">
        <v>226</v>
      </c>
      <c r="I66" t="s">
        <v>226</v>
      </c>
      <c r="J66">
        <v>1</v>
      </c>
      <c r="K66" t="b">
        <v>0</v>
      </c>
    </row>
    <row r="67" spans="1:11" x14ac:dyDescent="0.2">
      <c r="A67" s="151" t="s">
        <v>2891</v>
      </c>
      <c r="B67" t="s">
        <v>3410</v>
      </c>
      <c r="C67" s="151" t="s">
        <v>1254</v>
      </c>
      <c r="D67" t="s">
        <v>1254</v>
      </c>
      <c r="E67" s="151" t="s">
        <v>2412</v>
      </c>
      <c r="F67" t="s">
        <v>2412</v>
      </c>
      <c r="G67" s="151" t="s">
        <v>2854</v>
      </c>
      <c r="H67" t="s">
        <v>226</v>
      </c>
      <c r="I67" t="s">
        <v>226</v>
      </c>
      <c r="J67">
        <v>1</v>
      </c>
      <c r="K67" t="b">
        <v>0</v>
      </c>
    </row>
    <row r="68" spans="1:11" x14ac:dyDescent="0.2">
      <c r="A68" s="151" t="s">
        <v>2889</v>
      </c>
      <c r="B68" t="s">
        <v>3410</v>
      </c>
      <c r="C68" s="151" t="s">
        <v>1233</v>
      </c>
      <c r="D68" t="s">
        <v>1233</v>
      </c>
      <c r="E68" s="151" t="s">
        <v>2413</v>
      </c>
      <c r="F68" t="s">
        <v>2413</v>
      </c>
      <c r="G68" s="151" t="s">
        <v>2854</v>
      </c>
      <c r="H68" t="s">
        <v>226</v>
      </c>
      <c r="I68" t="s">
        <v>226</v>
      </c>
      <c r="J68">
        <v>1</v>
      </c>
      <c r="K68" t="b">
        <v>0</v>
      </c>
    </row>
    <row r="69" spans="1:11" x14ac:dyDescent="0.2">
      <c r="A69" s="151" t="s">
        <v>2886</v>
      </c>
      <c r="B69" t="s">
        <v>3410</v>
      </c>
      <c r="C69" s="151" t="s">
        <v>1152</v>
      </c>
      <c r="D69" t="s">
        <v>1152</v>
      </c>
      <c r="E69" s="151" t="s">
        <v>2414</v>
      </c>
      <c r="F69" t="s">
        <v>2414</v>
      </c>
      <c r="G69" s="151" t="s">
        <v>2854</v>
      </c>
      <c r="H69" t="s">
        <v>226</v>
      </c>
      <c r="I69" t="s">
        <v>226</v>
      </c>
      <c r="J69">
        <v>1</v>
      </c>
      <c r="K69" t="b">
        <v>0</v>
      </c>
    </row>
    <row r="70" spans="1:11" x14ac:dyDescent="0.2">
      <c r="A70" s="151" t="s">
        <v>2871</v>
      </c>
      <c r="B70" t="s">
        <v>3410</v>
      </c>
      <c r="C70" s="151" t="s">
        <v>2872</v>
      </c>
      <c r="D70" t="s">
        <v>2872</v>
      </c>
      <c r="E70" s="151" t="s">
        <v>2873</v>
      </c>
      <c r="F70" t="s">
        <v>2415</v>
      </c>
      <c r="G70" s="151" t="s">
        <v>2854</v>
      </c>
      <c r="H70" t="s">
        <v>226</v>
      </c>
      <c r="I70" t="s">
        <v>226</v>
      </c>
      <c r="J70">
        <v>1</v>
      </c>
      <c r="K70" t="b">
        <v>0</v>
      </c>
    </row>
    <row r="71" spans="1:11" x14ac:dyDescent="0.2">
      <c r="A71" s="151" t="s">
        <v>2851</v>
      </c>
      <c r="B71" t="s">
        <v>3410</v>
      </c>
      <c r="C71" s="151" t="s">
        <v>2852</v>
      </c>
      <c r="D71" t="s">
        <v>2852</v>
      </c>
      <c r="E71" s="151" t="s">
        <v>2853</v>
      </c>
      <c r="F71" t="s">
        <v>2420</v>
      </c>
      <c r="G71" s="151" t="s">
        <v>2854</v>
      </c>
      <c r="H71" t="s">
        <v>226</v>
      </c>
      <c r="I71" t="s">
        <v>226</v>
      </c>
      <c r="J71">
        <v>1</v>
      </c>
      <c r="K71" t="b">
        <v>0</v>
      </c>
    </row>
    <row r="72" spans="1:11" x14ac:dyDescent="0.2">
      <c r="A72" s="151" t="s">
        <v>2866</v>
      </c>
      <c r="B72" t="s">
        <v>3410</v>
      </c>
      <c r="C72" s="151" t="s">
        <v>2867</v>
      </c>
      <c r="D72" t="s">
        <v>3410</v>
      </c>
      <c r="E72" s="151" t="s">
        <v>3505</v>
      </c>
      <c r="F72" t="s">
        <v>226</v>
      </c>
      <c r="G72" s="151" t="s">
        <v>2732</v>
      </c>
      <c r="H72" t="s">
        <v>226</v>
      </c>
      <c r="I72" t="s">
        <v>226</v>
      </c>
      <c r="J72">
        <v>-1</v>
      </c>
      <c r="K72" t="b">
        <v>0</v>
      </c>
    </row>
    <row r="73" spans="1:11" x14ac:dyDescent="0.2">
      <c r="A73" s="151" t="s">
        <v>2830</v>
      </c>
      <c r="B73" t="s">
        <v>3410</v>
      </c>
      <c r="C73" s="151" t="s">
        <v>2831</v>
      </c>
      <c r="D73" t="s">
        <v>3410</v>
      </c>
      <c r="E73" s="151" t="s">
        <v>2262</v>
      </c>
      <c r="F73" t="s">
        <v>2255</v>
      </c>
      <c r="G73" s="151" t="s">
        <v>2732</v>
      </c>
      <c r="H73" t="s">
        <v>226</v>
      </c>
      <c r="I73" t="s">
        <v>226</v>
      </c>
      <c r="J73">
        <v>-1</v>
      </c>
      <c r="K73" t="b">
        <v>0</v>
      </c>
    </row>
    <row r="74" spans="1:11" x14ac:dyDescent="0.2">
      <c r="A74" s="151" t="s">
        <v>2828</v>
      </c>
      <c r="B74" t="s">
        <v>3410</v>
      </c>
      <c r="C74" s="151" t="s">
        <v>2829</v>
      </c>
      <c r="D74" t="s">
        <v>3410</v>
      </c>
      <c r="E74" s="151" t="s">
        <v>2263</v>
      </c>
      <c r="F74" t="s">
        <v>2254</v>
      </c>
      <c r="G74" s="151" t="s">
        <v>2732</v>
      </c>
      <c r="H74" t="s">
        <v>226</v>
      </c>
      <c r="I74" t="s">
        <v>226</v>
      </c>
      <c r="J74">
        <v>-1</v>
      </c>
      <c r="K74" t="b">
        <v>0</v>
      </c>
    </row>
    <row r="75" spans="1:11" x14ac:dyDescent="0.2">
      <c r="A75" s="151" t="s">
        <v>2730</v>
      </c>
      <c r="B75" t="s">
        <v>3410</v>
      </c>
      <c r="C75" s="151" t="s">
        <v>2731</v>
      </c>
      <c r="D75" t="s">
        <v>3410</v>
      </c>
      <c r="E75" s="151"/>
      <c r="F75" t="s">
        <v>226</v>
      </c>
      <c r="G75" s="151" t="s">
        <v>2732</v>
      </c>
      <c r="H75" t="s">
        <v>226</v>
      </c>
      <c r="I75" t="s">
        <v>226</v>
      </c>
      <c r="J75">
        <v>-1</v>
      </c>
      <c r="K75" t="b">
        <v>0</v>
      </c>
    </row>
    <row r="76" spans="1:11" x14ac:dyDescent="0.2">
      <c r="A76" s="151" t="s">
        <v>2733</v>
      </c>
      <c r="B76" t="s">
        <v>3410</v>
      </c>
      <c r="C76" s="151" t="s">
        <v>2734</v>
      </c>
      <c r="D76" t="s">
        <v>3410</v>
      </c>
      <c r="E76" s="151"/>
      <c r="F76" t="s">
        <v>226</v>
      </c>
      <c r="G76" s="151" t="s">
        <v>2732</v>
      </c>
      <c r="H76" t="s">
        <v>226</v>
      </c>
      <c r="I76" t="s">
        <v>226</v>
      </c>
      <c r="J76">
        <v>-1</v>
      </c>
      <c r="K76" t="b">
        <v>0</v>
      </c>
    </row>
    <row r="77" spans="1:11" x14ac:dyDescent="0.2">
      <c r="A77" s="151" t="s">
        <v>3506</v>
      </c>
      <c r="B77" t="s">
        <v>3410</v>
      </c>
      <c r="C77" s="151" t="s">
        <v>547</v>
      </c>
      <c r="D77" t="s">
        <v>547</v>
      </c>
      <c r="E77" s="151" t="s">
        <v>2425</v>
      </c>
      <c r="F77" t="s">
        <v>2425</v>
      </c>
      <c r="G77" s="151" t="s">
        <v>2723</v>
      </c>
      <c r="H77" t="s">
        <v>3507</v>
      </c>
      <c r="I77" t="s">
        <v>3507</v>
      </c>
      <c r="J77">
        <v>3</v>
      </c>
      <c r="K77" t="b">
        <v>0</v>
      </c>
    </row>
    <row r="78" spans="1:11" x14ac:dyDescent="0.2">
      <c r="A78" s="151" t="s">
        <v>3508</v>
      </c>
      <c r="B78" t="s">
        <v>3410</v>
      </c>
      <c r="C78" s="151" t="s">
        <v>3509</v>
      </c>
      <c r="D78" t="s">
        <v>3509</v>
      </c>
      <c r="E78" s="151" t="s">
        <v>3510</v>
      </c>
      <c r="F78" t="s">
        <v>3510</v>
      </c>
      <c r="G78" s="151" t="s">
        <v>2723</v>
      </c>
      <c r="H78" t="s">
        <v>226</v>
      </c>
      <c r="I78" t="s">
        <v>226</v>
      </c>
      <c r="K78" t="b">
        <v>0</v>
      </c>
    </row>
    <row r="79" spans="1:11" x14ac:dyDescent="0.2">
      <c r="A79" s="151" t="s">
        <v>2791</v>
      </c>
      <c r="B79" t="s">
        <v>332</v>
      </c>
      <c r="C79" s="151" t="s">
        <v>2792</v>
      </c>
      <c r="D79" t="s">
        <v>2792</v>
      </c>
      <c r="E79" s="151" t="s">
        <v>3511</v>
      </c>
      <c r="F79" t="s">
        <v>334</v>
      </c>
      <c r="G79" s="151" t="s">
        <v>2793</v>
      </c>
      <c r="H79" t="s">
        <v>3512</v>
      </c>
      <c r="I79" t="s">
        <v>3512</v>
      </c>
      <c r="J79">
        <v>1</v>
      </c>
      <c r="K79" t="b">
        <v>0</v>
      </c>
    </row>
    <row r="80" spans="1:11" x14ac:dyDescent="0.2">
      <c r="A80" s="151" t="s">
        <v>2846</v>
      </c>
      <c r="B80" t="s">
        <v>364</v>
      </c>
      <c r="C80" s="151" t="s">
        <v>365</v>
      </c>
      <c r="D80" t="s">
        <v>365</v>
      </c>
      <c r="E80" s="151" t="s">
        <v>3513</v>
      </c>
      <c r="F80" t="s">
        <v>366</v>
      </c>
      <c r="G80" s="151" t="s">
        <v>2793</v>
      </c>
      <c r="H80" t="s">
        <v>3514</v>
      </c>
      <c r="I80" t="s">
        <v>3514</v>
      </c>
      <c r="J80">
        <v>1</v>
      </c>
      <c r="K80" t="b">
        <v>0</v>
      </c>
    </row>
    <row r="81" spans="1:11" x14ac:dyDescent="0.2">
      <c r="A81" s="151" t="s">
        <v>2845</v>
      </c>
      <c r="B81" t="s">
        <v>1318</v>
      </c>
      <c r="C81" s="151" t="s">
        <v>333</v>
      </c>
      <c r="D81" t="s">
        <v>333</v>
      </c>
      <c r="E81" s="151" t="s">
        <v>3515</v>
      </c>
      <c r="F81" t="s">
        <v>1319</v>
      </c>
      <c r="G81" s="151" t="s">
        <v>2793</v>
      </c>
      <c r="H81" t="s">
        <v>3516</v>
      </c>
      <c r="I81" t="s">
        <v>3516</v>
      </c>
      <c r="J81">
        <v>1</v>
      </c>
      <c r="K81" t="b">
        <v>0</v>
      </c>
    </row>
    <row r="82" spans="1:11" x14ac:dyDescent="0.2">
      <c r="A82" s="151" t="s">
        <v>2877</v>
      </c>
      <c r="B82" t="s">
        <v>380</v>
      </c>
      <c r="C82" s="151" t="s">
        <v>381</v>
      </c>
      <c r="D82" t="s">
        <v>381</v>
      </c>
      <c r="E82" s="151" t="s">
        <v>3517</v>
      </c>
      <c r="F82" t="s">
        <v>382</v>
      </c>
      <c r="G82" s="151" t="s">
        <v>2741</v>
      </c>
      <c r="H82" t="s">
        <v>3518</v>
      </c>
      <c r="I82" t="s">
        <v>3518</v>
      </c>
      <c r="J82">
        <v>1</v>
      </c>
      <c r="K82" t="b">
        <v>0</v>
      </c>
    </row>
    <row r="83" spans="1:11" x14ac:dyDescent="0.2">
      <c r="A83" s="151" t="s">
        <v>2878</v>
      </c>
      <c r="B83" t="s">
        <v>392</v>
      </c>
      <c r="C83" s="151" t="s">
        <v>393</v>
      </c>
      <c r="D83" t="s">
        <v>393</v>
      </c>
      <c r="E83" s="151" t="s">
        <v>3519</v>
      </c>
      <c r="F83" t="s">
        <v>394</v>
      </c>
      <c r="G83" s="151" t="s">
        <v>2741</v>
      </c>
      <c r="H83" t="s">
        <v>3520</v>
      </c>
      <c r="I83" t="s">
        <v>3520</v>
      </c>
      <c r="J83">
        <v>1</v>
      </c>
      <c r="K83" t="b">
        <v>0</v>
      </c>
    </row>
    <row r="84" spans="1:11" x14ac:dyDescent="0.2">
      <c r="A84" s="151" t="s">
        <v>2879</v>
      </c>
      <c r="B84" t="s">
        <v>397</v>
      </c>
      <c r="C84" s="151" t="s">
        <v>398</v>
      </c>
      <c r="D84" t="s">
        <v>398</v>
      </c>
      <c r="E84" s="151" t="s">
        <v>399</v>
      </c>
      <c r="F84" t="s">
        <v>399</v>
      </c>
      <c r="G84" s="151" t="s">
        <v>2741</v>
      </c>
      <c r="H84" t="s">
        <v>3521</v>
      </c>
      <c r="I84" t="s">
        <v>3521</v>
      </c>
      <c r="J84">
        <v>1</v>
      </c>
      <c r="K84" t="b">
        <v>0</v>
      </c>
    </row>
    <row r="85" spans="1:11" x14ac:dyDescent="0.2">
      <c r="A85" s="151" t="s">
        <v>2880</v>
      </c>
      <c r="B85" t="s">
        <v>2133</v>
      </c>
      <c r="C85" s="151" t="s">
        <v>374</v>
      </c>
      <c r="D85" t="s">
        <v>374</v>
      </c>
      <c r="E85" s="151" t="s">
        <v>2881</v>
      </c>
      <c r="F85" t="s">
        <v>2134</v>
      </c>
      <c r="G85" s="151" t="s">
        <v>2833</v>
      </c>
      <c r="H85" t="s">
        <v>3522</v>
      </c>
      <c r="I85" t="s">
        <v>3522</v>
      </c>
      <c r="J85">
        <v>1</v>
      </c>
      <c r="K85" t="b">
        <v>0</v>
      </c>
    </row>
    <row r="86" spans="1:11" x14ac:dyDescent="0.2">
      <c r="A86" s="151" t="s">
        <v>2882</v>
      </c>
      <c r="B86" t="s">
        <v>2135</v>
      </c>
      <c r="C86" s="151" t="s">
        <v>2136</v>
      </c>
      <c r="D86" t="s">
        <v>2136</v>
      </c>
      <c r="E86" s="151" t="s">
        <v>2883</v>
      </c>
      <c r="F86" t="s">
        <v>2137</v>
      </c>
      <c r="G86" s="151" t="s">
        <v>2833</v>
      </c>
      <c r="H86" t="s">
        <v>3523</v>
      </c>
      <c r="I86" t="s">
        <v>3523</v>
      </c>
      <c r="J86">
        <v>1</v>
      </c>
      <c r="K86" t="b">
        <v>0</v>
      </c>
    </row>
    <row r="87" spans="1:11" x14ac:dyDescent="0.2">
      <c r="A87" s="151" t="s">
        <v>3524</v>
      </c>
      <c r="B87" t="s">
        <v>390</v>
      </c>
      <c r="C87" s="151" t="s">
        <v>3525</v>
      </c>
      <c r="D87" t="s">
        <v>3525</v>
      </c>
      <c r="E87" s="151" t="s">
        <v>3526</v>
      </c>
      <c r="F87" t="s">
        <v>570</v>
      </c>
      <c r="G87" s="151" t="s">
        <v>2715</v>
      </c>
      <c r="H87" t="s">
        <v>226</v>
      </c>
      <c r="I87" t="s">
        <v>226</v>
      </c>
      <c r="J87">
        <v>3</v>
      </c>
      <c r="K87" t="b">
        <v>0</v>
      </c>
    </row>
    <row r="88" spans="1:11" x14ac:dyDescent="0.2">
      <c r="A88" s="151" t="s">
        <v>3527</v>
      </c>
      <c r="B88" t="s">
        <v>2114</v>
      </c>
      <c r="C88" s="151" t="s">
        <v>2115</v>
      </c>
      <c r="D88" t="s">
        <v>2115</v>
      </c>
      <c r="E88" s="151" t="s">
        <v>3528</v>
      </c>
      <c r="F88" t="s">
        <v>2116</v>
      </c>
      <c r="G88" s="151" t="s">
        <v>2723</v>
      </c>
      <c r="H88" t="s">
        <v>3529</v>
      </c>
      <c r="I88" t="s">
        <v>3529</v>
      </c>
      <c r="J88">
        <v>3</v>
      </c>
      <c r="K88" t="b">
        <v>0</v>
      </c>
    </row>
    <row r="89" spans="1:11" x14ac:dyDescent="0.2">
      <c r="A89" s="151" t="s">
        <v>2756</v>
      </c>
      <c r="B89" t="s">
        <v>856</v>
      </c>
      <c r="C89" s="151" t="s">
        <v>2757</v>
      </c>
      <c r="D89" t="s">
        <v>2757</v>
      </c>
      <c r="E89" s="151" t="s">
        <v>857</v>
      </c>
      <c r="F89" t="s">
        <v>857</v>
      </c>
      <c r="G89" s="151" t="s">
        <v>2735</v>
      </c>
      <c r="H89" t="s">
        <v>3530</v>
      </c>
      <c r="I89" t="s">
        <v>3530</v>
      </c>
      <c r="K89" t="b">
        <v>0</v>
      </c>
    </row>
    <row r="90" spans="1:11" x14ac:dyDescent="0.2">
      <c r="A90" s="151" t="s">
        <v>3531</v>
      </c>
      <c r="B90" t="s">
        <v>2122</v>
      </c>
      <c r="C90" s="151" t="s">
        <v>600</v>
      </c>
      <c r="D90" t="s">
        <v>600</v>
      </c>
      <c r="E90" s="151" t="s">
        <v>2123</v>
      </c>
      <c r="F90" t="s">
        <v>2123</v>
      </c>
      <c r="G90" s="151" t="s">
        <v>2735</v>
      </c>
      <c r="H90" t="s">
        <v>3532</v>
      </c>
      <c r="I90" t="s">
        <v>3532</v>
      </c>
      <c r="K90" t="b">
        <v>0</v>
      </c>
    </row>
    <row r="91" spans="1:11" x14ac:dyDescent="0.2">
      <c r="A91" s="151" t="s">
        <v>2778</v>
      </c>
      <c r="B91" t="s">
        <v>542</v>
      </c>
      <c r="C91" s="151" t="s">
        <v>543</v>
      </c>
      <c r="D91" t="s">
        <v>543</v>
      </c>
      <c r="E91" s="151" t="s">
        <v>3533</v>
      </c>
      <c r="F91" t="s">
        <v>544</v>
      </c>
      <c r="G91" s="151" t="s">
        <v>2755</v>
      </c>
      <c r="H91" t="s">
        <v>3534</v>
      </c>
      <c r="I91" t="s">
        <v>3534</v>
      </c>
      <c r="K91" t="b">
        <v>0</v>
      </c>
    </row>
    <row r="92" spans="1:11" x14ac:dyDescent="0.2">
      <c r="A92" s="151" t="s">
        <v>3535</v>
      </c>
      <c r="B92" t="s">
        <v>615</v>
      </c>
      <c r="C92" s="151" t="s">
        <v>3536</v>
      </c>
      <c r="D92" t="s">
        <v>3536</v>
      </c>
      <c r="E92" s="151" t="s">
        <v>616</v>
      </c>
      <c r="F92" t="s">
        <v>616</v>
      </c>
      <c r="G92" s="151" t="s">
        <v>2723</v>
      </c>
      <c r="H92" t="s">
        <v>3537</v>
      </c>
      <c r="I92" t="s">
        <v>3537</v>
      </c>
      <c r="J92">
        <v>3</v>
      </c>
      <c r="K92" t="b">
        <v>0</v>
      </c>
    </row>
    <row r="93" spans="1:11" x14ac:dyDescent="0.2">
      <c r="A93" s="151" t="s">
        <v>3506</v>
      </c>
      <c r="B93" t="s">
        <v>676</v>
      </c>
      <c r="C93" s="151" t="s">
        <v>3538</v>
      </c>
      <c r="D93" t="s">
        <v>3538</v>
      </c>
      <c r="E93" s="151" t="s">
        <v>677</v>
      </c>
      <c r="F93" t="s">
        <v>677</v>
      </c>
      <c r="G93" s="151" t="s">
        <v>2723</v>
      </c>
      <c r="H93" t="s">
        <v>3539</v>
      </c>
      <c r="I93" t="s">
        <v>3539</v>
      </c>
      <c r="J93">
        <v>3</v>
      </c>
      <c r="K93" t="b">
        <v>0</v>
      </c>
    </row>
    <row r="94" spans="1:11" x14ac:dyDescent="0.2">
      <c r="A94" s="151" t="s">
        <v>2764</v>
      </c>
      <c r="B94" t="s">
        <v>870</v>
      </c>
      <c r="C94" s="151" t="s">
        <v>1767</v>
      </c>
      <c r="D94" t="s">
        <v>1767</v>
      </c>
      <c r="E94" s="151" t="s">
        <v>1768</v>
      </c>
      <c r="F94" t="s">
        <v>1768</v>
      </c>
      <c r="G94" s="151" t="s">
        <v>2755</v>
      </c>
      <c r="H94" t="s">
        <v>3540</v>
      </c>
      <c r="I94" t="s">
        <v>3540</v>
      </c>
      <c r="K94" t="b">
        <v>0</v>
      </c>
    </row>
    <row r="95" spans="1:11" x14ac:dyDescent="0.2">
      <c r="A95" s="151" t="s">
        <v>2765</v>
      </c>
      <c r="B95" t="s">
        <v>874</v>
      </c>
      <c r="C95" s="151" t="s">
        <v>1769</v>
      </c>
      <c r="D95" t="s">
        <v>1769</v>
      </c>
      <c r="E95" s="151" t="s">
        <v>1770</v>
      </c>
      <c r="F95" t="s">
        <v>1770</v>
      </c>
      <c r="G95" s="151" t="s">
        <v>2755</v>
      </c>
      <c r="H95" t="s">
        <v>3541</v>
      </c>
      <c r="I95" t="s">
        <v>3541</v>
      </c>
      <c r="K95" t="b">
        <v>0</v>
      </c>
    </row>
    <row r="96" spans="1:11" x14ac:dyDescent="0.2">
      <c r="A96" s="151" t="s">
        <v>3542</v>
      </c>
      <c r="B96" t="s">
        <v>390</v>
      </c>
      <c r="C96" s="151" t="s">
        <v>3543</v>
      </c>
      <c r="D96" t="s">
        <v>3543</v>
      </c>
      <c r="E96" s="151" t="s">
        <v>3544</v>
      </c>
      <c r="F96" t="s">
        <v>437</v>
      </c>
      <c r="G96" s="151" t="s">
        <v>2715</v>
      </c>
      <c r="H96" t="s">
        <v>226</v>
      </c>
      <c r="I96" t="s">
        <v>226</v>
      </c>
      <c r="J96">
        <v>3</v>
      </c>
      <c r="K96" t="b">
        <v>0</v>
      </c>
    </row>
    <row r="97" spans="1:11" x14ac:dyDescent="0.2">
      <c r="A97" s="151" t="s">
        <v>3545</v>
      </c>
      <c r="B97" t="s">
        <v>475</v>
      </c>
      <c r="C97" s="151" t="s">
        <v>3546</v>
      </c>
      <c r="D97" t="s">
        <v>3546</v>
      </c>
      <c r="E97" s="151" t="s">
        <v>3547</v>
      </c>
      <c r="F97" t="s">
        <v>476</v>
      </c>
      <c r="G97" s="151" t="s">
        <v>2715</v>
      </c>
      <c r="H97" t="s">
        <v>226</v>
      </c>
      <c r="I97" t="s">
        <v>226</v>
      </c>
      <c r="J97">
        <v>2</v>
      </c>
      <c r="K97" t="b">
        <v>0</v>
      </c>
    </row>
    <row r="98" spans="1:11" x14ac:dyDescent="0.2">
      <c r="A98" s="151" t="s">
        <v>2714</v>
      </c>
      <c r="B98" t="s">
        <v>390</v>
      </c>
      <c r="C98" s="151" t="s">
        <v>3548</v>
      </c>
      <c r="D98" t="s">
        <v>3548</v>
      </c>
      <c r="E98" s="151" t="s">
        <v>729</v>
      </c>
      <c r="F98" t="s">
        <v>729</v>
      </c>
      <c r="G98" s="151" t="s">
        <v>2715</v>
      </c>
      <c r="H98" t="s">
        <v>226</v>
      </c>
      <c r="I98" t="s">
        <v>226</v>
      </c>
      <c r="J98">
        <v>1</v>
      </c>
      <c r="K98" t="b">
        <v>0</v>
      </c>
    </row>
    <row r="99" spans="1:11" x14ac:dyDescent="0.2">
      <c r="A99" s="151" t="s">
        <v>3549</v>
      </c>
      <c r="B99" t="s">
        <v>409</v>
      </c>
      <c r="C99" s="151" t="s">
        <v>3550</v>
      </c>
      <c r="D99" t="s">
        <v>3550</v>
      </c>
      <c r="E99" s="151" t="s">
        <v>3551</v>
      </c>
      <c r="F99" t="s">
        <v>795</v>
      </c>
      <c r="G99" s="151" t="s">
        <v>2715</v>
      </c>
      <c r="H99" t="s">
        <v>226</v>
      </c>
      <c r="I99" t="s">
        <v>226</v>
      </c>
      <c r="J99">
        <v>2</v>
      </c>
      <c r="K99" t="b">
        <v>0</v>
      </c>
    </row>
    <row r="100" spans="1:11" x14ac:dyDescent="0.2">
      <c r="A100" s="151" t="s">
        <v>3552</v>
      </c>
      <c r="B100" t="s">
        <v>390</v>
      </c>
      <c r="C100" s="151" t="s">
        <v>3553</v>
      </c>
      <c r="D100" t="s">
        <v>3553</v>
      </c>
      <c r="E100" s="151" t="s">
        <v>3554</v>
      </c>
      <c r="F100" t="s">
        <v>813</v>
      </c>
      <c r="G100" s="151" t="s">
        <v>2715</v>
      </c>
      <c r="H100" t="s">
        <v>226</v>
      </c>
      <c r="I100" t="s">
        <v>226</v>
      </c>
      <c r="K100" t="b">
        <v>0</v>
      </c>
    </row>
    <row r="101" spans="1:11" x14ac:dyDescent="0.2">
      <c r="A101" s="151" t="s">
        <v>2751</v>
      </c>
      <c r="B101" t="s">
        <v>390</v>
      </c>
      <c r="C101" s="151" t="s">
        <v>864</v>
      </c>
      <c r="D101" t="s">
        <v>864</v>
      </c>
      <c r="E101" s="151" t="s">
        <v>2752</v>
      </c>
      <c r="F101" t="s">
        <v>865</v>
      </c>
      <c r="G101" s="151" t="s">
        <v>2715</v>
      </c>
      <c r="H101" t="s">
        <v>226</v>
      </c>
      <c r="I101" t="s">
        <v>226</v>
      </c>
      <c r="J101">
        <v>2</v>
      </c>
      <c r="K101" t="b">
        <v>0</v>
      </c>
    </row>
    <row r="102" spans="1:11" x14ac:dyDescent="0.2">
      <c r="A102" s="151" t="s">
        <v>3555</v>
      </c>
      <c r="B102" t="s">
        <v>830</v>
      </c>
      <c r="C102" s="151" t="s">
        <v>831</v>
      </c>
      <c r="D102" t="s">
        <v>3410</v>
      </c>
      <c r="E102" s="151" t="s">
        <v>2925</v>
      </c>
      <c r="F102" t="s">
        <v>3410</v>
      </c>
      <c r="G102" s="151" t="s">
        <v>2715</v>
      </c>
      <c r="H102" t="s">
        <v>226</v>
      </c>
      <c r="I102" t="s">
        <v>226</v>
      </c>
      <c r="J102">
        <v>2</v>
      </c>
      <c r="K102" t="b">
        <v>0</v>
      </c>
    </row>
    <row r="103" spans="1:11" x14ac:dyDescent="0.2">
      <c r="A103" s="151" t="s">
        <v>2862</v>
      </c>
      <c r="B103" t="s">
        <v>418</v>
      </c>
      <c r="C103" s="151" t="s">
        <v>2863</v>
      </c>
      <c r="D103" t="s">
        <v>2863</v>
      </c>
      <c r="E103" s="151" t="s">
        <v>2864</v>
      </c>
      <c r="F103" t="s">
        <v>932</v>
      </c>
      <c r="G103" s="151" t="s">
        <v>2715</v>
      </c>
      <c r="H103" t="s">
        <v>226</v>
      </c>
      <c r="I103" t="s">
        <v>226</v>
      </c>
      <c r="J103">
        <v>1</v>
      </c>
      <c r="K103" t="b">
        <v>0</v>
      </c>
    </row>
    <row r="104" spans="1:11" x14ac:dyDescent="0.2">
      <c r="A104" s="151" t="s">
        <v>2768</v>
      </c>
      <c r="B104" t="s">
        <v>732</v>
      </c>
      <c r="C104" s="151" t="s">
        <v>733</v>
      </c>
      <c r="D104" t="s">
        <v>733</v>
      </c>
      <c r="E104" s="151" t="s">
        <v>2769</v>
      </c>
      <c r="F104" t="s">
        <v>734</v>
      </c>
      <c r="G104" s="151" t="s">
        <v>2770</v>
      </c>
      <c r="H104" t="s">
        <v>226</v>
      </c>
      <c r="I104" t="s">
        <v>226</v>
      </c>
      <c r="J104">
        <v>1</v>
      </c>
      <c r="K104" t="b">
        <v>0</v>
      </c>
    </row>
    <row r="105" spans="1:11" x14ac:dyDescent="0.2">
      <c r="A105" s="151" t="s">
        <v>2771</v>
      </c>
      <c r="B105" t="s">
        <v>737</v>
      </c>
      <c r="C105" s="151" t="s">
        <v>738</v>
      </c>
      <c r="D105" t="s">
        <v>738</v>
      </c>
      <c r="E105" s="151" t="s">
        <v>2772</v>
      </c>
      <c r="F105" t="s">
        <v>739</v>
      </c>
      <c r="G105" s="151" t="s">
        <v>2770</v>
      </c>
      <c r="H105" t="s">
        <v>226</v>
      </c>
      <c r="I105" t="s">
        <v>226</v>
      </c>
      <c r="J105">
        <v>1</v>
      </c>
      <c r="K105" t="b">
        <v>0</v>
      </c>
    </row>
    <row r="106" spans="1:11" x14ac:dyDescent="0.2">
      <c r="A106" s="151" t="s">
        <v>2822</v>
      </c>
      <c r="B106" t="s">
        <v>742</v>
      </c>
      <c r="C106" s="151" t="s">
        <v>743</v>
      </c>
      <c r="D106" t="s">
        <v>743</v>
      </c>
      <c r="E106" s="151" t="s">
        <v>2823</v>
      </c>
      <c r="F106" t="s">
        <v>744</v>
      </c>
      <c r="G106" s="151" t="s">
        <v>2770</v>
      </c>
      <c r="H106" t="s">
        <v>226</v>
      </c>
      <c r="I106" t="s">
        <v>226</v>
      </c>
      <c r="J106">
        <v>2</v>
      </c>
      <c r="K106" t="b">
        <v>0</v>
      </c>
    </row>
    <row r="107" spans="1:11" x14ac:dyDescent="0.2">
      <c r="A107" s="151" t="s">
        <v>2773</v>
      </c>
      <c r="B107" t="s">
        <v>759</v>
      </c>
      <c r="C107" s="151" t="s">
        <v>760</v>
      </c>
      <c r="D107" t="s">
        <v>760</v>
      </c>
      <c r="E107" s="151" t="s">
        <v>2774</v>
      </c>
      <c r="F107" t="s">
        <v>761</v>
      </c>
      <c r="G107" s="151" t="s">
        <v>2770</v>
      </c>
      <c r="H107" t="s">
        <v>226</v>
      </c>
      <c r="I107" t="s">
        <v>226</v>
      </c>
      <c r="J107">
        <v>1</v>
      </c>
      <c r="K107" t="b">
        <v>0</v>
      </c>
    </row>
    <row r="108" spans="1:11" x14ac:dyDescent="0.2">
      <c r="A108" s="151" t="s">
        <v>2783</v>
      </c>
      <c r="B108" t="s">
        <v>764</v>
      </c>
      <c r="C108" s="151" t="s">
        <v>765</v>
      </c>
      <c r="D108" t="s">
        <v>765</v>
      </c>
      <c r="E108" s="151" t="s">
        <v>2784</v>
      </c>
      <c r="F108" t="s">
        <v>766</v>
      </c>
      <c r="G108" s="151" t="s">
        <v>2770</v>
      </c>
      <c r="H108" t="s">
        <v>226</v>
      </c>
      <c r="I108" t="s">
        <v>226</v>
      </c>
      <c r="J108">
        <v>1</v>
      </c>
      <c r="K108" t="b">
        <v>0</v>
      </c>
    </row>
    <row r="109" spans="1:11" x14ac:dyDescent="0.2">
      <c r="A109" s="151" t="s">
        <v>2794</v>
      </c>
      <c r="B109" t="s">
        <v>446</v>
      </c>
      <c r="C109" s="151" t="s">
        <v>769</v>
      </c>
      <c r="D109" t="s">
        <v>769</v>
      </c>
      <c r="E109" s="151" t="s">
        <v>2795</v>
      </c>
      <c r="F109" t="s">
        <v>770</v>
      </c>
      <c r="G109" s="151" t="s">
        <v>2770</v>
      </c>
      <c r="H109" t="s">
        <v>226</v>
      </c>
      <c r="I109" t="s">
        <v>226</v>
      </c>
      <c r="J109">
        <v>1</v>
      </c>
      <c r="K109" t="b">
        <v>0</v>
      </c>
    </row>
    <row r="110" spans="1:11" x14ac:dyDescent="0.2">
      <c r="A110" s="151" t="s">
        <v>2802</v>
      </c>
      <c r="B110" t="s">
        <v>457</v>
      </c>
      <c r="C110" s="151" t="s">
        <v>773</v>
      </c>
      <c r="D110" t="s">
        <v>773</v>
      </c>
      <c r="E110" s="151" t="s">
        <v>2803</v>
      </c>
      <c r="F110" t="s">
        <v>774</v>
      </c>
      <c r="G110" s="151" t="s">
        <v>2770</v>
      </c>
      <c r="H110" t="s">
        <v>226</v>
      </c>
      <c r="I110" t="s">
        <v>226</v>
      </c>
      <c r="J110">
        <v>1</v>
      </c>
      <c r="K110" t="b">
        <v>0</v>
      </c>
    </row>
    <row r="111" spans="1:11" x14ac:dyDescent="0.2">
      <c r="A111" s="151" t="s">
        <v>2815</v>
      </c>
      <c r="B111" t="s">
        <v>780</v>
      </c>
      <c r="C111" s="151" t="s">
        <v>781</v>
      </c>
      <c r="D111" t="s">
        <v>781</v>
      </c>
      <c r="E111" s="151" t="s">
        <v>2816</v>
      </c>
      <c r="F111" t="s">
        <v>782</v>
      </c>
      <c r="G111" s="151" t="s">
        <v>2770</v>
      </c>
      <c r="H111" t="s">
        <v>226</v>
      </c>
      <c r="I111" t="s">
        <v>226</v>
      </c>
      <c r="J111">
        <v>1</v>
      </c>
      <c r="K111" t="b">
        <v>0</v>
      </c>
    </row>
    <row r="112" spans="1:11" x14ac:dyDescent="0.2">
      <c r="A112" s="151" t="s">
        <v>2817</v>
      </c>
      <c r="B112" t="s">
        <v>785</v>
      </c>
      <c r="C112" s="151" t="s">
        <v>2818</v>
      </c>
      <c r="D112" t="s">
        <v>2818</v>
      </c>
      <c r="E112" s="151" t="s">
        <v>2819</v>
      </c>
      <c r="F112" t="s">
        <v>787</v>
      </c>
      <c r="G112" s="151" t="s">
        <v>2770</v>
      </c>
      <c r="H112" t="s">
        <v>226</v>
      </c>
      <c r="I112" t="s">
        <v>226</v>
      </c>
      <c r="J112">
        <v>1</v>
      </c>
      <c r="K112" t="b">
        <v>0</v>
      </c>
    </row>
    <row r="113" spans="1:11" x14ac:dyDescent="0.2">
      <c r="A113" s="151" t="s">
        <v>2820</v>
      </c>
      <c r="B113" t="s">
        <v>790</v>
      </c>
      <c r="C113" s="151" t="s">
        <v>791</v>
      </c>
      <c r="D113" t="s">
        <v>791</v>
      </c>
      <c r="E113" s="151" t="s">
        <v>2821</v>
      </c>
      <c r="F113" t="s">
        <v>792</v>
      </c>
      <c r="G113" s="151" t="s">
        <v>2770</v>
      </c>
      <c r="H113" t="s">
        <v>226</v>
      </c>
      <c r="I113" t="s">
        <v>226</v>
      </c>
      <c r="J113">
        <v>1</v>
      </c>
      <c r="K113" t="b">
        <v>0</v>
      </c>
    </row>
    <row r="114" spans="1:11" x14ac:dyDescent="0.2">
      <c r="A114" s="151" t="s">
        <v>2826</v>
      </c>
      <c r="B114" t="s">
        <v>798</v>
      </c>
      <c r="C114" s="151" t="s">
        <v>799</v>
      </c>
      <c r="D114" t="s">
        <v>799</v>
      </c>
      <c r="E114" s="151" t="s">
        <v>2827</v>
      </c>
      <c r="F114" t="s">
        <v>800</v>
      </c>
      <c r="G114" s="151" t="s">
        <v>2770</v>
      </c>
      <c r="H114" t="s">
        <v>226</v>
      </c>
      <c r="I114" t="s">
        <v>226</v>
      </c>
      <c r="J114">
        <v>1</v>
      </c>
      <c r="K114" t="b">
        <v>0</v>
      </c>
    </row>
    <row r="115" spans="1:11" x14ac:dyDescent="0.2">
      <c r="A115" s="151" t="s">
        <v>2824</v>
      </c>
      <c r="B115" t="s">
        <v>481</v>
      </c>
      <c r="C115" s="151" t="s">
        <v>860</v>
      </c>
      <c r="D115" t="s">
        <v>860</v>
      </c>
      <c r="E115" s="151" t="s">
        <v>2825</v>
      </c>
      <c r="F115" t="s">
        <v>861</v>
      </c>
      <c r="G115" s="151" t="s">
        <v>2770</v>
      </c>
      <c r="H115" t="s">
        <v>226</v>
      </c>
      <c r="I115" t="s">
        <v>226</v>
      </c>
      <c r="J115">
        <v>2</v>
      </c>
      <c r="K115" t="b">
        <v>0</v>
      </c>
    </row>
    <row r="116" spans="1:11" x14ac:dyDescent="0.2">
      <c r="A116" s="151" t="s">
        <v>3556</v>
      </c>
      <c r="B116" t="s">
        <v>982</v>
      </c>
      <c r="C116" s="151" t="s">
        <v>983</v>
      </c>
      <c r="D116" t="s">
        <v>983</v>
      </c>
      <c r="E116" s="151" t="s">
        <v>3557</v>
      </c>
      <c r="F116" t="s">
        <v>984</v>
      </c>
      <c r="G116" s="151" t="s">
        <v>2770</v>
      </c>
      <c r="H116" t="s">
        <v>226</v>
      </c>
      <c r="I116" t="s">
        <v>226</v>
      </c>
      <c r="K116" t="b">
        <v>0</v>
      </c>
    </row>
    <row r="117" spans="1:11" x14ac:dyDescent="0.2">
      <c r="A117" s="151" t="s">
        <v>2746</v>
      </c>
      <c r="B117" t="s">
        <v>418</v>
      </c>
      <c r="C117" s="151" t="s">
        <v>887</v>
      </c>
      <c r="D117" t="s">
        <v>887</v>
      </c>
      <c r="E117" s="151" t="s">
        <v>2747</v>
      </c>
      <c r="F117" t="s">
        <v>888</v>
      </c>
      <c r="G117" s="151" t="s">
        <v>2748</v>
      </c>
      <c r="H117" t="s">
        <v>226</v>
      </c>
      <c r="I117" t="s">
        <v>226</v>
      </c>
      <c r="J117">
        <v>1</v>
      </c>
      <c r="K117" t="b">
        <v>0</v>
      </c>
    </row>
    <row r="118" spans="1:11" x14ac:dyDescent="0.2">
      <c r="A118" s="151" t="s">
        <v>2749</v>
      </c>
      <c r="B118" t="s">
        <v>418</v>
      </c>
      <c r="C118" s="151" t="s">
        <v>891</v>
      </c>
      <c r="D118" t="s">
        <v>891</v>
      </c>
      <c r="E118" s="151" t="s">
        <v>2750</v>
      </c>
      <c r="F118" t="s">
        <v>892</v>
      </c>
      <c r="G118" s="151" t="s">
        <v>2748</v>
      </c>
      <c r="H118" t="s">
        <v>226</v>
      </c>
      <c r="I118" t="s">
        <v>226</v>
      </c>
      <c r="J118">
        <v>1</v>
      </c>
      <c r="K118" t="b">
        <v>0</v>
      </c>
    </row>
    <row r="119" spans="1:11" x14ac:dyDescent="0.2">
      <c r="A119" s="151" t="s">
        <v>2835</v>
      </c>
      <c r="B119" t="s">
        <v>418</v>
      </c>
      <c r="C119" s="151" t="s">
        <v>2836</v>
      </c>
      <c r="D119" t="s">
        <v>2836</v>
      </c>
      <c r="E119" s="151" t="s">
        <v>2837</v>
      </c>
      <c r="F119" t="s">
        <v>945</v>
      </c>
      <c r="G119" s="151" t="s">
        <v>2748</v>
      </c>
      <c r="H119" t="s">
        <v>226</v>
      </c>
      <c r="I119" t="s">
        <v>226</v>
      </c>
      <c r="J119">
        <v>1</v>
      </c>
      <c r="K119" t="b">
        <v>0</v>
      </c>
    </row>
    <row r="120" spans="1:11" x14ac:dyDescent="0.2">
      <c r="A120" s="151" t="s">
        <v>2718</v>
      </c>
      <c r="B120" t="s">
        <v>581</v>
      </c>
      <c r="C120" s="151" t="s">
        <v>508</v>
      </c>
      <c r="D120" t="s">
        <v>2972</v>
      </c>
      <c r="E120" s="151" t="s">
        <v>3558</v>
      </c>
      <c r="F120" t="s">
        <v>3410</v>
      </c>
      <c r="G120" s="151" t="s">
        <v>2717</v>
      </c>
      <c r="H120" t="s">
        <v>3559</v>
      </c>
      <c r="I120" t="s">
        <v>2972</v>
      </c>
      <c r="K120" t="b">
        <v>0</v>
      </c>
    </row>
    <row r="121" spans="1:11" x14ac:dyDescent="0.2">
      <c r="A121" s="151" t="s">
        <v>2719</v>
      </c>
      <c r="B121" t="s">
        <v>587</v>
      </c>
      <c r="C121" s="151" t="s">
        <v>3560</v>
      </c>
      <c r="D121" t="s">
        <v>3560</v>
      </c>
      <c r="E121" s="151" t="s">
        <v>3561</v>
      </c>
      <c r="F121" t="s">
        <v>588</v>
      </c>
      <c r="G121" s="151" t="s">
        <v>2717</v>
      </c>
      <c r="H121" t="s">
        <v>3562</v>
      </c>
      <c r="I121" t="s">
        <v>2972</v>
      </c>
      <c r="K121" t="b">
        <v>0</v>
      </c>
    </row>
    <row r="122" spans="1:11" x14ac:dyDescent="0.2">
      <c r="A122" s="151" t="s">
        <v>2884</v>
      </c>
      <c r="B122" t="s">
        <v>592</v>
      </c>
      <c r="C122" s="151" t="s">
        <v>596</v>
      </c>
      <c r="D122" t="s">
        <v>596</v>
      </c>
      <c r="E122" s="151" t="s">
        <v>2885</v>
      </c>
      <c r="F122" t="s">
        <v>597</v>
      </c>
      <c r="G122" s="151" t="s">
        <v>2717</v>
      </c>
      <c r="H122" t="s">
        <v>3563</v>
      </c>
      <c r="I122" t="s">
        <v>2972</v>
      </c>
      <c r="K122" t="b">
        <v>0</v>
      </c>
    </row>
    <row r="123" spans="1:11" x14ac:dyDescent="0.2">
      <c r="A123" s="151" t="s">
        <v>2716</v>
      </c>
      <c r="B123" t="s">
        <v>661</v>
      </c>
      <c r="C123" s="151" t="s">
        <v>3564</v>
      </c>
      <c r="D123" t="s">
        <v>3564</v>
      </c>
      <c r="E123" s="151" t="s">
        <v>3565</v>
      </c>
      <c r="F123" t="s">
        <v>662</v>
      </c>
      <c r="G123" s="151" t="s">
        <v>2717</v>
      </c>
      <c r="H123" t="s">
        <v>3566</v>
      </c>
      <c r="I123" t="s">
        <v>2972</v>
      </c>
      <c r="K123" t="b">
        <v>0</v>
      </c>
    </row>
    <row r="124" spans="1:11" x14ac:dyDescent="0.2">
      <c r="A124" s="151" t="s">
        <v>3567</v>
      </c>
      <c r="B124" t="s">
        <v>1881</v>
      </c>
      <c r="C124" s="151" t="s">
        <v>508</v>
      </c>
      <c r="D124" t="s">
        <v>2972</v>
      </c>
      <c r="E124" s="151" t="s">
        <v>1882</v>
      </c>
      <c r="F124" t="s">
        <v>3410</v>
      </c>
      <c r="G124" s="151" t="s">
        <v>3447</v>
      </c>
      <c r="H124" t="s">
        <v>226</v>
      </c>
      <c r="I124" t="s">
        <v>226</v>
      </c>
      <c r="K124" t="b">
        <v>0</v>
      </c>
    </row>
    <row r="125" spans="1:11" x14ac:dyDescent="0.2">
      <c r="A125" s="151" t="s">
        <v>3568</v>
      </c>
      <c r="B125" t="s">
        <v>565</v>
      </c>
      <c r="C125" s="151" t="s">
        <v>508</v>
      </c>
      <c r="D125" t="s">
        <v>2972</v>
      </c>
      <c r="E125" s="151" t="s">
        <v>922</v>
      </c>
      <c r="F125" t="s">
        <v>3410</v>
      </c>
      <c r="G125" s="151" t="s">
        <v>3447</v>
      </c>
      <c r="H125" t="s">
        <v>226</v>
      </c>
      <c r="I125" t="s">
        <v>226</v>
      </c>
      <c r="K125" t="b">
        <v>0</v>
      </c>
    </row>
    <row r="126" spans="1:11" x14ac:dyDescent="0.2">
      <c r="A126" s="151" t="s">
        <v>3569</v>
      </c>
      <c r="B126" t="s">
        <v>1872</v>
      </c>
      <c r="C126" s="151" t="s">
        <v>3570</v>
      </c>
      <c r="D126" t="s">
        <v>3570</v>
      </c>
      <c r="E126" s="151" t="s">
        <v>1873</v>
      </c>
      <c r="F126" t="s">
        <v>1873</v>
      </c>
      <c r="G126" s="151" t="s">
        <v>2723</v>
      </c>
      <c r="H126" t="s">
        <v>3571</v>
      </c>
      <c r="I126" t="s">
        <v>3571</v>
      </c>
      <c r="J126">
        <v>3</v>
      </c>
      <c r="K126" t="b">
        <v>0</v>
      </c>
    </row>
    <row r="127" spans="1:11" x14ac:dyDescent="0.2">
      <c r="A127" s="151" t="s">
        <v>2801</v>
      </c>
      <c r="B127" t="s">
        <v>841</v>
      </c>
      <c r="C127" s="151" t="s">
        <v>988</v>
      </c>
      <c r="D127" t="s">
        <v>988</v>
      </c>
      <c r="E127" s="151" t="s">
        <v>3572</v>
      </c>
      <c r="F127" t="s">
        <v>989</v>
      </c>
      <c r="G127" s="151" t="s">
        <v>2797</v>
      </c>
      <c r="I127" t="s">
        <v>3474</v>
      </c>
      <c r="J127">
        <v>1</v>
      </c>
      <c r="K127" t="b">
        <v>0</v>
      </c>
    </row>
    <row r="128" spans="1:11" x14ac:dyDescent="0.2">
      <c r="A128" s="151" t="s">
        <v>2796</v>
      </c>
      <c r="B128" t="s">
        <v>821</v>
      </c>
      <c r="C128" s="151" t="s">
        <v>995</v>
      </c>
      <c r="D128" t="s">
        <v>995</v>
      </c>
      <c r="E128" s="151" t="s">
        <v>3573</v>
      </c>
      <c r="F128" t="s">
        <v>996</v>
      </c>
      <c r="G128" s="151" t="s">
        <v>2797</v>
      </c>
      <c r="H128" t="s">
        <v>3574</v>
      </c>
      <c r="I128" t="s">
        <v>3474</v>
      </c>
      <c r="J128">
        <v>1</v>
      </c>
      <c r="K128" t="b">
        <v>0</v>
      </c>
    </row>
    <row r="129" spans="1:11" x14ac:dyDescent="0.2">
      <c r="A129" s="151" t="s">
        <v>2798</v>
      </c>
      <c r="B129" t="s">
        <v>827</v>
      </c>
      <c r="C129" s="151" t="s">
        <v>998</v>
      </c>
      <c r="D129" t="s">
        <v>998</v>
      </c>
      <c r="E129" s="151" t="s">
        <v>3575</v>
      </c>
      <c r="F129" t="s">
        <v>999</v>
      </c>
      <c r="G129" s="151" t="s">
        <v>2797</v>
      </c>
      <c r="H129" t="s">
        <v>3576</v>
      </c>
      <c r="I129" t="s">
        <v>3474</v>
      </c>
      <c r="J129">
        <v>1</v>
      </c>
      <c r="K129" t="b">
        <v>0</v>
      </c>
    </row>
    <row r="130" spans="1:11" x14ac:dyDescent="0.2">
      <c r="A130" s="151" t="s">
        <v>2799</v>
      </c>
      <c r="B130" t="s">
        <v>1001</v>
      </c>
      <c r="C130" s="151" t="s">
        <v>1002</v>
      </c>
      <c r="D130" t="s">
        <v>1002</v>
      </c>
      <c r="E130" s="151" t="s">
        <v>3577</v>
      </c>
      <c r="F130" t="s">
        <v>1003</v>
      </c>
      <c r="G130" s="151" t="s">
        <v>2797</v>
      </c>
      <c r="I130" t="s">
        <v>3474</v>
      </c>
      <c r="J130">
        <v>1</v>
      </c>
      <c r="K130" t="b">
        <v>0</v>
      </c>
    </row>
    <row r="131" spans="1:11" x14ac:dyDescent="0.2">
      <c r="A131" s="151" t="s">
        <v>2800</v>
      </c>
      <c r="B131" t="s">
        <v>1005</v>
      </c>
      <c r="C131" s="151" t="s">
        <v>1006</v>
      </c>
      <c r="D131" t="s">
        <v>1006</v>
      </c>
      <c r="E131" s="151" t="s">
        <v>3578</v>
      </c>
      <c r="F131" t="s">
        <v>1007</v>
      </c>
      <c r="G131" s="151" t="s">
        <v>2797</v>
      </c>
      <c r="I131" t="s">
        <v>3474</v>
      </c>
      <c r="J131">
        <v>1</v>
      </c>
      <c r="K131" t="b">
        <v>0</v>
      </c>
    </row>
    <row r="132" spans="1:11" x14ac:dyDescent="0.2">
      <c r="A132" s="151" t="s">
        <v>2807</v>
      </c>
      <c r="B132" t="s">
        <v>904</v>
      </c>
      <c r="C132" s="151" t="s">
        <v>1009</v>
      </c>
      <c r="D132" t="s">
        <v>1009</v>
      </c>
      <c r="E132" s="151" t="s">
        <v>3579</v>
      </c>
      <c r="F132" t="s">
        <v>1010</v>
      </c>
      <c r="G132" s="151" t="s">
        <v>2806</v>
      </c>
      <c r="I132" t="s">
        <v>3474</v>
      </c>
      <c r="J132">
        <v>1</v>
      </c>
      <c r="K132" t="b">
        <v>0</v>
      </c>
    </row>
    <row r="133" spans="1:11" x14ac:dyDescent="0.2">
      <c r="A133" s="151" t="s">
        <v>2808</v>
      </c>
      <c r="B133" t="s">
        <v>1012</v>
      </c>
      <c r="C133" s="151" t="s">
        <v>1013</v>
      </c>
      <c r="D133" t="s">
        <v>1013</v>
      </c>
      <c r="E133" s="151" t="s">
        <v>3580</v>
      </c>
      <c r="F133" t="s">
        <v>1014</v>
      </c>
      <c r="G133" s="151" t="s">
        <v>2806</v>
      </c>
      <c r="I133" t="s">
        <v>3474</v>
      </c>
      <c r="J133">
        <v>1</v>
      </c>
      <c r="K133" t="b">
        <v>0</v>
      </c>
    </row>
    <row r="134" spans="1:11" x14ac:dyDescent="0.2">
      <c r="A134" s="151" t="s">
        <v>2809</v>
      </c>
      <c r="B134" t="s">
        <v>911</v>
      </c>
      <c r="C134" s="151" t="s">
        <v>1016</v>
      </c>
      <c r="D134" t="s">
        <v>1016</v>
      </c>
      <c r="E134" s="151" t="s">
        <v>3581</v>
      </c>
      <c r="F134" t="s">
        <v>1017</v>
      </c>
      <c r="G134" s="151" t="s">
        <v>2806</v>
      </c>
      <c r="I134" t="s">
        <v>3474</v>
      </c>
      <c r="J134">
        <v>1</v>
      </c>
      <c r="K134" t="b">
        <v>0</v>
      </c>
    </row>
    <row r="135" spans="1:11" x14ac:dyDescent="0.2">
      <c r="A135" s="151" t="s">
        <v>2929</v>
      </c>
      <c r="B135" t="s">
        <v>1755</v>
      </c>
      <c r="C135" s="151" t="s">
        <v>508</v>
      </c>
      <c r="D135" t="s">
        <v>2972</v>
      </c>
      <c r="E135" s="151" t="s">
        <v>2930</v>
      </c>
      <c r="F135" t="s">
        <v>3410</v>
      </c>
      <c r="G135" s="151" t="s">
        <v>2745</v>
      </c>
      <c r="H135" t="s">
        <v>226</v>
      </c>
      <c r="I135" t="s">
        <v>226</v>
      </c>
      <c r="K135" t="b">
        <v>0</v>
      </c>
    </row>
    <row r="136" spans="1:11" x14ac:dyDescent="0.2">
      <c r="A136" s="151" t="s">
        <v>2775</v>
      </c>
      <c r="B136" t="s">
        <v>423</v>
      </c>
      <c r="C136" s="151" t="s">
        <v>2776</v>
      </c>
      <c r="D136" t="s">
        <v>2776</v>
      </c>
      <c r="E136" s="151" t="s">
        <v>2777</v>
      </c>
      <c r="F136" t="s">
        <v>424</v>
      </c>
      <c r="G136" s="151" t="s">
        <v>2745</v>
      </c>
      <c r="H136" t="s">
        <v>226</v>
      </c>
      <c r="I136" t="s">
        <v>226</v>
      </c>
      <c r="K136" t="b">
        <v>0</v>
      </c>
    </row>
    <row r="137" spans="1:11" x14ac:dyDescent="0.2">
      <c r="A137" s="151" t="s">
        <v>2857</v>
      </c>
      <c r="B137" t="s">
        <v>429</v>
      </c>
      <c r="C137" s="151" t="s">
        <v>430</v>
      </c>
      <c r="D137" t="s">
        <v>430</v>
      </c>
      <c r="E137" s="151" t="s">
        <v>2858</v>
      </c>
      <c r="F137" t="s">
        <v>431</v>
      </c>
      <c r="G137" s="151" t="s">
        <v>2745</v>
      </c>
      <c r="H137" t="s">
        <v>226</v>
      </c>
      <c r="I137" t="s">
        <v>226</v>
      </c>
      <c r="K137" t="b">
        <v>0</v>
      </c>
    </row>
    <row r="138" spans="1:11" x14ac:dyDescent="0.2">
      <c r="A138" s="151" t="s">
        <v>2742</v>
      </c>
      <c r="B138" t="s">
        <v>467</v>
      </c>
      <c r="C138" s="151" t="s">
        <v>2743</v>
      </c>
      <c r="D138" t="s">
        <v>2743</v>
      </c>
      <c r="E138" s="151" t="s">
        <v>2744</v>
      </c>
      <c r="F138" t="s">
        <v>468</v>
      </c>
      <c r="G138" s="151" t="s">
        <v>2745</v>
      </c>
      <c r="H138" t="s">
        <v>226</v>
      </c>
      <c r="I138" t="s">
        <v>226</v>
      </c>
      <c r="K138" t="b">
        <v>0</v>
      </c>
    </row>
    <row r="139" spans="1:11" x14ac:dyDescent="0.2">
      <c r="A139" s="151" t="s">
        <v>2810</v>
      </c>
      <c r="B139" t="s">
        <v>991</v>
      </c>
      <c r="C139" s="151" t="s">
        <v>992</v>
      </c>
      <c r="D139" t="s">
        <v>992</v>
      </c>
      <c r="E139" s="151" t="s">
        <v>3582</v>
      </c>
      <c r="F139" t="s">
        <v>993</v>
      </c>
      <c r="G139" s="151" t="s">
        <v>2762</v>
      </c>
      <c r="H139" t="s">
        <v>3583</v>
      </c>
      <c r="I139" t="s">
        <v>3474</v>
      </c>
      <c r="J139">
        <v>1</v>
      </c>
      <c r="K139" t="b">
        <v>0</v>
      </c>
    </row>
    <row r="140" spans="1:11" x14ac:dyDescent="0.2">
      <c r="A140" s="151" t="s">
        <v>2812</v>
      </c>
      <c r="B140" t="s">
        <v>1735</v>
      </c>
      <c r="C140" s="151" t="s">
        <v>1736</v>
      </c>
      <c r="D140" t="s">
        <v>1736</v>
      </c>
      <c r="E140" s="151" t="s">
        <v>3584</v>
      </c>
      <c r="F140" t="s">
        <v>1737</v>
      </c>
      <c r="G140" s="151" t="s">
        <v>2762</v>
      </c>
      <c r="H140" t="s">
        <v>3585</v>
      </c>
      <c r="I140" t="s">
        <v>3585</v>
      </c>
      <c r="J140">
        <v>1</v>
      </c>
      <c r="K140" t="b">
        <v>0</v>
      </c>
    </row>
    <row r="141" spans="1:11" x14ac:dyDescent="0.2">
      <c r="A141" s="151" t="s">
        <v>2813</v>
      </c>
      <c r="B141" t="s">
        <v>1733</v>
      </c>
      <c r="C141" s="151" t="s">
        <v>2814</v>
      </c>
      <c r="D141" t="s">
        <v>2814</v>
      </c>
      <c r="E141" s="151" t="s">
        <v>3586</v>
      </c>
      <c r="F141" t="s">
        <v>1734</v>
      </c>
      <c r="G141" s="151" t="s">
        <v>2762</v>
      </c>
      <c r="H141" t="s">
        <v>3587</v>
      </c>
      <c r="I141" t="s">
        <v>3587</v>
      </c>
      <c r="J141">
        <v>1</v>
      </c>
      <c r="K141" t="b">
        <v>0</v>
      </c>
    </row>
    <row r="142" spans="1:11" x14ac:dyDescent="0.2">
      <c r="A142" s="151" t="s">
        <v>2761</v>
      </c>
      <c r="B142" t="s">
        <v>3474</v>
      </c>
      <c r="C142" s="151" t="s">
        <v>489</v>
      </c>
      <c r="D142" t="s">
        <v>489</v>
      </c>
      <c r="E142" s="151" t="s">
        <v>2128</v>
      </c>
      <c r="F142" t="s">
        <v>2128</v>
      </c>
      <c r="G142" s="151" t="s">
        <v>2762</v>
      </c>
      <c r="H142" t="s">
        <v>3588</v>
      </c>
      <c r="I142" t="s">
        <v>2972</v>
      </c>
      <c r="J142">
        <v>1</v>
      </c>
      <c r="K142" t="b">
        <v>0</v>
      </c>
    </row>
    <row r="143" spans="1:11" x14ac:dyDescent="0.2">
      <c r="A143" s="151" t="s">
        <v>2786</v>
      </c>
      <c r="B143" t="s">
        <v>3474</v>
      </c>
      <c r="C143" s="151" t="s">
        <v>1023</v>
      </c>
      <c r="D143" t="s">
        <v>1023</v>
      </c>
      <c r="E143" s="151" t="s">
        <v>3589</v>
      </c>
      <c r="F143" t="s">
        <v>440</v>
      </c>
      <c r="G143" s="151" t="s">
        <v>2738</v>
      </c>
      <c r="H143" t="s">
        <v>3590</v>
      </c>
      <c r="I143" t="s">
        <v>3591</v>
      </c>
      <c r="J143">
        <v>1</v>
      </c>
      <c r="K143" t="b">
        <v>0</v>
      </c>
    </row>
    <row r="144" spans="1:11" x14ac:dyDescent="0.2">
      <c r="A144" s="151" t="s">
        <v>2844</v>
      </c>
      <c r="B144" t="s">
        <v>3474</v>
      </c>
      <c r="C144" s="151" t="s">
        <v>1072</v>
      </c>
      <c r="D144" t="s">
        <v>1072</v>
      </c>
      <c r="E144" s="151" t="s">
        <v>3592</v>
      </c>
      <c r="F144" t="s">
        <v>1779</v>
      </c>
      <c r="G144" s="151" t="s">
        <v>2738</v>
      </c>
      <c r="H144" t="s">
        <v>3593</v>
      </c>
      <c r="I144" t="s">
        <v>3593</v>
      </c>
      <c r="J144">
        <v>1</v>
      </c>
      <c r="K144" t="b">
        <v>0</v>
      </c>
    </row>
    <row r="145" spans="1:11" x14ac:dyDescent="0.2">
      <c r="A145" s="151" t="s">
        <v>2736</v>
      </c>
      <c r="B145" t="s">
        <v>1041</v>
      </c>
      <c r="C145" s="151" t="s">
        <v>1042</v>
      </c>
      <c r="D145" t="s">
        <v>1042</v>
      </c>
      <c r="E145" s="151" t="s">
        <v>2737</v>
      </c>
      <c r="F145" t="s">
        <v>1043</v>
      </c>
      <c r="G145" s="151" t="s">
        <v>2738</v>
      </c>
      <c r="H145" t="s">
        <v>3594</v>
      </c>
      <c r="I145" t="s">
        <v>3594</v>
      </c>
      <c r="J145">
        <v>2</v>
      </c>
      <c r="K145" t="b">
        <v>0</v>
      </c>
    </row>
    <row r="146" spans="1:11" x14ac:dyDescent="0.2">
      <c r="A146" s="151" t="s">
        <v>2789</v>
      </c>
      <c r="B146" t="s">
        <v>947</v>
      </c>
      <c r="C146" s="151" t="s">
        <v>1052</v>
      </c>
      <c r="D146" t="s">
        <v>1052</v>
      </c>
      <c r="E146" s="151" t="s">
        <v>2790</v>
      </c>
      <c r="F146" t="s">
        <v>1053</v>
      </c>
      <c r="G146" s="151" t="s">
        <v>2738</v>
      </c>
      <c r="H146" t="s">
        <v>3595</v>
      </c>
      <c r="I146" t="s">
        <v>3595</v>
      </c>
      <c r="J146">
        <v>2</v>
      </c>
      <c r="K146" t="b">
        <v>0</v>
      </c>
    </row>
    <row r="147" spans="1:11" x14ac:dyDescent="0.2">
      <c r="A147" s="151" t="s">
        <v>2842</v>
      </c>
      <c r="B147" t="s">
        <v>1062</v>
      </c>
      <c r="C147" s="151" t="s">
        <v>1063</v>
      </c>
      <c r="D147" t="s">
        <v>1063</v>
      </c>
      <c r="E147" s="151" t="s">
        <v>2843</v>
      </c>
      <c r="F147" t="s">
        <v>1064</v>
      </c>
      <c r="G147" s="151" t="s">
        <v>2738</v>
      </c>
      <c r="H147" t="s">
        <v>3596</v>
      </c>
      <c r="I147" t="s">
        <v>3596</v>
      </c>
      <c r="J147">
        <v>2</v>
      </c>
      <c r="K147" t="b">
        <v>0</v>
      </c>
    </row>
    <row r="148" spans="1:11" x14ac:dyDescent="0.2">
      <c r="A148" s="151" t="s">
        <v>2919</v>
      </c>
      <c r="B148" t="s">
        <v>463</v>
      </c>
      <c r="C148" s="151" t="s">
        <v>2920</v>
      </c>
      <c r="D148" t="s">
        <v>3410</v>
      </c>
      <c r="E148" s="151" t="s">
        <v>2921</v>
      </c>
      <c r="F148" t="s">
        <v>3410</v>
      </c>
      <c r="G148" s="151" t="s">
        <v>2782</v>
      </c>
      <c r="H148" t="s">
        <v>226</v>
      </c>
      <c r="I148" t="s">
        <v>226</v>
      </c>
      <c r="J148">
        <v>2</v>
      </c>
      <c r="K148" t="b">
        <v>0</v>
      </c>
    </row>
    <row r="149" spans="1:11" x14ac:dyDescent="0.2">
      <c r="A149" s="151" t="s">
        <v>2922</v>
      </c>
      <c r="B149" t="s">
        <v>418</v>
      </c>
      <c r="C149" s="151" t="s">
        <v>2923</v>
      </c>
      <c r="D149" t="s">
        <v>3410</v>
      </c>
      <c r="E149" s="151" t="s">
        <v>2924</v>
      </c>
      <c r="F149" t="s">
        <v>3410</v>
      </c>
      <c r="G149" s="151" t="s">
        <v>2782</v>
      </c>
      <c r="H149" t="s">
        <v>226</v>
      </c>
      <c r="I149" t="s">
        <v>226</v>
      </c>
      <c r="J149">
        <v>2</v>
      </c>
      <c r="K149" t="b">
        <v>0</v>
      </c>
    </row>
    <row r="150" spans="1:11" x14ac:dyDescent="0.2">
      <c r="A150" s="151" t="s">
        <v>2913</v>
      </c>
      <c r="B150" t="s">
        <v>815</v>
      </c>
      <c r="C150" s="151" t="s">
        <v>816</v>
      </c>
      <c r="D150" t="s">
        <v>3410</v>
      </c>
      <c r="E150" s="151" t="s">
        <v>2914</v>
      </c>
      <c r="F150" t="s">
        <v>226</v>
      </c>
      <c r="G150" s="151" t="s">
        <v>2782</v>
      </c>
      <c r="H150" t="s">
        <v>226</v>
      </c>
      <c r="I150" t="s">
        <v>226</v>
      </c>
      <c r="J150">
        <v>1</v>
      </c>
      <c r="K150" t="b">
        <v>0</v>
      </c>
    </row>
    <row r="151" spans="1:11" x14ac:dyDescent="0.2">
      <c r="A151" s="151" t="s">
        <v>2779</v>
      </c>
      <c r="B151" t="s">
        <v>1128</v>
      </c>
      <c r="C151" s="151" t="s">
        <v>2780</v>
      </c>
      <c r="D151" t="s">
        <v>2780</v>
      </c>
      <c r="E151" s="151" t="s">
        <v>2781</v>
      </c>
      <c r="F151" t="s">
        <v>1130</v>
      </c>
      <c r="G151" s="151" t="s">
        <v>2782</v>
      </c>
      <c r="H151" t="s">
        <v>226</v>
      </c>
      <c r="I151" t="s">
        <v>226</v>
      </c>
      <c r="J151">
        <v>1</v>
      </c>
      <c r="K151" t="b">
        <v>0</v>
      </c>
    </row>
    <row r="152" spans="1:11" x14ac:dyDescent="0.2">
      <c r="A152" s="151" t="s">
        <v>2917</v>
      </c>
      <c r="B152" t="s">
        <v>3474</v>
      </c>
      <c r="C152" s="151" t="s">
        <v>1787</v>
      </c>
      <c r="D152" t="s">
        <v>3410</v>
      </c>
      <c r="E152" s="151" t="s">
        <v>2918</v>
      </c>
      <c r="F152" t="s">
        <v>3410</v>
      </c>
      <c r="G152" s="151" t="s">
        <v>2782</v>
      </c>
      <c r="H152" t="s">
        <v>226</v>
      </c>
      <c r="I152" t="s">
        <v>226</v>
      </c>
      <c r="J152">
        <v>-1</v>
      </c>
      <c r="K152" t="b">
        <v>0</v>
      </c>
    </row>
    <row r="153" spans="1:11" x14ac:dyDescent="0.2">
      <c r="A153" s="151" t="s">
        <v>2911</v>
      </c>
      <c r="B153" t="s">
        <v>1376</v>
      </c>
      <c r="C153" s="151" t="s">
        <v>1377</v>
      </c>
      <c r="D153" t="s">
        <v>1377</v>
      </c>
      <c r="E153" s="151" t="s">
        <v>2912</v>
      </c>
      <c r="F153" t="s">
        <v>1378</v>
      </c>
      <c r="G153" s="151" t="s">
        <v>2782</v>
      </c>
      <c r="H153" t="s">
        <v>226</v>
      </c>
      <c r="I153" t="s">
        <v>226</v>
      </c>
      <c r="J153">
        <v>1</v>
      </c>
      <c r="K153" t="b">
        <v>0</v>
      </c>
    </row>
    <row r="154" spans="1:11" x14ac:dyDescent="0.2">
      <c r="A154" s="151" t="s">
        <v>3597</v>
      </c>
      <c r="B154" t="s">
        <v>1688</v>
      </c>
      <c r="C154" s="151" t="s">
        <v>3598</v>
      </c>
      <c r="D154" t="s">
        <v>3598</v>
      </c>
      <c r="E154" s="151" t="s">
        <v>1689</v>
      </c>
      <c r="F154" t="s">
        <v>1689</v>
      </c>
      <c r="G154" s="151" t="s">
        <v>2854</v>
      </c>
      <c r="H154" t="s">
        <v>226</v>
      </c>
      <c r="I154" t="s">
        <v>226</v>
      </c>
      <c r="J154">
        <v>2</v>
      </c>
      <c r="K154" t="b">
        <v>0</v>
      </c>
    </row>
    <row r="155" spans="1:11" x14ac:dyDescent="0.2">
      <c r="A155" s="151" t="s">
        <v>3599</v>
      </c>
      <c r="B155" t="s">
        <v>1324</v>
      </c>
      <c r="C155" s="151" t="s">
        <v>1325</v>
      </c>
      <c r="D155" t="s">
        <v>1325</v>
      </c>
      <c r="E155" s="151" t="s">
        <v>2897</v>
      </c>
      <c r="F155" t="s">
        <v>895</v>
      </c>
      <c r="G155" s="151" t="s">
        <v>2854</v>
      </c>
      <c r="H155" t="s">
        <v>226</v>
      </c>
      <c r="I155" t="s">
        <v>226</v>
      </c>
      <c r="J155">
        <v>1</v>
      </c>
      <c r="K155" t="b">
        <v>0</v>
      </c>
    </row>
    <row r="156" spans="1:11" x14ac:dyDescent="0.2">
      <c r="A156" s="151" t="s">
        <v>2915</v>
      </c>
      <c r="B156" t="s">
        <v>1139</v>
      </c>
      <c r="C156" s="151" t="s">
        <v>1140</v>
      </c>
      <c r="D156" t="s">
        <v>1140</v>
      </c>
      <c r="E156" s="151" t="s">
        <v>2916</v>
      </c>
      <c r="F156" t="s">
        <v>1141</v>
      </c>
      <c r="G156" s="151" t="s">
        <v>2854</v>
      </c>
      <c r="H156" t="s">
        <v>226</v>
      </c>
      <c r="I156" t="s">
        <v>226</v>
      </c>
      <c r="J156">
        <v>1</v>
      </c>
      <c r="K156" t="b">
        <v>0</v>
      </c>
    </row>
    <row r="157" spans="1:11" x14ac:dyDescent="0.2">
      <c r="A157" s="151" t="s">
        <v>2893</v>
      </c>
      <c r="B157" t="s">
        <v>1056</v>
      </c>
      <c r="C157" s="151" t="s">
        <v>1283</v>
      </c>
      <c r="D157" t="s">
        <v>1283</v>
      </c>
      <c r="E157" s="151" t="s">
        <v>1284</v>
      </c>
      <c r="F157" t="s">
        <v>1284</v>
      </c>
      <c r="G157" s="151" t="s">
        <v>2854</v>
      </c>
      <c r="H157" t="s">
        <v>226</v>
      </c>
      <c r="I157" t="s">
        <v>226</v>
      </c>
      <c r="J157">
        <v>1</v>
      </c>
      <c r="K157" t="b">
        <v>0</v>
      </c>
    </row>
    <row r="158" spans="1:11" x14ac:dyDescent="0.2">
      <c r="A158" s="151" t="s">
        <v>2894</v>
      </c>
      <c r="B158" t="s">
        <v>1046</v>
      </c>
      <c r="C158" s="151" t="s">
        <v>1287</v>
      </c>
      <c r="D158" t="s">
        <v>1287</v>
      </c>
      <c r="E158" s="151" t="s">
        <v>1288</v>
      </c>
      <c r="F158" t="s">
        <v>1288</v>
      </c>
      <c r="G158" s="151" t="s">
        <v>2854</v>
      </c>
      <c r="H158" t="s">
        <v>226</v>
      </c>
      <c r="I158" t="s">
        <v>226</v>
      </c>
      <c r="J158">
        <v>1</v>
      </c>
      <c r="K158" t="b">
        <v>0</v>
      </c>
    </row>
    <row r="159" spans="1:11" x14ac:dyDescent="0.2">
      <c r="A159" s="151" t="s">
        <v>2859</v>
      </c>
      <c r="B159" t="s">
        <v>1297</v>
      </c>
      <c r="C159" s="151" t="s">
        <v>2860</v>
      </c>
      <c r="D159" t="s">
        <v>2860</v>
      </c>
      <c r="E159" s="151" t="s">
        <v>2861</v>
      </c>
      <c r="F159" t="s">
        <v>1298</v>
      </c>
      <c r="G159" s="151" t="s">
        <v>2854</v>
      </c>
      <c r="H159" t="s">
        <v>226</v>
      </c>
      <c r="I159" t="s">
        <v>226</v>
      </c>
      <c r="J159">
        <v>1</v>
      </c>
      <c r="K159" t="b">
        <v>0</v>
      </c>
    </row>
    <row r="160" spans="1:11" x14ac:dyDescent="0.2">
      <c r="A160" s="151" t="s">
        <v>2901</v>
      </c>
      <c r="B160" t="s">
        <v>1340</v>
      </c>
      <c r="C160" s="151" t="s">
        <v>1341</v>
      </c>
      <c r="D160" t="s">
        <v>1341</v>
      </c>
      <c r="E160" s="151" t="s">
        <v>3600</v>
      </c>
      <c r="F160" t="s">
        <v>1342</v>
      </c>
      <c r="G160" s="151" t="s">
        <v>2854</v>
      </c>
      <c r="H160" t="s">
        <v>226</v>
      </c>
      <c r="I160" t="s">
        <v>226</v>
      </c>
      <c r="J160">
        <v>1</v>
      </c>
      <c r="K160" t="b">
        <v>0</v>
      </c>
    </row>
    <row r="161" spans="1:11" x14ac:dyDescent="0.2">
      <c r="A161" s="151" t="s">
        <v>2887</v>
      </c>
      <c r="B161" t="s">
        <v>1037</v>
      </c>
      <c r="C161" s="151" t="s">
        <v>1148</v>
      </c>
      <c r="D161" t="s">
        <v>1148</v>
      </c>
      <c r="E161" s="151" t="s">
        <v>1149</v>
      </c>
      <c r="F161" t="s">
        <v>1149</v>
      </c>
      <c r="G161" s="151" t="s">
        <v>2854</v>
      </c>
      <c r="H161" t="s">
        <v>226</v>
      </c>
      <c r="I161" t="s">
        <v>226</v>
      </c>
      <c r="J161">
        <v>1</v>
      </c>
      <c r="K161" t="b">
        <v>0</v>
      </c>
    </row>
    <row r="162" spans="1:11" x14ac:dyDescent="0.2">
      <c r="A162" s="151" t="s">
        <v>2787</v>
      </c>
      <c r="B162" t="s">
        <v>924</v>
      </c>
      <c r="C162" s="151" t="s">
        <v>1026</v>
      </c>
      <c r="D162" t="s">
        <v>1026</v>
      </c>
      <c r="E162" s="151" t="s">
        <v>1027</v>
      </c>
      <c r="F162" t="s">
        <v>1027</v>
      </c>
      <c r="G162" s="151" t="s">
        <v>2732</v>
      </c>
      <c r="H162" t="s">
        <v>3481</v>
      </c>
      <c r="I162" t="s">
        <v>3482</v>
      </c>
      <c r="J162">
        <v>-1</v>
      </c>
      <c r="K162" t="b">
        <v>0</v>
      </c>
    </row>
    <row r="163" spans="1:11" x14ac:dyDescent="0.2">
      <c r="A163" s="151" t="s">
        <v>2785</v>
      </c>
      <c r="B163" t="s">
        <v>929</v>
      </c>
      <c r="C163" s="151" t="s">
        <v>1029</v>
      </c>
      <c r="D163" t="s">
        <v>1029</v>
      </c>
      <c r="E163" s="151" t="s">
        <v>1030</v>
      </c>
      <c r="F163" t="s">
        <v>1030</v>
      </c>
      <c r="G163" s="151" t="s">
        <v>2732</v>
      </c>
      <c r="H163" t="s">
        <v>3478</v>
      </c>
      <c r="I163" t="s">
        <v>3479</v>
      </c>
      <c r="J163">
        <v>-1</v>
      </c>
      <c r="K163" t="b">
        <v>0</v>
      </c>
    </row>
    <row r="164" spans="1:11" x14ac:dyDescent="0.2">
      <c r="A164" s="151" t="s">
        <v>2736</v>
      </c>
      <c r="B164" t="s">
        <v>1032</v>
      </c>
      <c r="C164" s="151" t="s">
        <v>1033</v>
      </c>
      <c r="D164" t="s">
        <v>1033</v>
      </c>
      <c r="E164" s="151" t="s">
        <v>1034</v>
      </c>
      <c r="F164" t="s">
        <v>1034</v>
      </c>
      <c r="G164" s="151" t="s">
        <v>2732</v>
      </c>
      <c r="H164" t="s">
        <v>3484</v>
      </c>
      <c r="I164" t="s">
        <v>3484</v>
      </c>
      <c r="J164">
        <v>-1</v>
      </c>
      <c r="K164" t="b">
        <v>0</v>
      </c>
    </row>
    <row r="165" spans="1:11" x14ac:dyDescent="0.2">
      <c r="A165" s="151" t="s">
        <v>3601</v>
      </c>
      <c r="B165" t="s">
        <v>668</v>
      </c>
      <c r="C165" s="151" t="s">
        <v>3602</v>
      </c>
      <c r="D165" t="s">
        <v>3602</v>
      </c>
      <c r="E165" s="151" t="s">
        <v>669</v>
      </c>
      <c r="F165" t="s">
        <v>669</v>
      </c>
      <c r="G165" s="151" t="s">
        <v>2723</v>
      </c>
      <c r="H165" t="s">
        <v>3603</v>
      </c>
      <c r="I165" t="s">
        <v>3603</v>
      </c>
      <c r="J165">
        <v>3</v>
      </c>
      <c r="K165" t="b">
        <v>0</v>
      </c>
    </row>
    <row r="166" spans="1:11" x14ac:dyDescent="0.2">
      <c r="A166" s="151" t="s">
        <v>3604</v>
      </c>
      <c r="B166" t="s">
        <v>1314</v>
      </c>
      <c r="C166" s="151" t="s">
        <v>1315</v>
      </c>
      <c r="D166" t="s">
        <v>1315</v>
      </c>
      <c r="E166" s="151" t="s">
        <v>1316</v>
      </c>
      <c r="F166" t="s">
        <v>1316</v>
      </c>
      <c r="G166" s="151" t="s">
        <v>2782</v>
      </c>
      <c r="H166" t="s">
        <v>226</v>
      </c>
      <c r="I166" t="s">
        <v>226</v>
      </c>
      <c r="J166">
        <v>2</v>
      </c>
      <c r="K166" t="b">
        <v>0</v>
      </c>
    </row>
    <row r="167" spans="1:11" x14ac:dyDescent="0.2">
      <c r="A167" s="151" t="s">
        <v>3605</v>
      </c>
      <c r="B167" t="s">
        <v>1344</v>
      </c>
      <c r="C167" s="151" t="s">
        <v>3606</v>
      </c>
      <c r="D167" t="s">
        <v>3606</v>
      </c>
      <c r="E167" s="151" t="s">
        <v>1345</v>
      </c>
      <c r="F167" t="s">
        <v>1345</v>
      </c>
      <c r="G167" s="151" t="s">
        <v>2723</v>
      </c>
      <c r="I167" t="s">
        <v>2972</v>
      </c>
      <c r="K167" t="b">
        <v>0</v>
      </c>
    </row>
    <row r="168" spans="1:11" x14ac:dyDescent="0.2">
      <c r="A168" s="151" t="s">
        <v>3607</v>
      </c>
      <c r="B168" t="s">
        <v>1347</v>
      </c>
      <c r="C168" s="151" t="s">
        <v>3608</v>
      </c>
      <c r="D168" t="s">
        <v>3608</v>
      </c>
      <c r="E168" s="151" t="s">
        <v>1348</v>
      </c>
      <c r="F168" t="s">
        <v>1348</v>
      </c>
      <c r="G168" s="151" t="s">
        <v>2723</v>
      </c>
      <c r="I168" t="s">
        <v>2972</v>
      </c>
      <c r="K168" t="b">
        <v>0</v>
      </c>
    </row>
    <row r="169" spans="1:11" x14ac:dyDescent="0.2">
      <c r="A169" s="151" t="s">
        <v>3609</v>
      </c>
      <c r="B169" t="s">
        <v>1353</v>
      </c>
      <c r="C169" s="151" t="s">
        <v>3610</v>
      </c>
      <c r="D169" t="s">
        <v>3610</v>
      </c>
      <c r="E169" s="151" t="s">
        <v>1354</v>
      </c>
      <c r="F169" t="s">
        <v>1354</v>
      </c>
      <c r="G169" s="151" t="s">
        <v>2723</v>
      </c>
      <c r="H169" t="s">
        <v>226</v>
      </c>
      <c r="I169" t="s">
        <v>226</v>
      </c>
      <c r="K169" t="b">
        <v>0</v>
      </c>
    </row>
    <row r="170" spans="1:11" x14ac:dyDescent="0.2">
      <c r="A170" s="151" t="s">
        <v>3611</v>
      </c>
      <c r="B170" t="s">
        <v>1359</v>
      </c>
      <c r="C170" s="151" t="s">
        <v>1365</v>
      </c>
      <c r="D170" t="s">
        <v>1365</v>
      </c>
      <c r="E170" s="151" t="s">
        <v>1360</v>
      </c>
      <c r="F170" t="s">
        <v>1360</v>
      </c>
      <c r="G170" s="151" t="s">
        <v>2723</v>
      </c>
      <c r="I170" t="s">
        <v>2972</v>
      </c>
      <c r="K170" t="b">
        <v>0</v>
      </c>
    </row>
    <row r="171" spans="1:11" x14ac:dyDescent="0.2">
      <c r="A171" s="151" t="s">
        <v>3612</v>
      </c>
      <c r="B171" t="s">
        <v>969</v>
      </c>
      <c r="C171" s="151" t="s">
        <v>508</v>
      </c>
      <c r="D171" t="s">
        <v>2972</v>
      </c>
      <c r="E171" s="151" t="s">
        <v>970</v>
      </c>
      <c r="F171" t="s">
        <v>3410</v>
      </c>
      <c r="G171" s="151" t="s">
        <v>3447</v>
      </c>
      <c r="H171" t="s">
        <v>226</v>
      </c>
      <c r="I171" t="s">
        <v>226</v>
      </c>
      <c r="J171">
        <v>1</v>
      </c>
      <c r="K171" t="b">
        <v>0</v>
      </c>
    </row>
  </sheetData>
  <mergeCells count="1">
    <mergeCell ref="A1:L1"/>
  </mergeCells>
  <phoneticPr fontId="47" type="noConversion"/>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D70F-F209-4A6B-9231-9837DA6A0E90}">
  <sheetPr codeName="Sheet3"/>
  <dimension ref="A1:N109"/>
  <sheetViews>
    <sheetView topLeftCell="A64" workbookViewId="0">
      <selection activeCell="C4" sqref="C4"/>
    </sheetView>
  </sheetViews>
  <sheetFormatPr defaultRowHeight="14.25" x14ac:dyDescent="0.2"/>
  <cols>
    <col min="1" max="1" width="16.109375" bestFit="1" customWidth="1"/>
    <col min="2" max="2" width="14.5546875" bestFit="1" customWidth="1"/>
    <col min="3" max="3" width="14.33203125" bestFit="1" customWidth="1"/>
    <col min="4" max="4" width="12.33203125" bestFit="1" customWidth="1"/>
    <col min="5" max="5" width="13.21875" bestFit="1" customWidth="1"/>
    <col min="6" max="6" width="17.33203125" bestFit="1" customWidth="1"/>
    <col min="7" max="7" width="34.6640625" bestFit="1" customWidth="1"/>
    <col min="8" max="8" width="31.33203125" customWidth="1"/>
    <col min="9" max="9" width="35.6640625" bestFit="1" customWidth="1"/>
    <col min="10" max="10" width="26" bestFit="1" customWidth="1"/>
    <col min="11" max="11" width="15.6640625" bestFit="1" customWidth="1"/>
    <col min="12" max="12" width="12.6640625" bestFit="1" customWidth="1"/>
    <col min="13" max="13" width="11.33203125" bestFit="1" customWidth="1"/>
  </cols>
  <sheetData>
    <row r="1" spans="1:14" x14ac:dyDescent="0.2">
      <c r="A1" t="s">
        <v>2933</v>
      </c>
      <c r="B1" t="s">
        <v>2934</v>
      </c>
      <c r="C1" t="s">
        <v>2935</v>
      </c>
      <c r="D1" t="s">
        <v>2936</v>
      </c>
      <c r="E1" t="s">
        <v>2937</v>
      </c>
      <c r="F1" t="s">
        <v>2938</v>
      </c>
      <c r="G1" t="s">
        <v>273</v>
      </c>
      <c r="H1" t="s">
        <v>2939</v>
      </c>
      <c r="I1" t="s">
        <v>2940</v>
      </c>
      <c r="J1" t="s">
        <v>2941</v>
      </c>
      <c r="K1" t="s">
        <v>2942</v>
      </c>
      <c r="L1" t="s">
        <v>2943</v>
      </c>
      <c r="M1" t="s">
        <v>2944</v>
      </c>
      <c r="N1" s="76" t="s">
        <v>2171</v>
      </c>
    </row>
    <row r="2" spans="1:14" x14ac:dyDescent="0.2">
      <c r="A2" s="151" t="s">
        <v>1600</v>
      </c>
      <c r="B2" s="265">
        <v>45373.007696759261</v>
      </c>
      <c r="C2" s="265">
        <v>45954.786527777775</v>
      </c>
      <c r="D2" s="151" t="s">
        <v>2945</v>
      </c>
      <c r="E2" s="151" t="s">
        <v>3066</v>
      </c>
      <c r="F2" s="151" t="s">
        <v>403</v>
      </c>
      <c r="G2" s="151" t="s">
        <v>1249</v>
      </c>
      <c r="H2" s="265">
        <v>2958465.999988426</v>
      </c>
      <c r="I2" s="151" t="s">
        <v>3067</v>
      </c>
      <c r="J2" s="151" t="s">
        <v>3068</v>
      </c>
      <c r="K2" s="151" t="s">
        <v>3069</v>
      </c>
      <c r="L2" s="151" t="s">
        <v>2966</v>
      </c>
      <c r="M2" s="151" t="s">
        <v>2950</v>
      </c>
      <c r="N2" s="12">
        <f>_xlfn.XLOOKUP(IntuneData[[#This Row],[Serial number]], ITEquipmentTable[Serial], ITEquipmentTable[Key], -1)</f>
        <v>499</v>
      </c>
    </row>
    <row r="3" spans="1:14" x14ac:dyDescent="0.2">
      <c r="A3" s="151" t="s">
        <v>1638</v>
      </c>
      <c r="B3" s="265">
        <v>45378.198113425926</v>
      </c>
      <c r="C3" s="265">
        <v>45951.576736111114</v>
      </c>
      <c r="D3" s="151" t="s">
        <v>2945</v>
      </c>
      <c r="E3" s="151" t="s">
        <v>3133</v>
      </c>
      <c r="F3" s="151" t="s">
        <v>3134</v>
      </c>
      <c r="G3" s="151" t="s">
        <v>3135</v>
      </c>
      <c r="H3" s="265">
        <v>2958465.999988426</v>
      </c>
      <c r="I3" s="151" t="s">
        <v>3136</v>
      </c>
      <c r="J3" s="151" t="s">
        <v>3137</v>
      </c>
      <c r="K3" s="151" t="s">
        <v>3138</v>
      </c>
      <c r="L3" s="151" t="s">
        <v>2966</v>
      </c>
      <c r="M3" s="151" t="s">
        <v>2950</v>
      </c>
      <c r="N3" s="12">
        <f>_xlfn.XLOOKUP(IntuneData[[#This Row],[Serial number]], ITEquipmentTable[Serial], ITEquipmentTable[Key], -1)</f>
        <v>645</v>
      </c>
    </row>
    <row r="4" spans="1:14" x14ac:dyDescent="0.2">
      <c r="A4" s="151" t="s">
        <v>1597</v>
      </c>
      <c r="B4" s="265">
        <v>45372.736076388886</v>
      </c>
      <c r="C4" s="265">
        <v>45954.735729166663</v>
      </c>
      <c r="D4" s="151" t="s">
        <v>3222</v>
      </c>
      <c r="E4" s="151" t="s">
        <v>1596</v>
      </c>
      <c r="F4" s="151" t="s">
        <v>403</v>
      </c>
      <c r="G4" s="151" t="s">
        <v>1155</v>
      </c>
      <c r="H4" s="265">
        <v>2958465.999988426</v>
      </c>
      <c r="I4" s="151" t="s">
        <v>3285</v>
      </c>
      <c r="J4" s="151" t="s">
        <v>3286</v>
      </c>
      <c r="K4" s="151" t="s">
        <v>3287</v>
      </c>
      <c r="L4" s="151" t="s">
        <v>2966</v>
      </c>
      <c r="M4" s="151" t="s">
        <v>2950</v>
      </c>
      <c r="N4" s="12">
        <f>_xlfn.XLOOKUP(IntuneData[[#This Row],[Serial number]], ITEquipmentTable[Serial], ITEquipmentTable[Key], -1)</f>
        <v>38</v>
      </c>
    </row>
    <row r="5" spans="1:14" x14ac:dyDescent="0.2">
      <c r="A5" s="151" t="s">
        <v>2290</v>
      </c>
      <c r="B5" s="265">
        <v>45805.826493055552</v>
      </c>
      <c r="C5" s="265">
        <v>45954.916412037041</v>
      </c>
      <c r="D5" s="151" t="s">
        <v>2945</v>
      </c>
      <c r="E5" s="151" t="s">
        <v>1380</v>
      </c>
      <c r="F5" s="151" t="s">
        <v>403</v>
      </c>
      <c r="G5" s="151" t="s">
        <v>1179</v>
      </c>
      <c r="H5" s="265">
        <v>2958465.999988426</v>
      </c>
      <c r="I5" s="151" t="s">
        <v>3022</v>
      </c>
      <c r="J5" s="151" t="s">
        <v>3023</v>
      </c>
      <c r="K5" s="151" t="s">
        <v>3024</v>
      </c>
      <c r="L5" s="151" t="s">
        <v>2966</v>
      </c>
      <c r="M5" s="151" t="s">
        <v>2950</v>
      </c>
      <c r="N5" s="12">
        <f>_xlfn.XLOOKUP(IntuneData[[#This Row],[Serial number]], ITEquipmentTable[Serial], ITEquipmentTable[Key], -1)</f>
        <v>118</v>
      </c>
    </row>
    <row r="6" spans="1:14" x14ac:dyDescent="0.2">
      <c r="A6" s="151" t="s">
        <v>1612</v>
      </c>
      <c r="B6" s="265">
        <v>45373.326451427471</v>
      </c>
      <c r="C6" s="265">
        <v>45955.422991550928</v>
      </c>
      <c r="D6" s="151" t="s">
        <v>2945</v>
      </c>
      <c r="E6" s="151" t="s">
        <v>1422</v>
      </c>
      <c r="F6" s="151" t="s">
        <v>403</v>
      </c>
      <c r="G6" s="151" t="s">
        <v>1179</v>
      </c>
      <c r="H6" s="265">
        <v>2958465.9999999614</v>
      </c>
      <c r="I6" s="151" t="s">
        <v>3090</v>
      </c>
      <c r="J6" s="151" t="s">
        <v>3091</v>
      </c>
      <c r="K6" s="151" t="s">
        <v>3092</v>
      </c>
      <c r="L6" s="151" t="s">
        <v>2949</v>
      </c>
      <c r="M6" s="151" t="s">
        <v>2950</v>
      </c>
      <c r="N6" s="12">
        <f>_xlfn.XLOOKUP(IntuneData[[#This Row],[Serial number]], ITEquipmentTable[Serial], ITEquipmentTable[Key], -1)</f>
        <v>583</v>
      </c>
    </row>
    <row r="7" spans="1:14" x14ac:dyDescent="0.2">
      <c r="A7" s="151" t="s">
        <v>2333</v>
      </c>
      <c r="B7" s="265">
        <v>45771.573018325616</v>
      </c>
      <c r="C7" s="265">
        <v>45955.844677777779</v>
      </c>
      <c r="D7" s="151" t="s">
        <v>3301</v>
      </c>
      <c r="E7" s="151" t="s">
        <v>1568</v>
      </c>
      <c r="F7" s="151" t="s">
        <v>403</v>
      </c>
      <c r="G7" s="151" t="s">
        <v>1155</v>
      </c>
      <c r="H7" s="265">
        <v>2958465.9999999614</v>
      </c>
      <c r="I7" s="151" t="s">
        <v>3302</v>
      </c>
      <c r="J7" s="151" t="s">
        <v>3303</v>
      </c>
      <c r="K7" s="151" t="s">
        <v>3304</v>
      </c>
      <c r="L7" s="151" t="s">
        <v>2966</v>
      </c>
      <c r="M7" s="151" t="s">
        <v>2950</v>
      </c>
      <c r="N7" s="12">
        <f>_xlfn.XLOOKUP(IntuneData[[#This Row],[Serial number]], ITEquipmentTable[Serial], ITEquipmentTable[Key], -1)</f>
        <v>171</v>
      </c>
    </row>
    <row r="8" spans="1:14" x14ac:dyDescent="0.2">
      <c r="A8" s="151" t="s">
        <v>2267</v>
      </c>
      <c r="B8" s="265">
        <v>45911.502951388888</v>
      </c>
      <c r="C8" s="265">
        <v>45954.50309027778</v>
      </c>
      <c r="D8" s="151" t="s">
        <v>2945</v>
      </c>
      <c r="E8" s="151" t="s">
        <v>2973</v>
      </c>
      <c r="F8" s="151" t="s">
        <v>403</v>
      </c>
      <c r="G8" s="151" t="s">
        <v>2974</v>
      </c>
      <c r="H8" s="265">
        <v>2958465.999988426</v>
      </c>
      <c r="I8" s="151" t="s">
        <v>2975</v>
      </c>
      <c r="J8" s="151" t="s">
        <v>2976</v>
      </c>
      <c r="K8" s="151" t="s">
        <v>2977</v>
      </c>
      <c r="L8" s="151" t="s">
        <v>2966</v>
      </c>
      <c r="M8" s="151" t="s">
        <v>2950</v>
      </c>
      <c r="N8" s="12">
        <f>_xlfn.XLOOKUP(IntuneData[[#This Row],[Serial number]], ITEquipmentTable[Serial], ITEquipmentTable[Key], -1)</f>
        <v>-1</v>
      </c>
    </row>
    <row r="9" spans="1:14" x14ac:dyDescent="0.2">
      <c r="A9" s="151" t="s">
        <v>2372</v>
      </c>
      <c r="B9" s="265">
        <v>45429.722395833334</v>
      </c>
      <c r="C9" s="265">
        <v>45951.818657407406</v>
      </c>
      <c r="D9" s="151" t="s">
        <v>3222</v>
      </c>
      <c r="E9" s="151" t="s">
        <v>3319</v>
      </c>
      <c r="F9" s="151" t="s">
        <v>403</v>
      </c>
      <c r="G9" s="151" t="s">
        <v>3320</v>
      </c>
      <c r="H9" s="265">
        <v>2958465.999988426</v>
      </c>
      <c r="I9" s="151" t="s">
        <v>2975</v>
      </c>
      <c r="J9" s="151" t="s">
        <v>2976</v>
      </c>
      <c r="K9" s="151" t="s">
        <v>3321</v>
      </c>
      <c r="L9" s="151" t="s">
        <v>2949</v>
      </c>
      <c r="M9" s="151" t="s">
        <v>2950</v>
      </c>
      <c r="N9" s="12">
        <f>_xlfn.XLOOKUP(IntuneData[[#This Row],[Serial number]], ITEquipmentTable[Serial], ITEquipmentTable[Key], -1)</f>
        <v>-1</v>
      </c>
    </row>
    <row r="10" spans="1:14" x14ac:dyDescent="0.2">
      <c r="A10" s="151" t="s">
        <v>1619</v>
      </c>
      <c r="B10" s="265">
        <v>45372.791076388887</v>
      </c>
      <c r="C10" s="265">
        <v>45954.887673611112</v>
      </c>
      <c r="D10" s="151" t="s">
        <v>2945</v>
      </c>
      <c r="E10" s="151" t="s">
        <v>3107</v>
      </c>
      <c r="F10" s="151" t="s">
        <v>403</v>
      </c>
      <c r="G10" s="151" t="s">
        <v>2957</v>
      </c>
      <c r="H10" s="265">
        <v>2958465.999988426</v>
      </c>
      <c r="I10" s="151" t="s">
        <v>3108</v>
      </c>
      <c r="J10" s="151" t="s">
        <v>3109</v>
      </c>
      <c r="K10" s="151" t="s">
        <v>3110</v>
      </c>
      <c r="L10" s="151" t="s">
        <v>2986</v>
      </c>
      <c r="M10" s="151" t="s">
        <v>2950</v>
      </c>
      <c r="N10" s="12">
        <f>_xlfn.XLOOKUP(IntuneData[[#This Row],[Serial number]], ITEquipmentTable[Serial], ITEquipmentTable[Key], -1)</f>
        <v>554</v>
      </c>
    </row>
    <row r="11" spans="1:14" x14ac:dyDescent="0.2">
      <c r="A11" s="151" t="s">
        <v>1108</v>
      </c>
      <c r="B11" s="265">
        <v>45390.599421296298</v>
      </c>
      <c r="C11" s="265">
        <v>45948.696145833332</v>
      </c>
      <c r="D11" s="151" t="s">
        <v>3216</v>
      </c>
      <c r="E11" s="151" t="s">
        <v>1106</v>
      </c>
      <c r="F11" s="151" t="s">
        <v>403</v>
      </c>
      <c r="G11" s="151" t="s">
        <v>960</v>
      </c>
      <c r="H11" s="265">
        <v>45390.603020833332</v>
      </c>
      <c r="I11" s="151" t="s">
        <v>3317</v>
      </c>
      <c r="J11" s="151" t="s">
        <v>3318</v>
      </c>
      <c r="K11" s="151" t="s">
        <v>2972</v>
      </c>
      <c r="L11" s="151" t="s">
        <v>2972</v>
      </c>
      <c r="M11" s="151" t="s">
        <v>2992</v>
      </c>
      <c r="N11" s="12">
        <f>_xlfn.XLOOKUP(IntuneData[[#This Row],[Serial number]], ITEquipmentTable[Serial], ITEquipmentTable[Key], -1)</f>
        <v>267</v>
      </c>
    </row>
    <row r="12" spans="1:14" x14ac:dyDescent="0.2">
      <c r="A12" s="151" t="s">
        <v>1643</v>
      </c>
      <c r="B12" s="265">
        <v>45376.067494444447</v>
      </c>
      <c r="C12" s="265">
        <v>45955.908660686728</v>
      </c>
      <c r="D12" s="151" t="s">
        <v>2945</v>
      </c>
      <c r="E12" s="151" t="s">
        <v>3150</v>
      </c>
      <c r="F12" s="151" t="s">
        <v>403</v>
      </c>
      <c r="G12" s="151" t="s">
        <v>1624</v>
      </c>
      <c r="H12" s="265">
        <v>2958465.9999999614</v>
      </c>
      <c r="I12" s="151" t="s">
        <v>3151</v>
      </c>
      <c r="J12" s="151" t="s">
        <v>3152</v>
      </c>
      <c r="K12" s="151" t="s">
        <v>3153</v>
      </c>
      <c r="L12" s="151" t="s">
        <v>3154</v>
      </c>
      <c r="M12" s="151" t="s">
        <v>2950</v>
      </c>
      <c r="N12" s="12">
        <f>_xlfn.XLOOKUP(IntuneData[[#This Row],[Serial number]], ITEquipmentTable[Serial], ITEquipmentTable[Key], -1)</f>
        <v>647</v>
      </c>
    </row>
    <row r="13" spans="1:14" x14ac:dyDescent="0.2">
      <c r="A13" s="151" t="s">
        <v>1274</v>
      </c>
      <c r="B13" s="265">
        <v>45433.623842592591</v>
      </c>
      <c r="C13" s="265">
        <v>45954.47084490741</v>
      </c>
      <c r="D13" s="151" t="s">
        <v>3222</v>
      </c>
      <c r="E13" s="151" t="s">
        <v>3223</v>
      </c>
      <c r="F13" s="151" t="s">
        <v>403</v>
      </c>
      <c r="G13" s="151" t="s">
        <v>2974</v>
      </c>
      <c r="H13" s="265">
        <v>2958465.999988426</v>
      </c>
      <c r="I13" s="151" t="s">
        <v>3224</v>
      </c>
      <c r="J13" s="151" t="s">
        <v>3225</v>
      </c>
      <c r="K13" s="151" t="s">
        <v>3226</v>
      </c>
      <c r="L13" s="151" t="s">
        <v>2949</v>
      </c>
      <c r="M13" s="151" t="s">
        <v>2950</v>
      </c>
      <c r="N13" s="12">
        <f>_xlfn.XLOOKUP(IntuneData[[#This Row],[Serial number]], ITEquipmentTable[Serial], ITEquipmentTable[Key], -1)</f>
        <v>605</v>
      </c>
    </row>
    <row r="14" spans="1:14" x14ac:dyDescent="0.2">
      <c r="A14" s="151" t="s">
        <v>1649</v>
      </c>
      <c r="B14" s="265">
        <v>45372.733419714503</v>
      </c>
      <c r="C14" s="265">
        <v>45955.90874239969</v>
      </c>
      <c r="D14" s="151" t="s">
        <v>2945</v>
      </c>
      <c r="E14" s="151" t="s">
        <v>3155</v>
      </c>
      <c r="F14" s="151" t="s">
        <v>403</v>
      </c>
      <c r="G14" s="151" t="s">
        <v>2968</v>
      </c>
      <c r="H14" s="265">
        <v>2958465.9999999614</v>
      </c>
      <c r="I14" s="151" t="s">
        <v>3156</v>
      </c>
      <c r="J14" s="151" t="s">
        <v>3157</v>
      </c>
      <c r="K14" s="151" t="s">
        <v>3158</v>
      </c>
      <c r="L14" s="151" t="s">
        <v>2949</v>
      </c>
      <c r="M14" s="151" t="s">
        <v>2950</v>
      </c>
      <c r="N14" s="12">
        <f>_xlfn.XLOOKUP(IntuneData[[#This Row],[Serial number]], ITEquipmentTable[Serial], ITEquipmentTable[Key], -1)</f>
        <v>563</v>
      </c>
    </row>
    <row r="15" spans="1:14" x14ac:dyDescent="0.2">
      <c r="A15" s="151" t="s">
        <v>1587</v>
      </c>
      <c r="B15" s="265">
        <v>45378.759885185187</v>
      </c>
      <c r="C15" s="265">
        <v>45955.855860069445</v>
      </c>
      <c r="D15" s="151" t="s">
        <v>2945</v>
      </c>
      <c r="E15" s="151" t="s">
        <v>3046</v>
      </c>
      <c r="F15" s="151" t="s">
        <v>403</v>
      </c>
      <c r="G15" s="151" t="s">
        <v>2957</v>
      </c>
      <c r="H15" s="265">
        <v>2958465.9999999614</v>
      </c>
      <c r="I15" s="151" t="s">
        <v>3047</v>
      </c>
      <c r="J15" s="151" t="s">
        <v>3048</v>
      </c>
      <c r="K15" s="151" t="s">
        <v>3049</v>
      </c>
      <c r="L15" s="151" t="s">
        <v>2966</v>
      </c>
      <c r="M15" s="151" t="s">
        <v>2950</v>
      </c>
      <c r="N15" s="12">
        <f>_xlfn.XLOOKUP(IntuneData[[#This Row],[Serial number]], ITEquipmentTable[Serial], ITEquipmentTable[Key], -1)</f>
        <v>181</v>
      </c>
    </row>
    <row r="16" spans="1:14" x14ac:dyDescent="0.2">
      <c r="A16" s="151" t="s">
        <v>1661</v>
      </c>
      <c r="B16" s="265">
        <v>45673.025751118825</v>
      </c>
      <c r="C16" s="265">
        <v>45955.773791203705</v>
      </c>
      <c r="D16" s="151" t="s">
        <v>2945</v>
      </c>
      <c r="E16" s="151" t="s">
        <v>1660</v>
      </c>
      <c r="F16" s="151" t="s">
        <v>403</v>
      </c>
      <c r="G16" s="151" t="s">
        <v>2968</v>
      </c>
      <c r="H16" s="265">
        <v>2958465.9999999614</v>
      </c>
      <c r="I16" s="151" t="s">
        <v>3047</v>
      </c>
      <c r="J16" s="151" t="s">
        <v>3048</v>
      </c>
      <c r="K16" s="151" t="s">
        <v>3175</v>
      </c>
      <c r="L16" s="151" t="s">
        <v>3176</v>
      </c>
      <c r="M16" s="151" t="s">
        <v>2950</v>
      </c>
      <c r="N16" s="12">
        <f>_xlfn.XLOOKUP(IntuneData[[#This Row],[Serial number]], ITEquipmentTable[Serial], ITEquipmentTable[Key], -1)</f>
        <v>195</v>
      </c>
    </row>
    <row r="17" spans="1:14" x14ac:dyDescent="0.2">
      <c r="A17" s="151" t="s">
        <v>1639</v>
      </c>
      <c r="B17" s="265">
        <v>45372.816724537035</v>
      </c>
      <c r="C17" s="265">
        <v>45954.738437499997</v>
      </c>
      <c r="D17" s="151" t="s">
        <v>2945</v>
      </c>
      <c r="E17" s="151" t="s">
        <v>3139</v>
      </c>
      <c r="F17" s="151" t="s">
        <v>403</v>
      </c>
      <c r="G17" s="151" t="s">
        <v>2968</v>
      </c>
      <c r="H17" s="265">
        <v>2958465.999988426</v>
      </c>
      <c r="I17" s="151" t="s">
        <v>3140</v>
      </c>
      <c r="J17" s="151" t="s">
        <v>3141</v>
      </c>
      <c r="K17" s="151" t="s">
        <v>3142</v>
      </c>
      <c r="L17" s="151" t="s">
        <v>3041</v>
      </c>
      <c r="M17" s="151" t="s">
        <v>2950</v>
      </c>
      <c r="N17" s="12">
        <f>_xlfn.XLOOKUP(IntuneData[[#This Row],[Serial number]], ITEquipmentTable[Serial], ITEquipmentTable[Key], -1)</f>
        <v>646</v>
      </c>
    </row>
    <row r="18" spans="1:14" x14ac:dyDescent="0.2">
      <c r="A18" s="151" t="s">
        <v>1662</v>
      </c>
      <c r="B18" s="265">
        <v>45372.735486111109</v>
      </c>
      <c r="C18" s="265">
        <v>45954.831805555557</v>
      </c>
      <c r="D18" s="151" t="s">
        <v>2945</v>
      </c>
      <c r="E18" s="151" t="s">
        <v>3177</v>
      </c>
      <c r="F18" s="151" t="s">
        <v>403</v>
      </c>
      <c r="G18" s="151" t="s">
        <v>2968</v>
      </c>
      <c r="H18" s="265">
        <v>2958465.999988426</v>
      </c>
      <c r="I18" s="151" t="s">
        <v>3178</v>
      </c>
      <c r="J18" s="151" t="s">
        <v>3179</v>
      </c>
      <c r="K18" s="151" t="s">
        <v>3180</v>
      </c>
      <c r="L18" s="151" t="s">
        <v>2966</v>
      </c>
      <c r="M18" s="151" t="s">
        <v>2950</v>
      </c>
      <c r="N18" s="12">
        <f>_xlfn.XLOOKUP(IntuneData[[#This Row],[Serial number]], ITEquipmentTable[Serial], ITEquipmentTable[Key], -1)</f>
        <v>649</v>
      </c>
    </row>
    <row r="19" spans="1:14" x14ac:dyDescent="0.2">
      <c r="A19" s="151" t="s">
        <v>1637</v>
      </c>
      <c r="B19" s="265">
        <v>45939.716423611113</v>
      </c>
      <c r="C19" s="265">
        <v>45954.816435185188</v>
      </c>
      <c r="D19" s="151" t="s">
        <v>2945</v>
      </c>
      <c r="E19" s="151" t="s">
        <v>1420</v>
      </c>
      <c r="F19" s="151" t="s">
        <v>403</v>
      </c>
      <c r="G19" s="151" t="s">
        <v>1155</v>
      </c>
      <c r="H19" s="265">
        <v>2958465.999988426</v>
      </c>
      <c r="I19" s="151" t="s">
        <v>3129</v>
      </c>
      <c r="J19" s="151" t="s">
        <v>3130</v>
      </c>
      <c r="K19" s="151" t="s">
        <v>3131</v>
      </c>
      <c r="L19" s="151" t="s">
        <v>3132</v>
      </c>
      <c r="M19" s="151" t="s">
        <v>2950</v>
      </c>
      <c r="N19" s="12">
        <f>_xlfn.XLOOKUP(IntuneData[[#This Row],[Serial number]], ITEquipmentTable[Serial], ITEquipmentTable[Key], -1)</f>
        <v>644</v>
      </c>
    </row>
    <row r="20" spans="1:14" x14ac:dyDescent="0.2">
      <c r="A20" s="151" t="s">
        <v>1459</v>
      </c>
      <c r="B20" s="265">
        <v>45373.41741898148</v>
      </c>
      <c r="C20" s="265">
        <v>45954.511203703703</v>
      </c>
      <c r="D20" s="151" t="s">
        <v>3212</v>
      </c>
      <c r="E20" s="151" t="s">
        <v>1220</v>
      </c>
      <c r="F20" s="151" t="s">
        <v>403</v>
      </c>
      <c r="G20" s="151" t="s">
        <v>1155</v>
      </c>
      <c r="H20" s="265">
        <v>2958465.999988426</v>
      </c>
      <c r="I20" s="151" t="s">
        <v>3269</v>
      </c>
      <c r="J20" s="151" t="s">
        <v>3270</v>
      </c>
      <c r="K20" s="151" t="s">
        <v>3271</v>
      </c>
      <c r="L20" s="151" t="s">
        <v>3041</v>
      </c>
      <c r="M20" s="151" t="s">
        <v>2950</v>
      </c>
      <c r="N20" s="12">
        <f>_xlfn.XLOOKUP(IntuneData[[#This Row],[Serial number]], ITEquipmentTable[Serial], ITEquipmentTable[Key], -1)</f>
        <v>16</v>
      </c>
    </row>
    <row r="21" spans="1:14" x14ac:dyDescent="0.2">
      <c r="A21" s="151" t="s">
        <v>1651</v>
      </c>
      <c r="B21" s="265">
        <v>45744.443819714506</v>
      </c>
      <c r="C21" s="265">
        <v>45955.408177854937</v>
      </c>
      <c r="D21" s="151" t="s">
        <v>2945</v>
      </c>
      <c r="E21" s="151" t="s">
        <v>3159</v>
      </c>
      <c r="F21" s="151" t="s">
        <v>403</v>
      </c>
      <c r="G21" s="151" t="s">
        <v>1155</v>
      </c>
      <c r="H21" s="265">
        <v>2958465.9999999614</v>
      </c>
      <c r="I21" s="151" t="s">
        <v>3160</v>
      </c>
      <c r="J21" s="151" t="s">
        <v>3161</v>
      </c>
      <c r="K21" s="151" t="s">
        <v>3162</v>
      </c>
      <c r="L21" s="151" t="s">
        <v>3041</v>
      </c>
      <c r="M21" s="151" t="s">
        <v>2950</v>
      </c>
      <c r="N21" s="12">
        <f>_xlfn.XLOOKUP(IntuneData[[#This Row],[Serial number]], ITEquipmentTable[Serial], ITEquipmentTable[Key], -1)</f>
        <v>-1</v>
      </c>
    </row>
    <row r="22" spans="1:14" x14ac:dyDescent="0.2">
      <c r="A22" s="151" t="s">
        <v>2212</v>
      </c>
      <c r="B22" s="265">
        <v>45735.779305439813</v>
      </c>
      <c r="C22" s="265">
        <v>45955.510633487655</v>
      </c>
      <c r="D22" s="151" t="s">
        <v>2945</v>
      </c>
      <c r="E22" s="151" t="s">
        <v>537</v>
      </c>
      <c r="F22" s="151" t="s">
        <v>403</v>
      </c>
      <c r="G22" s="151" t="s">
        <v>536</v>
      </c>
      <c r="H22" s="265">
        <v>2958465.9999999614</v>
      </c>
      <c r="I22" s="151" t="s">
        <v>2946</v>
      </c>
      <c r="J22" s="151" t="s">
        <v>2947</v>
      </c>
      <c r="K22" s="151" t="s">
        <v>2948</v>
      </c>
      <c r="L22" s="151" t="s">
        <v>2949</v>
      </c>
      <c r="M22" s="151" t="s">
        <v>2950</v>
      </c>
      <c r="N22" s="12">
        <f>_xlfn.XLOOKUP(IntuneData[[#This Row],[Serial number]], ITEquipmentTable[Serial], ITEquipmentTable[Key], -1)</f>
        <v>865</v>
      </c>
    </row>
    <row r="23" spans="1:14" x14ac:dyDescent="0.2">
      <c r="A23" s="151" t="s">
        <v>1696</v>
      </c>
      <c r="B23" s="265">
        <v>45721.841864004629</v>
      </c>
      <c r="C23" s="265">
        <v>45955.657593364194</v>
      </c>
      <c r="D23" s="151" t="s">
        <v>3222</v>
      </c>
      <c r="E23" s="151" t="s">
        <v>3308</v>
      </c>
      <c r="F23" s="151" t="s">
        <v>403</v>
      </c>
      <c r="G23" s="151" t="s">
        <v>3242</v>
      </c>
      <c r="H23" s="265">
        <v>2958465.9999999614</v>
      </c>
      <c r="I23" s="151" t="s">
        <v>2946</v>
      </c>
      <c r="J23" s="151" t="s">
        <v>2947</v>
      </c>
      <c r="K23" s="151" t="s">
        <v>3309</v>
      </c>
      <c r="L23" s="151" t="s">
        <v>2986</v>
      </c>
      <c r="M23" s="151" t="s">
        <v>2950</v>
      </c>
      <c r="N23" s="12">
        <f>_xlfn.XLOOKUP(IntuneData[[#This Row],[Serial number]], ITEquipmentTable[Serial], ITEquipmentTable[Key], -1)</f>
        <v>661</v>
      </c>
    </row>
    <row r="24" spans="1:14" x14ac:dyDescent="0.2">
      <c r="A24" s="151" t="s">
        <v>1868</v>
      </c>
      <c r="B24" s="265">
        <v>45831.45669791667</v>
      </c>
      <c r="C24" s="265">
        <v>45955.886049344139</v>
      </c>
      <c r="D24" s="151" t="s">
        <v>3222</v>
      </c>
      <c r="E24" s="151" t="s">
        <v>3231</v>
      </c>
      <c r="F24" s="151" t="s">
        <v>403</v>
      </c>
      <c r="G24" s="151" t="s">
        <v>3232</v>
      </c>
      <c r="H24" s="265">
        <v>2958465.9999999614</v>
      </c>
      <c r="I24" s="151" t="s">
        <v>3233</v>
      </c>
      <c r="J24" s="151" t="s">
        <v>3234</v>
      </c>
      <c r="K24" s="151" t="s">
        <v>3235</v>
      </c>
      <c r="L24" s="151" t="s">
        <v>2949</v>
      </c>
      <c r="M24" s="151" t="s">
        <v>2950</v>
      </c>
      <c r="N24" s="12">
        <f>_xlfn.XLOOKUP(IntuneData[[#This Row],[Serial number]], ITEquipmentTable[Serial], ITEquipmentTable[Key], -1)</f>
        <v>614</v>
      </c>
    </row>
    <row r="25" spans="1:14" x14ac:dyDescent="0.2">
      <c r="A25" s="151" t="s">
        <v>1608</v>
      </c>
      <c r="B25" s="265">
        <v>45372.777858796297</v>
      </c>
      <c r="C25" s="265">
        <v>45954.874062499999</v>
      </c>
      <c r="D25" s="151" t="s">
        <v>2945</v>
      </c>
      <c r="E25" s="151" t="s">
        <v>3054</v>
      </c>
      <c r="F25" s="151" t="s">
        <v>403</v>
      </c>
      <c r="G25" s="151" t="s">
        <v>2957</v>
      </c>
      <c r="H25" s="265">
        <v>2958465.999988426</v>
      </c>
      <c r="I25" s="151" t="s">
        <v>3055</v>
      </c>
      <c r="J25" s="151" t="s">
        <v>3056</v>
      </c>
      <c r="K25" s="151" t="s">
        <v>3057</v>
      </c>
      <c r="L25" s="151" t="s">
        <v>2966</v>
      </c>
      <c r="M25" s="151" t="s">
        <v>2950</v>
      </c>
      <c r="N25" s="12">
        <f>_xlfn.XLOOKUP(IntuneData[[#This Row],[Serial number]], ITEquipmentTable[Serial], ITEquipmentTable[Key], -1)</f>
        <v>548</v>
      </c>
    </row>
    <row r="26" spans="1:14" x14ac:dyDescent="0.2">
      <c r="A26" s="151" t="s">
        <v>1786</v>
      </c>
      <c r="B26" s="265">
        <v>45393.584134722223</v>
      </c>
      <c r="C26" s="265">
        <v>45955.685250347226</v>
      </c>
      <c r="D26" s="151" t="s">
        <v>2945</v>
      </c>
      <c r="E26" s="151" t="s">
        <v>3205</v>
      </c>
      <c r="F26" s="151" t="s">
        <v>403</v>
      </c>
      <c r="G26" s="151" t="s">
        <v>2974</v>
      </c>
      <c r="H26" s="265">
        <v>2958465.9999999614</v>
      </c>
      <c r="I26" s="151" t="s">
        <v>3206</v>
      </c>
      <c r="J26" s="151" t="s">
        <v>3207</v>
      </c>
      <c r="K26" s="151" t="s">
        <v>3208</v>
      </c>
      <c r="L26" s="151" t="s">
        <v>2949</v>
      </c>
      <c r="M26" s="151" t="s">
        <v>2950</v>
      </c>
      <c r="N26" s="12">
        <f>_xlfn.XLOOKUP(IntuneData[[#This Row],[Serial number]], ITEquipmentTable[Serial], ITEquipmentTable[Key], -1)</f>
        <v>694</v>
      </c>
    </row>
    <row r="27" spans="1:14" x14ac:dyDescent="0.2">
      <c r="A27" s="151" t="s">
        <v>1667</v>
      </c>
      <c r="B27" s="265">
        <v>45372.768206018518</v>
      </c>
      <c r="C27" s="265">
        <v>45954.530995370369</v>
      </c>
      <c r="D27" s="151" t="s">
        <v>2945</v>
      </c>
      <c r="E27" s="151" t="s">
        <v>3171</v>
      </c>
      <c r="F27" s="151" t="s">
        <v>403</v>
      </c>
      <c r="G27" s="151" t="s">
        <v>2968</v>
      </c>
      <c r="H27" s="265">
        <v>2958465.999988426</v>
      </c>
      <c r="I27" s="151" t="s">
        <v>3172</v>
      </c>
      <c r="J27" s="151" t="s">
        <v>3173</v>
      </c>
      <c r="K27" s="151" t="s">
        <v>3174</v>
      </c>
      <c r="L27" s="151" t="s">
        <v>2966</v>
      </c>
      <c r="M27" s="151" t="s">
        <v>2950</v>
      </c>
      <c r="N27" s="12">
        <f>_xlfn.XLOOKUP(IntuneData[[#This Row],[Serial number]], ITEquipmentTable[Serial], ITEquipmentTable[Key], -1)</f>
        <v>567</v>
      </c>
    </row>
    <row r="28" spans="1:14" x14ac:dyDescent="0.2">
      <c r="A28" s="151" t="s">
        <v>1880</v>
      </c>
      <c r="B28" s="265">
        <v>45378.814624344137</v>
      </c>
      <c r="C28" s="265">
        <v>45955.911055401237</v>
      </c>
      <c r="D28" s="151" t="s">
        <v>2945</v>
      </c>
      <c r="E28" s="151" t="s">
        <v>1415</v>
      </c>
      <c r="F28" s="151" t="s">
        <v>403</v>
      </c>
      <c r="G28" s="151" t="s">
        <v>914</v>
      </c>
      <c r="H28" s="265">
        <v>2958465.9999999614</v>
      </c>
      <c r="I28" s="151" t="s">
        <v>3031</v>
      </c>
      <c r="J28" s="151" t="s">
        <v>3032</v>
      </c>
      <c r="K28" s="151" t="s">
        <v>2972</v>
      </c>
      <c r="L28" s="151" t="s">
        <v>2972</v>
      </c>
      <c r="M28" s="151" t="s">
        <v>2950</v>
      </c>
      <c r="N28" s="12">
        <f>_xlfn.XLOOKUP(IntuneData[[#This Row],[Serial number]], ITEquipmentTable[Serial], ITEquipmentTable[Key], -1)</f>
        <v>639</v>
      </c>
    </row>
    <row r="29" spans="1:14" x14ac:dyDescent="0.2">
      <c r="A29" s="151" t="s">
        <v>1586</v>
      </c>
      <c r="B29" s="265">
        <v>45372.79737083333</v>
      </c>
      <c r="C29" s="265">
        <v>45955.893523032406</v>
      </c>
      <c r="D29" s="151" t="s">
        <v>2945</v>
      </c>
      <c r="E29" s="151" t="s">
        <v>3042</v>
      </c>
      <c r="F29" s="151" t="s">
        <v>403</v>
      </c>
      <c r="G29" s="151" t="s">
        <v>536</v>
      </c>
      <c r="H29" s="265">
        <v>2958465.9999999614</v>
      </c>
      <c r="I29" s="151" t="s">
        <v>3043</v>
      </c>
      <c r="J29" s="151" t="s">
        <v>3044</v>
      </c>
      <c r="K29" s="151" t="s">
        <v>3045</v>
      </c>
      <c r="L29" s="151" t="s">
        <v>2949</v>
      </c>
      <c r="M29" s="151" t="s">
        <v>2950</v>
      </c>
      <c r="N29" s="12">
        <f>_xlfn.XLOOKUP(IntuneData[[#This Row],[Serial number]], ITEquipmentTable[Serial], ITEquipmentTable[Key], -1)</f>
        <v>544</v>
      </c>
    </row>
    <row r="30" spans="1:14" x14ac:dyDescent="0.2">
      <c r="A30" s="151" t="s">
        <v>1640</v>
      </c>
      <c r="B30" s="265">
        <v>45461.722326388888</v>
      </c>
      <c r="C30" s="265">
        <v>45954.818645833337</v>
      </c>
      <c r="D30" s="151" t="s">
        <v>2945</v>
      </c>
      <c r="E30" s="151" t="s">
        <v>1722</v>
      </c>
      <c r="F30" s="151" t="s">
        <v>403</v>
      </c>
      <c r="G30" s="151" t="s">
        <v>1155</v>
      </c>
      <c r="H30" s="265">
        <v>2958465.999988426</v>
      </c>
      <c r="I30" s="151" t="s">
        <v>3143</v>
      </c>
      <c r="J30" s="151" t="s">
        <v>3144</v>
      </c>
      <c r="K30" s="151" t="s">
        <v>3145</v>
      </c>
      <c r="L30" s="151" t="s">
        <v>2966</v>
      </c>
      <c r="M30" s="151" t="s">
        <v>2950</v>
      </c>
      <c r="N30" s="12">
        <f>_xlfn.XLOOKUP(IntuneData[[#This Row],[Serial number]], ITEquipmentTable[Serial], ITEquipmentTable[Key], -1)</f>
        <v>193</v>
      </c>
    </row>
    <row r="31" spans="1:14" x14ac:dyDescent="0.2">
      <c r="A31" s="151" t="s">
        <v>554</v>
      </c>
      <c r="B31" s="265">
        <v>45429.532339004632</v>
      </c>
      <c r="C31" s="265">
        <v>45955.628662461422</v>
      </c>
      <c r="D31" s="151" t="s">
        <v>2945</v>
      </c>
      <c r="E31" s="151" t="s">
        <v>1168</v>
      </c>
      <c r="F31" s="151" t="s">
        <v>403</v>
      </c>
      <c r="G31" s="151" t="s">
        <v>1167</v>
      </c>
      <c r="H31" s="265">
        <v>2958465.9999999614</v>
      </c>
      <c r="I31" s="151" t="s">
        <v>3193</v>
      </c>
      <c r="J31" s="151" t="s">
        <v>3194</v>
      </c>
      <c r="K31" s="151" t="s">
        <v>3195</v>
      </c>
      <c r="L31" s="151" t="s">
        <v>3041</v>
      </c>
      <c r="M31" s="151" t="s">
        <v>2950</v>
      </c>
      <c r="N31" s="12">
        <f>_xlfn.XLOOKUP(IntuneData[[#This Row],[Serial number]], ITEquipmentTable[Serial], ITEquipmentTable[Key], -1)</f>
        <v>589</v>
      </c>
    </row>
    <row r="32" spans="1:14" x14ac:dyDescent="0.2">
      <c r="A32" s="151" t="s">
        <v>1438</v>
      </c>
      <c r="B32" s="265">
        <v>45373.409832330246</v>
      </c>
      <c r="C32" s="265">
        <v>45955.842587075618</v>
      </c>
      <c r="D32" s="151" t="s">
        <v>3212</v>
      </c>
      <c r="E32" s="151" t="s">
        <v>1691</v>
      </c>
      <c r="F32" s="151" t="s">
        <v>403</v>
      </c>
      <c r="G32" s="151" t="s">
        <v>1179</v>
      </c>
      <c r="H32" s="265">
        <v>2958465</v>
      </c>
      <c r="I32" s="151" t="s">
        <v>3262</v>
      </c>
      <c r="J32" s="151" t="s">
        <v>3263</v>
      </c>
      <c r="K32" s="151" t="s">
        <v>3264</v>
      </c>
      <c r="L32" s="151" t="s">
        <v>2966</v>
      </c>
      <c r="M32" s="151" t="s">
        <v>2950</v>
      </c>
      <c r="N32" s="12">
        <f>_xlfn.XLOOKUP(IntuneData[[#This Row],[Serial number]], ITEquipmentTable[Serial], ITEquipmentTable[Key], -1)</f>
        <v>539</v>
      </c>
    </row>
    <row r="33" spans="1:14" x14ac:dyDescent="0.2">
      <c r="A33" s="151" t="s">
        <v>2297</v>
      </c>
      <c r="B33" s="265">
        <v>45702.762071759258</v>
      </c>
      <c r="C33" s="265">
        <v>45952.914699074077</v>
      </c>
      <c r="D33" s="151" t="s">
        <v>3222</v>
      </c>
      <c r="E33" s="151" t="s">
        <v>3280</v>
      </c>
      <c r="F33" s="151" t="s">
        <v>403</v>
      </c>
      <c r="G33" s="151" t="s">
        <v>1197</v>
      </c>
      <c r="H33" s="265">
        <v>2958465.999988426</v>
      </c>
      <c r="I33" s="151" t="s">
        <v>3262</v>
      </c>
      <c r="J33" s="151" t="s">
        <v>3263</v>
      </c>
      <c r="K33" s="151" t="s">
        <v>3281</v>
      </c>
      <c r="L33" s="151" t="s">
        <v>2949</v>
      </c>
      <c r="M33" s="151" t="s">
        <v>2950</v>
      </c>
      <c r="N33" s="12">
        <f>_xlfn.XLOOKUP(IntuneData[[#This Row],[Serial number]], ITEquipmentTable[Serial], ITEquipmentTable[Key], -1)</f>
        <v>-1</v>
      </c>
    </row>
    <row r="34" spans="1:14" x14ac:dyDescent="0.2">
      <c r="A34" s="151" t="s">
        <v>2279</v>
      </c>
      <c r="B34" s="265">
        <v>45814.637011535495</v>
      </c>
      <c r="C34" s="265">
        <v>45955.734958333334</v>
      </c>
      <c r="D34" s="151" t="s">
        <v>3222</v>
      </c>
      <c r="E34" s="151" t="s">
        <v>3252</v>
      </c>
      <c r="F34" s="151" t="s">
        <v>403</v>
      </c>
      <c r="G34" s="151" t="s">
        <v>2968</v>
      </c>
      <c r="H34" s="265">
        <v>2958465.9999999614</v>
      </c>
      <c r="I34" s="151" t="s">
        <v>3164</v>
      </c>
      <c r="J34" s="151" t="s">
        <v>3165</v>
      </c>
      <c r="K34" s="151" t="s">
        <v>3253</v>
      </c>
      <c r="L34" s="151" t="s">
        <v>2966</v>
      </c>
      <c r="M34" s="151" t="s">
        <v>2950</v>
      </c>
      <c r="N34" s="12">
        <f>_xlfn.XLOOKUP(IntuneData[[#This Row],[Serial number]], ITEquipmentTable[Serial], ITEquipmentTable[Key], -1)</f>
        <v>-1</v>
      </c>
    </row>
    <row r="35" spans="1:14" x14ac:dyDescent="0.2">
      <c r="A35" s="151" t="s">
        <v>1652</v>
      </c>
      <c r="B35" s="265">
        <v>45362.845208333332</v>
      </c>
      <c r="C35" s="265">
        <v>45954.657094907408</v>
      </c>
      <c r="D35" s="151" t="s">
        <v>2945</v>
      </c>
      <c r="E35" s="151" t="s">
        <v>3163</v>
      </c>
      <c r="F35" s="151" t="s">
        <v>403</v>
      </c>
      <c r="G35" s="151" t="s">
        <v>2968</v>
      </c>
      <c r="H35" s="265">
        <v>2958465.999988426</v>
      </c>
      <c r="I35" s="151" t="s">
        <v>3164</v>
      </c>
      <c r="J35" s="151" t="s">
        <v>3165</v>
      </c>
      <c r="K35" s="151" t="s">
        <v>3166</v>
      </c>
      <c r="L35" s="151" t="s">
        <v>2949</v>
      </c>
      <c r="M35" s="151" t="s">
        <v>2950</v>
      </c>
      <c r="N35" s="12">
        <f>_xlfn.XLOOKUP(IntuneData[[#This Row],[Serial number]], ITEquipmentTable[Serial], ITEquipmentTable[Key], -1)</f>
        <v>587</v>
      </c>
    </row>
    <row r="36" spans="1:14" x14ac:dyDescent="0.2">
      <c r="A36" s="151" t="s">
        <v>2346</v>
      </c>
      <c r="B36" s="265">
        <v>45369.678425925929</v>
      </c>
      <c r="C36" s="265">
        <v>45917.477280092593</v>
      </c>
      <c r="D36" s="151" t="s">
        <v>3216</v>
      </c>
      <c r="E36" s="151" t="s">
        <v>1501</v>
      </c>
      <c r="F36" s="151" t="s">
        <v>3134</v>
      </c>
      <c r="G36" s="151" t="s">
        <v>563</v>
      </c>
      <c r="H36" s="265">
        <v>2958465.999988426</v>
      </c>
      <c r="I36" s="151" t="s">
        <v>3164</v>
      </c>
      <c r="J36" s="151" t="s">
        <v>3165</v>
      </c>
      <c r="K36" s="151" t="s">
        <v>3069</v>
      </c>
      <c r="L36" s="151" t="s">
        <v>2966</v>
      </c>
      <c r="M36" s="151" t="s">
        <v>2950</v>
      </c>
      <c r="N36" s="12">
        <f>_xlfn.XLOOKUP(IntuneData[[#This Row],[Serial number]], ITEquipmentTable[Serial], ITEquipmentTable[Key], -1)</f>
        <v>151</v>
      </c>
    </row>
    <row r="37" spans="1:14" x14ac:dyDescent="0.2">
      <c r="A37" s="151" t="s">
        <v>838</v>
      </c>
      <c r="B37" s="265">
        <v>45573.754920447529</v>
      </c>
      <c r="C37" s="265">
        <v>45955.850875038581</v>
      </c>
      <c r="D37" s="151" t="s">
        <v>3239</v>
      </c>
      <c r="E37" s="151" t="s">
        <v>836</v>
      </c>
      <c r="F37" s="151" t="s">
        <v>403</v>
      </c>
      <c r="G37" s="151" t="s">
        <v>835</v>
      </c>
      <c r="H37" s="265">
        <v>2958465</v>
      </c>
      <c r="I37" s="151" t="s">
        <v>3059</v>
      </c>
      <c r="J37" s="151" t="s">
        <v>3060</v>
      </c>
      <c r="K37" s="151" t="s">
        <v>3240</v>
      </c>
      <c r="L37" s="151" t="s">
        <v>2949</v>
      </c>
      <c r="M37" s="151" t="s">
        <v>2950</v>
      </c>
      <c r="N37" s="12">
        <f>_xlfn.XLOOKUP(IntuneData[[#This Row],[Serial number]], ITEquipmentTable[Serial], ITEquipmentTable[Key], -1)</f>
        <v>107</v>
      </c>
    </row>
    <row r="38" spans="1:14" x14ac:dyDescent="0.2">
      <c r="A38" s="151" t="s">
        <v>1598</v>
      </c>
      <c r="B38" s="265">
        <v>45372.773067669754</v>
      </c>
      <c r="C38" s="265">
        <v>45955.55385339506</v>
      </c>
      <c r="D38" s="151" t="s">
        <v>2945</v>
      </c>
      <c r="E38" s="151" t="s">
        <v>3058</v>
      </c>
      <c r="F38" s="151" t="s">
        <v>403</v>
      </c>
      <c r="G38" s="151" t="s">
        <v>2957</v>
      </c>
      <c r="H38" s="265">
        <v>2958465.9999999614</v>
      </c>
      <c r="I38" s="151" t="s">
        <v>3059</v>
      </c>
      <c r="J38" s="151" t="s">
        <v>3060</v>
      </c>
      <c r="K38" s="151" t="s">
        <v>3061</v>
      </c>
      <c r="L38" s="151" t="s">
        <v>2966</v>
      </c>
      <c r="M38" s="151" t="s">
        <v>2950</v>
      </c>
      <c r="N38" s="12">
        <f>_xlfn.XLOOKUP(IntuneData[[#This Row],[Serial number]], ITEquipmentTable[Serial], ITEquipmentTable[Key], -1)</f>
        <v>549</v>
      </c>
    </row>
    <row r="39" spans="1:14" x14ac:dyDescent="0.2">
      <c r="A39" s="151" t="s">
        <v>1303</v>
      </c>
      <c r="B39" s="265">
        <v>45376.073724498456</v>
      </c>
      <c r="C39" s="265">
        <v>45955.435527546295</v>
      </c>
      <c r="D39" s="151" t="s">
        <v>2945</v>
      </c>
      <c r="E39" s="151" t="s">
        <v>2967</v>
      </c>
      <c r="F39" s="151" t="s">
        <v>403</v>
      </c>
      <c r="G39" s="151" t="s">
        <v>2968</v>
      </c>
      <c r="H39" s="265">
        <v>2958465.9999999614</v>
      </c>
      <c r="I39" s="151" t="s">
        <v>2969</v>
      </c>
      <c r="J39" s="151" t="s">
        <v>2970</v>
      </c>
      <c r="K39" s="151" t="s">
        <v>2971</v>
      </c>
      <c r="L39" s="151" t="s">
        <v>2949</v>
      </c>
      <c r="M39" s="151" t="s">
        <v>2950</v>
      </c>
      <c r="N39" s="12">
        <f>_xlfn.XLOOKUP(IntuneData[[#This Row],[Serial number]], ITEquipmentTable[Serial], ITEquipmentTable[Key], -1)</f>
        <v>609</v>
      </c>
    </row>
    <row r="40" spans="1:14" x14ac:dyDescent="0.2">
      <c r="A40" s="151" t="s">
        <v>1603</v>
      </c>
      <c r="B40" s="265">
        <v>45373.46473240741</v>
      </c>
      <c r="C40" s="265">
        <v>45955.5105744213</v>
      </c>
      <c r="D40" s="151" t="s">
        <v>2945</v>
      </c>
      <c r="E40" s="151" t="s">
        <v>3070</v>
      </c>
      <c r="F40" s="151" t="s">
        <v>403</v>
      </c>
      <c r="G40" s="151" t="s">
        <v>2957</v>
      </c>
      <c r="H40" s="265">
        <v>2958465.9999999614</v>
      </c>
      <c r="I40" s="151" t="s">
        <v>3071</v>
      </c>
      <c r="J40" s="151" t="s">
        <v>3072</v>
      </c>
      <c r="K40" s="151" t="s">
        <v>3073</v>
      </c>
      <c r="L40" s="151" t="s">
        <v>3074</v>
      </c>
      <c r="M40" s="151" t="s">
        <v>2950</v>
      </c>
      <c r="N40" s="12">
        <f>_xlfn.XLOOKUP(IntuneData[[#This Row],[Serial number]], ITEquipmentTable[Serial], ITEquipmentTable[Key], -1)</f>
        <v>580</v>
      </c>
    </row>
    <row r="41" spans="1:14" x14ac:dyDescent="0.2">
      <c r="A41" s="151" t="s">
        <v>1615</v>
      </c>
      <c r="B41" s="265">
        <v>45405.522361111114</v>
      </c>
      <c r="C41" s="265">
        <v>45954.524641203701</v>
      </c>
      <c r="D41" s="151" t="s">
        <v>2945</v>
      </c>
      <c r="E41" s="151" t="s">
        <v>1614</v>
      </c>
      <c r="F41" s="151" t="s">
        <v>403</v>
      </c>
      <c r="G41" s="151" t="s">
        <v>2957</v>
      </c>
      <c r="H41" s="265">
        <v>2958465.999988426</v>
      </c>
      <c r="I41" s="151" t="s">
        <v>3097</v>
      </c>
      <c r="J41" s="151" t="s">
        <v>3098</v>
      </c>
      <c r="K41" s="151" t="s">
        <v>3099</v>
      </c>
      <c r="L41" s="151" t="s">
        <v>3100</v>
      </c>
      <c r="M41" s="151" t="s">
        <v>2950</v>
      </c>
      <c r="N41" s="12">
        <f>_xlfn.XLOOKUP(IntuneData[[#This Row],[Serial number]], ITEquipmentTable[Serial], ITEquipmentTable[Key], -1)</f>
        <v>187</v>
      </c>
    </row>
    <row r="42" spans="1:14" x14ac:dyDescent="0.2">
      <c r="A42" s="151" t="s">
        <v>2288</v>
      </c>
      <c r="B42" s="265">
        <v>45848.75509259259</v>
      </c>
      <c r="C42" s="265">
        <v>45954.851273148146</v>
      </c>
      <c r="D42" s="151" t="s">
        <v>2945</v>
      </c>
      <c r="E42" s="151" t="s">
        <v>3018</v>
      </c>
      <c r="F42" s="151" t="s">
        <v>403</v>
      </c>
      <c r="G42" s="151" t="s">
        <v>1624</v>
      </c>
      <c r="H42" s="265">
        <v>2958465.999988426</v>
      </c>
      <c r="I42" s="151" t="s">
        <v>3019</v>
      </c>
      <c r="J42" s="151" t="s">
        <v>3020</v>
      </c>
      <c r="K42" s="151" t="s">
        <v>3021</v>
      </c>
      <c r="L42" s="151" t="s">
        <v>2966</v>
      </c>
      <c r="M42" s="151" t="s">
        <v>2950</v>
      </c>
      <c r="N42" s="12">
        <f>_xlfn.XLOOKUP(IntuneData[[#This Row],[Serial number]], ITEquipmentTable[Serial], ITEquipmentTable[Key], -1)</f>
        <v>-1</v>
      </c>
    </row>
    <row r="43" spans="1:14" x14ac:dyDescent="0.2">
      <c r="A43" s="151" t="s">
        <v>1618</v>
      </c>
      <c r="B43" s="265">
        <v>45376.936215277776</v>
      </c>
      <c r="C43" s="265">
        <v>45954.698993055557</v>
      </c>
      <c r="D43" s="151" t="s">
        <v>2945</v>
      </c>
      <c r="E43" s="151" t="s">
        <v>3103</v>
      </c>
      <c r="F43" s="151" t="s">
        <v>403</v>
      </c>
      <c r="G43" s="151" t="s">
        <v>2957</v>
      </c>
      <c r="H43" s="265">
        <v>2958465.999988426</v>
      </c>
      <c r="I43" s="151" t="s">
        <v>3104</v>
      </c>
      <c r="J43" s="151" t="s">
        <v>3105</v>
      </c>
      <c r="K43" s="151" t="s">
        <v>3106</v>
      </c>
      <c r="L43" s="151" t="s">
        <v>2966</v>
      </c>
      <c r="M43" s="151" t="s">
        <v>2950</v>
      </c>
      <c r="N43" s="12">
        <f>_xlfn.XLOOKUP(IntuneData[[#This Row],[Serial number]], ITEquipmentTable[Serial], ITEquipmentTable[Key], -1)</f>
        <v>524</v>
      </c>
    </row>
    <row r="44" spans="1:14" x14ac:dyDescent="0.2">
      <c r="A44" s="151" t="s">
        <v>2285</v>
      </c>
      <c r="B44" s="265">
        <v>45929.668842592589</v>
      </c>
      <c r="C44" s="265">
        <v>45954.847314814811</v>
      </c>
      <c r="D44" s="151" t="s">
        <v>2945</v>
      </c>
      <c r="E44" s="151" t="s">
        <v>3013</v>
      </c>
      <c r="F44" s="151" t="s">
        <v>403</v>
      </c>
      <c r="G44" s="151" t="s">
        <v>3014</v>
      </c>
      <c r="H44" s="265">
        <v>2958465.999988426</v>
      </c>
      <c r="I44" s="151" t="s">
        <v>3015</v>
      </c>
      <c r="J44" s="151" t="s">
        <v>3016</v>
      </c>
      <c r="K44" s="151" t="s">
        <v>3017</v>
      </c>
      <c r="L44" s="151" t="s">
        <v>2949</v>
      </c>
      <c r="M44" s="151" t="s">
        <v>2950</v>
      </c>
      <c r="N44" s="12">
        <f>_xlfn.XLOOKUP(IntuneData[[#This Row],[Serial number]], ITEquipmentTable[Serial], ITEquipmentTable[Key], -1)</f>
        <v>-1</v>
      </c>
    </row>
    <row r="45" spans="1:14" x14ac:dyDescent="0.2">
      <c r="A45" s="151" t="s">
        <v>1635</v>
      </c>
      <c r="B45" s="265">
        <v>45419.757696759261</v>
      </c>
      <c r="C45" s="265">
        <v>45932.608414351853</v>
      </c>
      <c r="D45" s="151" t="s">
        <v>3212</v>
      </c>
      <c r="E45" s="151" t="s">
        <v>1634</v>
      </c>
      <c r="F45" s="151" t="s">
        <v>403</v>
      </c>
      <c r="G45" s="151" t="s">
        <v>1170</v>
      </c>
      <c r="H45" s="265">
        <v>2958465.999988426</v>
      </c>
      <c r="I45" s="151" t="s">
        <v>3015</v>
      </c>
      <c r="J45" s="151" t="s">
        <v>3016</v>
      </c>
      <c r="K45" s="151" t="s">
        <v>3192</v>
      </c>
      <c r="L45" s="151" t="s">
        <v>2966</v>
      </c>
      <c r="M45" s="151" t="s">
        <v>2950</v>
      </c>
      <c r="N45" s="12">
        <f>_xlfn.XLOOKUP(IntuneData[[#This Row],[Serial number]], ITEquipmentTable[Serial], ITEquipmentTable[Key], -1)</f>
        <v>192</v>
      </c>
    </row>
    <row r="46" spans="1:14" x14ac:dyDescent="0.2">
      <c r="A46" s="151" t="s">
        <v>665</v>
      </c>
      <c r="B46" s="265">
        <v>45391.041154205246</v>
      </c>
      <c r="C46" s="265">
        <v>45955.844234220676</v>
      </c>
      <c r="D46" s="151" t="s">
        <v>2945</v>
      </c>
      <c r="E46" s="151" t="s">
        <v>3199</v>
      </c>
      <c r="F46" s="151" t="s">
        <v>403</v>
      </c>
      <c r="G46" s="151" t="s">
        <v>3200</v>
      </c>
      <c r="H46" s="265">
        <v>2958465.9999999614</v>
      </c>
      <c r="I46" s="151" t="s">
        <v>3201</v>
      </c>
      <c r="J46" s="151" t="s">
        <v>3202</v>
      </c>
      <c r="K46" s="151" t="s">
        <v>3203</v>
      </c>
      <c r="L46" s="151" t="s">
        <v>2949</v>
      </c>
      <c r="M46" s="151" t="s">
        <v>2950</v>
      </c>
      <c r="N46" s="12">
        <f>_xlfn.XLOOKUP(IntuneData[[#This Row],[Serial number]], ITEquipmentTable[Serial], ITEquipmentTable[Key], -1)</f>
        <v>526</v>
      </c>
    </row>
    <row r="47" spans="1:14" x14ac:dyDescent="0.2">
      <c r="A47" s="151" t="s">
        <v>1864</v>
      </c>
      <c r="B47" s="265">
        <v>45490.205605362651</v>
      </c>
      <c r="C47" s="265">
        <v>45955.635257986112</v>
      </c>
      <c r="D47" s="151" t="s">
        <v>3227</v>
      </c>
      <c r="E47" s="151" t="s">
        <v>902</v>
      </c>
      <c r="F47" s="151" t="s">
        <v>2962</v>
      </c>
      <c r="G47" s="151" t="s">
        <v>309</v>
      </c>
      <c r="H47" s="265">
        <v>2958465.9999999614</v>
      </c>
      <c r="I47" s="151" t="s">
        <v>3228</v>
      </c>
      <c r="J47" s="151" t="s">
        <v>3229</v>
      </c>
      <c r="K47" s="151" t="s">
        <v>3230</v>
      </c>
      <c r="L47" s="151" t="s">
        <v>2966</v>
      </c>
      <c r="M47" s="151" t="s">
        <v>2950</v>
      </c>
      <c r="N47" s="12">
        <f>_xlfn.XLOOKUP(IntuneData[[#This Row],[Serial number]], ITEquipmentTable[Serial], ITEquipmentTable[Key], -1)</f>
        <v>610</v>
      </c>
    </row>
    <row r="48" spans="1:14" x14ac:dyDescent="0.2">
      <c r="A48" s="151" t="s">
        <v>1663</v>
      </c>
      <c r="B48" s="265">
        <v>45373.490349421299</v>
      </c>
      <c r="C48" s="265">
        <v>45955.45438761574</v>
      </c>
      <c r="D48" s="151" t="s">
        <v>2945</v>
      </c>
      <c r="E48" s="151" t="s">
        <v>3181</v>
      </c>
      <c r="F48" s="151" t="s">
        <v>403</v>
      </c>
      <c r="G48" s="151" t="s">
        <v>2968</v>
      </c>
      <c r="H48" s="265">
        <v>2958465.9999999614</v>
      </c>
      <c r="I48" s="151" t="s">
        <v>3182</v>
      </c>
      <c r="J48" s="151" t="s">
        <v>3183</v>
      </c>
      <c r="K48" s="151" t="s">
        <v>3184</v>
      </c>
      <c r="L48" s="151" t="s">
        <v>3036</v>
      </c>
      <c r="M48" s="151" t="s">
        <v>2950</v>
      </c>
      <c r="N48" s="12">
        <f>_xlfn.XLOOKUP(IntuneData[[#This Row],[Serial number]], ITEquipmentTable[Serial], ITEquipmentTable[Key], -1)</f>
        <v>650</v>
      </c>
    </row>
    <row r="49" spans="1:14" x14ac:dyDescent="0.2">
      <c r="A49" s="151" t="s">
        <v>1425</v>
      </c>
      <c r="B49" s="265">
        <v>45748.477662037039</v>
      </c>
      <c r="C49" s="265">
        <v>45954.081944444442</v>
      </c>
      <c r="D49" s="151" t="s">
        <v>3254</v>
      </c>
      <c r="E49" s="151" t="s">
        <v>1424</v>
      </c>
      <c r="F49" s="151" t="s">
        <v>403</v>
      </c>
      <c r="G49" s="151" t="s">
        <v>1179</v>
      </c>
      <c r="H49" s="265">
        <v>2958465.999988426</v>
      </c>
      <c r="I49" s="151" t="s">
        <v>3255</v>
      </c>
      <c r="J49" s="151" t="s">
        <v>3256</v>
      </c>
      <c r="K49" s="151" t="s">
        <v>3257</v>
      </c>
      <c r="L49" s="151" t="s">
        <v>3211</v>
      </c>
      <c r="M49" s="151" t="s">
        <v>2950</v>
      </c>
      <c r="N49" s="12">
        <f>_xlfn.XLOOKUP(IntuneData[[#This Row],[Serial number]], ITEquipmentTable[Serial], ITEquipmentTable[Key], -1)</f>
        <v>129</v>
      </c>
    </row>
    <row r="50" spans="1:14" x14ac:dyDescent="0.2">
      <c r="A50" s="151" t="s">
        <v>1454</v>
      </c>
      <c r="B50" s="265">
        <v>45764.691192129627</v>
      </c>
      <c r="C50" s="265">
        <v>45926.568472222221</v>
      </c>
      <c r="D50" s="151" t="s">
        <v>3247</v>
      </c>
      <c r="E50" s="151" t="s">
        <v>3265</v>
      </c>
      <c r="F50" s="151" t="s">
        <v>403</v>
      </c>
      <c r="G50" s="151" t="s">
        <v>3242</v>
      </c>
      <c r="H50" s="265">
        <v>2958465.999988426</v>
      </c>
      <c r="I50" s="151" t="s">
        <v>3266</v>
      </c>
      <c r="J50" s="151" t="s">
        <v>3267</v>
      </c>
      <c r="K50" s="151" t="s">
        <v>3268</v>
      </c>
      <c r="L50" s="151" t="s">
        <v>2966</v>
      </c>
      <c r="M50" s="151" t="s">
        <v>2950</v>
      </c>
      <c r="N50" s="12">
        <f>_xlfn.XLOOKUP(IntuneData[[#This Row],[Serial number]], ITEquipmentTable[Serial], ITEquipmentTable[Key], -1)</f>
        <v>633</v>
      </c>
    </row>
    <row r="51" spans="1:14" x14ac:dyDescent="0.2">
      <c r="A51" s="151" t="s">
        <v>2269</v>
      </c>
      <c r="B51" s="265">
        <v>45372.917452469133</v>
      </c>
      <c r="C51" s="265">
        <v>45955.680545023148</v>
      </c>
      <c r="D51" s="151" t="s">
        <v>2945</v>
      </c>
      <c r="E51" s="151" t="s">
        <v>2978</v>
      </c>
      <c r="F51" s="151" t="s">
        <v>403</v>
      </c>
      <c r="G51" s="151" t="s">
        <v>2968</v>
      </c>
      <c r="H51" s="265">
        <v>2958465.9999999614</v>
      </c>
      <c r="I51" s="151" t="s">
        <v>2979</v>
      </c>
      <c r="J51" s="151" t="s">
        <v>2980</v>
      </c>
      <c r="K51" s="151" t="s">
        <v>2981</v>
      </c>
      <c r="L51" s="151" t="s">
        <v>2966</v>
      </c>
      <c r="M51" s="151" t="s">
        <v>2950</v>
      </c>
      <c r="N51" s="12">
        <f>_xlfn.XLOOKUP(IntuneData[[#This Row],[Serial number]], ITEquipmentTable[Serial], ITEquipmentTable[Key], -1)</f>
        <v>-1</v>
      </c>
    </row>
    <row r="52" spans="1:14" x14ac:dyDescent="0.2">
      <c r="A52" s="151" t="s">
        <v>1629</v>
      </c>
      <c r="B52" s="265">
        <v>45372.792442129627</v>
      </c>
      <c r="C52" s="265">
        <v>45932.889201388891</v>
      </c>
      <c r="D52" s="151" t="s">
        <v>3216</v>
      </c>
      <c r="E52" s="151" t="s">
        <v>1628</v>
      </c>
      <c r="F52" s="151" t="s">
        <v>403</v>
      </c>
      <c r="G52" s="151" t="s">
        <v>1170</v>
      </c>
      <c r="H52" s="265">
        <v>2958465.999988426</v>
      </c>
      <c r="I52" s="151" t="s">
        <v>2979</v>
      </c>
      <c r="J52" s="151" t="s">
        <v>2980</v>
      </c>
      <c r="K52" s="151" t="s">
        <v>3296</v>
      </c>
      <c r="L52" s="151" t="s">
        <v>2949</v>
      </c>
      <c r="M52" s="151" t="s">
        <v>2950</v>
      </c>
      <c r="N52" s="12">
        <f>_xlfn.XLOOKUP(IntuneData[[#This Row],[Serial number]], ITEquipmentTable[Serial], ITEquipmentTable[Key], -1)</f>
        <v>558</v>
      </c>
    </row>
    <row r="53" spans="1:14" x14ac:dyDescent="0.2">
      <c r="A53" s="151" t="s">
        <v>509</v>
      </c>
      <c r="B53" s="265">
        <v>45372.772978665125</v>
      </c>
      <c r="C53" s="265">
        <v>45955.869234645063</v>
      </c>
      <c r="D53" s="151" t="s">
        <v>2945</v>
      </c>
      <c r="E53" s="151" t="s">
        <v>3037</v>
      </c>
      <c r="F53" s="151" t="s">
        <v>403</v>
      </c>
      <c r="G53" s="151" t="s">
        <v>1155</v>
      </c>
      <c r="H53" s="265">
        <v>2958465.9999999614</v>
      </c>
      <c r="I53" s="151" t="s">
        <v>3038</v>
      </c>
      <c r="J53" s="151" t="s">
        <v>3039</v>
      </c>
      <c r="K53" s="151" t="s">
        <v>3040</v>
      </c>
      <c r="L53" s="151" t="s">
        <v>3041</v>
      </c>
      <c r="M53" s="151" t="s">
        <v>2950</v>
      </c>
      <c r="N53" s="12">
        <f>_xlfn.XLOOKUP(IntuneData[[#This Row],[Serial number]], ITEquipmentTable[Serial], ITEquipmentTable[Key], -1)</f>
        <v>543</v>
      </c>
    </row>
    <row r="54" spans="1:14" x14ac:dyDescent="0.2">
      <c r="A54" s="151" t="s">
        <v>1626</v>
      </c>
      <c r="B54" s="265">
        <v>45372.876493055555</v>
      </c>
      <c r="C54" s="265">
        <v>45953.830717592595</v>
      </c>
      <c r="D54" s="151" t="s">
        <v>2945</v>
      </c>
      <c r="E54" s="151" t="s">
        <v>1625</v>
      </c>
      <c r="F54" s="151" t="s">
        <v>403</v>
      </c>
      <c r="G54" s="151" t="s">
        <v>1624</v>
      </c>
      <c r="H54" s="265">
        <v>2958465.999988426</v>
      </c>
      <c r="I54" s="151" t="s">
        <v>3115</v>
      </c>
      <c r="J54" s="151" t="s">
        <v>3116</v>
      </c>
      <c r="K54" s="151" t="s">
        <v>3117</v>
      </c>
      <c r="L54" s="151" t="s">
        <v>2986</v>
      </c>
      <c r="M54" s="151" t="s">
        <v>2950</v>
      </c>
      <c r="N54" s="12">
        <f>_xlfn.XLOOKUP(IntuneData[[#This Row],[Serial number]], ITEquipmentTable[Serial], ITEquipmentTable[Key], -1)</f>
        <v>189</v>
      </c>
    </row>
    <row r="55" spans="1:14" x14ac:dyDescent="0.2">
      <c r="A55" s="151" t="s">
        <v>2275</v>
      </c>
      <c r="B55" s="265">
        <v>45824.41542824074</v>
      </c>
      <c r="C55" s="265">
        <v>45954.398321759261</v>
      </c>
      <c r="D55" s="151" t="s">
        <v>3247</v>
      </c>
      <c r="E55" s="151" t="s">
        <v>3248</v>
      </c>
      <c r="F55" s="151" t="s">
        <v>403</v>
      </c>
      <c r="G55" s="151" t="s">
        <v>3242</v>
      </c>
      <c r="H55" s="265">
        <v>2958465.999988426</v>
      </c>
      <c r="I55" s="151" t="s">
        <v>3249</v>
      </c>
      <c r="J55" s="151" t="s">
        <v>3250</v>
      </c>
      <c r="K55" s="151" t="s">
        <v>3251</v>
      </c>
      <c r="L55" s="151" t="s">
        <v>2949</v>
      </c>
      <c r="M55" s="151" t="s">
        <v>2950</v>
      </c>
      <c r="N55" s="12">
        <f>_xlfn.XLOOKUP(IntuneData[[#This Row],[Serial number]], ITEquipmentTable[Serial], ITEquipmentTable[Key], -1)</f>
        <v>-1</v>
      </c>
    </row>
    <row r="56" spans="1:14" x14ac:dyDescent="0.2">
      <c r="A56" s="151" t="s">
        <v>2280</v>
      </c>
      <c r="B56" s="265">
        <v>45922.116776774688</v>
      </c>
      <c r="C56" s="265">
        <v>45954.127178433642</v>
      </c>
      <c r="D56" s="151" t="s">
        <v>2945</v>
      </c>
      <c r="E56" s="151" t="s">
        <v>1463</v>
      </c>
      <c r="F56" s="151" t="s">
        <v>403</v>
      </c>
      <c r="G56" s="151" t="s">
        <v>1179</v>
      </c>
      <c r="H56" s="265">
        <v>45922.123515856481</v>
      </c>
      <c r="I56" s="151" t="s">
        <v>2989</v>
      </c>
      <c r="J56" s="151" t="s">
        <v>2990</v>
      </c>
      <c r="K56" s="151" t="s">
        <v>2991</v>
      </c>
      <c r="L56" s="151" t="s">
        <v>2949</v>
      </c>
      <c r="M56" s="151" t="s">
        <v>2992</v>
      </c>
      <c r="N56" s="12">
        <f>_xlfn.XLOOKUP(IntuneData[[#This Row],[Serial number]], ITEquipmentTable[Serial], ITEquipmentTable[Key], -1)</f>
        <v>136</v>
      </c>
    </row>
    <row r="57" spans="1:14" x14ac:dyDescent="0.2">
      <c r="A57" s="151" t="s">
        <v>1882</v>
      </c>
      <c r="B57" s="265">
        <v>45390.634918441356</v>
      </c>
      <c r="C57" s="265">
        <v>45955.397958719135</v>
      </c>
      <c r="D57" s="151" t="s">
        <v>3227</v>
      </c>
      <c r="E57" s="151" t="s">
        <v>1584</v>
      </c>
      <c r="F57" s="151" t="s">
        <v>2962</v>
      </c>
      <c r="G57" s="151" t="s">
        <v>416</v>
      </c>
      <c r="H57" s="265">
        <v>2958465.9999999614</v>
      </c>
      <c r="I57" s="151" t="s">
        <v>3075</v>
      </c>
      <c r="J57" s="151" t="s">
        <v>3076</v>
      </c>
      <c r="K57" s="151" t="s">
        <v>3284</v>
      </c>
      <c r="L57" s="151" t="s">
        <v>2966</v>
      </c>
      <c r="M57" s="151" t="s">
        <v>2950</v>
      </c>
      <c r="N57" s="12">
        <f>_xlfn.XLOOKUP(IntuneData[[#This Row],[Serial number]], ITEquipmentTable[Serial], ITEquipmentTable[Key], -1)</f>
        <v>641</v>
      </c>
    </row>
    <row r="58" spans="1:14" x14ac:dyDescent="0.2">
      <c r="A58" s="151" t="s">
        <v>1604</v>
      </c>
      <c r="B58" s="265">
        <v>45388.237548765435</v>
      </c>
      <c r="C58" s="265">
        <v>45946.382922415127</v>
      </c>
      <c r="D58" s="151" t="s">
        <v>2945</v>
      </c>
      <c r="E58" s="151" t="s">
        <v>1442</v>
      </c>
      <c r="F58" s="151" t="s">
        <v>403</v>
      </c>
      <c r="G58" s="151" t="s">
        <v>1155</v>
      </c>
      <c r="H58" s="265">
        <v>45955.558382214505</v>
      </c>
      <c r="I58" s="151" t="s">
        <v>3075</v>
      </c>
      <c r="J58" s="151" t="s">
        <v>3076</v>
      </c>
      <c r="K58" s="151" t="s">
        <v>3077</v>
      </c>
      <c r="L58" s="151" t="s">
        <v>2949</v>
      </c>
      <c r="M58" s="151" t="s">
        <v>2992</v>
      </c>
      <c r="N58" s="12">
        <f>_xlfn.XLOOKUP(IntuneData[[#This Row],[Serial number]], ITEquipmentTable[Serial], ITEquipmentTable[Key], -1)</f>
        <v>550</v>
      </c>
    </row>
    <row r="59" spans="1:14" x14ac:dyDescent="0.2">
      <c r="A59" s="151" t="s">
        <v>1456</v>
      </c>
      <c r="B59" s="265">
        <v>45372.747291666667</v>
      </c>
      <c r="C59" s="265">
        <v>45954.503692129627</v>
      </c>
      <c r="D59" s="151" t="s">
        <v>2945</v>
      </c>
      <c r="E59" s="151" t="s">
        <v>3005</v>
      </c>
      <c r="F59" s="151" t="s">
        <v>403</v>
      </c>
      <c r="G59" s="151" t="s">
        <v>2968</v>
      </c>
      <c r="H59" s="265">
        <v>2958465.999988426</v>
      </c>
      <c r="I59" s="151" t="s">
        <v>3006</v>
      </c>
      <c r="J59" s="151" t="s">
        <v>3007</v>
      </c>
      <c r="K59" s="151" t="s">
        <v>3008</v>
      </c>
      <c r="L59" s="151" t="s">
        <v>2966</v>
      </c>
      <c r="M59" s="151" t="s">
        <v>2950</v>
      </c>
      <c r="N59" s="12">
        <f>_xlfn.XLOOKUP(IntuneData[[#This Row],[Serial number]], ITEquipmentTable[Serial], ITEquipmentTable[Key], -1)</f>
        <v>634</v>
      </c>
    </row>
    <row r="60" spans="1:14" x14ac:dyDescent="0.2">
      <c r="A60" s="151" t="s">
        <v>2282</v>
      </c>
      <c r="B60" s="265">
        <v>45748.415486111109</v>
      </c>
      <c r="C60" s="265">
        <v>45952.511828703704</v>
      </c>
      <c r="D60" s="151" t="s">
        <v>2945</v>
      </c>
      <c r="E60" s="151" t="s">
        <v>3001</v>
      </c>
      <c r="F60" s="151" t="s">
        <v>403</v>
      </c>
      <c r="G60" s="151" t="s">
        <v>1155</v>
      </c>
      <c r="H60" s="265">
        <v>2958465.999988426</v>
      </c>
      <c r="I60" s="151" t="s">
        <v>3002</v>
      </c>
      <c r="J60" s="151" t="s">
        <v>3003</v>
      </c>
      <c r="K60" s="151" t="s">
        <v>3004</v>
      </c>
      <c r="L60" s="151" t="s">
        <v>2956</v>
      </c>
      <c r="M60" s="151" t="s">
        <v>2950</v>
      </c>
      <c r="N60" s="12">
        <f>_xlfn.XLOOKUP(IntuneData[[#This Row],[Serial number]], ITEquipmentTable[Serial], ITEquipmentTable[Key], -1)</f>
        <v>-1</v>
      </c>
    </row>
    <row r="61" spans="1:14" x14ac:dyDescent="0.2">
      <c r="A61" s="151" t="s">
        <v>1599</v>
      </c>
      <c r="B61" s="265">
        <v>45722.724432870367</v>
      </c>
      <c r="C61" s="265">
        <v>45954.820601851854</v>
      </c>
      <c r="D61" s="151" t="s">
        <v>2945</v>
      </c>
      <c r="E61" s="151" t="s">
        <v>3062</v>
      </c>
      <c r="F61" s="151" t="s">
        <v>403</v>
      </c>
      <c r="G61" s="151" t="s">
        <v>2957</v>
      </c>
      <c r="H61" s="265">
        <v>2958465.999988426</v>
      </c>
      <c r="I61" s="151" t="s">
        <v>3063</v>
      </c>
      <c r="J61" s="151" t="s">
        <v>3064</v>
      </c>
      <c r="K61" s="151" t="s">
        <v>3065</v>
      </c>
      <c r="L61" s="151" t="s">
        <v>2966</v>
      </c>
      <c r="M61" s="151" t="s">
        <v>2950</v>
      </c>
      <c r="N61" s="12">
        <f>_xlfn.XLOOKUP(IntuneData[[#This Row],[Serial number]], ITEquipmentTable[Serial], ITEquipmentTable[Key], -1)</f>
        <v>-1</v>
      </c>
    </row>
    <row r="62" spans="1:14" x14ac:dyDescent="0.2">
      <c r="A62" s="151" t="s">
        <v>1665</v>
      </c>
      <c r="B62" s="265">
        <v>45372.707703935186</v>
      </c>
      <c r="C62" s="265">
        <v>45955.805905594134</v>
      </c>
      <c r="D62" s="151" t="s">
        <v>2945</v>
      </c>
      <c r="E62" s="151" t="s">
        <v>3185</v>
      </c>
      <c r="F62" s="151" t="s">
        <v>403</v>
      </c>
      <c r="G62" s="151" t="s">
        <v>2968</v>
      </c>
      <c r="H62" s="265">
        <v>2958465.9999999614</v>
      </c>
      <c r="I62" s="151" t="s">
        <v>3186</v>
      </c>
      <c r="J62" s="151" t="s">
        <v>3187</v>
      </c>
      <c r="K62" s="151" t="s">
        <v>3188</v>
      </c>
      <c r="L62" s="151" t="s">
        <v>2966</v>
      </c>
      <c r="M62" s="151" t="s">
        <v>2950</v>
      </c>
      <c r="N62" s="12">
        <f>_xlfn.XLOOKUP(IntuneData[[#This Row],[Serial number]], ITEquipmentTable[Serial], ITEquipmentTable[Key], -1)</f>
        <v>569</v>
      </c>
    </row>
    <row r="63" spans="1:14" x14ac:dyDescent="0.2">
      <c r="A63" s="151" t="s">
        <v>1621</v>
      </c>
      <c r="B63" s="265">
        <v>45372.786237075619</v>
      </c>
      <c r="C63" s="265">
        <v>45955.886832137345</v>
      </c>
      <c r="D63" s="151" t="s">
        <v>2945</v>
      </c>
      <c r="E63" s="151" t="s">
        <v>3111</v>
      </c>
      <c r="F63" s="151" t="s">
        <v>403</v>
      </c>
      <c r="G63" s="151" t="s">
        <v>2957</v>
      </c>
      <c r="H63" s="265">
        <v>2958465.9999999614</v>
      </c>
      <c r="I63" s="151" t="s">
        <v>3112</v>
      </c>
      <c r="J63" s="151" t="s">
        <v>3113</v>
      </c>
      <c r="K63" s="151" t="s">
        <v>3114</v>
      </c>
      <c r="L63" s="151" t="s">
        <v>3041</v>
      </c>
      <c r="M63" s="151" t="s">
        <v>2950</v>
      </c>
      <c r="N63" s="12">
        <f>_xlfn.XLOOKUP(IntuneData[[#This Row],[Serial number]], ITEquipmentTable[Serial], ITEquipmentTable[Key], -1)</f>
        <v>585</v>
      </c>
    </row>
    <row r="64" spans="1:14" x14ac:dyDescent="0.2">
      <c r="A64" s="151" t="s">
        <v>922</v>
      </c>
      <c r="B64" s="265">
        <v>45390.629965547836</v>
      </c>
      <c r="C64" s="265">
        <v>45955.726094444442</v>
      </c>
      <c r="D64" s="151" t="s">
        <v>3227</v>
      </c>
      <c r="E64" s="151" t="s">
        <v>921</v>
      </c>
      <c r="F64" s="151" t="s">
        <v>403</v>
      </c>
      <c r="G64" s="151" t="s">
        <v>914</v>
      </c>
      <c r="H64" s="265">
        <v>2958465.9999999614</v>
      </c>
      <c r="I64" s="151" t="s">
        <v>3282</v>
      </c>
      <c r="J64" s="151" t="s">
        <v>3283</v>
      </c>
      <c r="K64" s="151" t="s">
        <v>2972</v>
      </c>
      <c r="L64" s="151" t="s">
        <v>2972</v>
      </c>
      <c r="M64" s="151" t="s">
        <v>2950</v>
      </c>
      <c r="N64" s="12">
        <f>_xlfn.XLOOKUP(IntuneData[[#This Row],[Serial number]], ITEquipmentTable[Serial], ITEquipmentTable[Key], -1)</f>
        <v>175</v>
      </c>
    </row>
    <row r="65" spans="1:14" x14ac:dyDescent="0.2">
      <c r="A65" s="151" t="s">
        <v>973</v>
      </c>
      <c r="B65" s="265">
        <v>45951.424020486113</v>
      </c>
      <c r="C65" s="265">
        <v>45955.856617554011</v>
      </c>
      <c r="D65" s="151" t="s">
        <v>3222</v>
      </c>
      <c r="E65" s="151" t="s">
        <v>972</v>
      </c>
      <c r="F65" s="151" t="s">
        <v>403</v>
      </c>
      <c r="G65" s="151" t="s">
        <v>2204</v>
      </c>
      <c r="H65" s="265">
        <v>2958465.9999999614</v>
      </c>
      <c r="I65" s="151" t="s">
        <v>3310</v>
      </c>
      <c r="J65" s="151" t="s">
        <v>3311</v>
      </c>
      <c r="K65" s="151" t="s">
        <v>3312</v>
      </c>
      <c r="L65" s="151" t="s">
        <v>2949</v>
      </c>
      <c r="M65" s="151" t="s">
        <v>2950</v>
      </c>
      <c r="N65" s="12">
        <f>_xlfn.XLOOKUP(IntuneData[[#This Row],[Serial number]], ITEquipmentTable[Serial], ITEquipmentTable[Key], -1)</f>
        <v>227</v>
      </c>
    </row>
    <row r="66" spans="1:14" x14ac:dyDescent="0.2">
      <c r="A66" s="151" t="s">
        <v>1609</v>
      </c>
      <c r="B66" s="265">
        <v>45728.779988425929</v>
      </c>
      <c r="C66" s="265">
        <v>45954.542951388888</v>
      </c>
      <c r="D66" s="151" t="s">
        <v>2945</v>
      </c>
      <c r="E66" s="151" t="s">
        <v>3086</v>
      </c>
      <c r="F66" s="151" t="s">
        <v>403</v>
      </c>
      <c r="G66" s="151" t="s">
        <v>536</v>
      </c>
      <c r="H66" s="265">
        <v>2958465.999988426</v>
      </c>
      <c r="I66" s="151" t="s">
        <v>3087</v>
      </c>
      <c r="J66" s="151" t="s">
        <v>3088</v>
      </c>
      <c r="K66" s="151" t="s">
        <v>3089</v>
      </c>
      <c r="L66" s="151" t="s">
        <v>2986</v>
      </c>
      <c r="M66" s="151" t="s">
        <v>2950</v>
      </c>
      <c r="N66" s="12">
        <f>_xlfn.XLOOKUP(IntuneData[[#This Row],[Serial number]], ITEquipmentTable[Serial], ITEquipmentTable[Key], -1)</f>
        <v>486</v>
      </c>
    </row>
    <row r="67" spans="1:14" x14ac:dyDescent="0.2">
      <c r="A67" s="151" t="s">
        <v>2294</v>
      </c>
      <c r="B67" s="265">
        <v>45587.484143518515</v>
      </c>
      <c r="C67" s="265">
        <v>45954.589247685188</v>
      </c>
      <c r="D67" s="151" t="s">
        <v>3222</v>
      </c>
      <c r="E67" s="151" t="s">
        <v>3276</v>
      </c>
      <c r="F67" s="151" t="s">
        <v>403</v>
      </c>
      <c r="G67" s="151" t="s">
        <v>536</v>
      </c>
      <c r="H67" s="265">
        <v>2958465.999988426</v>
      </c>
      <c r="I67" s="151" t="s">
        <v>3277</v>
      </c>
      <c r="J67" s="151" t="s">
        <v>3278</v>
      </c>
      <c r="K67" s="151" t="s">
        <v>3279</v>
      </c>
      <c r="L67" s="151" t="s">
        <v>3154</v>
      </c>
      <c r="M67" s="151" t="s">
        <v>2950</v>
      </c>
      <c r="N67" s="12">
        <f>_xlfn.XLOOKUP(IntuneData[[#This Row],[Serial number]], ITEquipmentTable[Serial], ITEquipmentTable[Key], -1)</f>
        <v>-1</v>
      </c>
    </row>
    <row r="68" spans="1:14" x14ac:dyDescent="0.2">
      <c r="A68" s="151" t="s">
        <v>1387</v>
      </c>
      <c r="B68" s="265">
        <v>45394.021736651237</v>
      </c>
      <c r="C68" s="265">
        <v>45955.844253317904</v>
      </c>
      <c r="D68" s="151" t="s">
        <v>2945</v>
      </c>
      <c r="E68" s="151" t="s">
        <v>2982</v>
      </c>
      <c r="F68" s="151" t="s">
        <v>403</v>
      </c>
      <c r="G68" s="151" t="s">
        <v>1624</v>
      </c>
      <c r="H68" s="265">
        <v>2958465.9999999614</v>
      </c>
      <c r="I68" s="151" t="s">
        <v>2983</v>
      </c>
      <c r="J68" s="151" t="s">
        <v>2984</v>
      </c>
      <c r="K68" s="151" t="s">
        <v>2985</v>
      </c>
      <c r="L68" s="151" t="s">
        <v>2986</v>
      </c>
      <c r="M68" s="151" t="s">
        <v>2950</v>
      </c>
      <c r="N68" s="12">
        <f>_xlfn.XLOOKUP(IntuneData[[#This Row],[Serial number]], ITEquipmentTable[Serial], ITEquipmentTable[Key], -1)</f>
        <v>521</v>
      </c>
    </row>
    <row r="69" spans="1:14" x14ac:dyDescent="0.2">
      <c r="A69" s="151" t="s">
        <v>1186</v>
      </c>
      <c r="B69" s="265">
        <v>45372.7891087963</v>
      </c>
      <c r="C69" s="265">
        <v>45926.784386574072</v>
      </c>
      <c r="D69" s="151" t="s">
        <v>3216</v>
      </c>
      <c r="E69" s="151" t="s">
        <v>3217</v>
      </c>
      <c r="F69" s="151" t="s">
        <v>403</v>
      </c>
      <c r="G69" s="151" t="s">
        <v>3218</v>
      </c>
      <c r="H69" s="265">
        <v>2958465.999988426</v>
      </c>
      <c r="I69" s="151" t="s">
        <v>3219</v>
      </c>
      <c r="J69" s="151" t="s">
        <v>3220</v>
      </c>
      <c r="K69" s="151" t="s">
        <v>3221</v>
      </c>
      <c r="L69" s="151" t="s">
        <v>2966</v>
      </c>
      <c r="M69" s="151" t="s">
        <v>2950</v>
      </c>
      <c r="N69" s="12">
        <f>_xlfn.XLOOKUP(IntuneData[[#This Row],[Serial number]], ITEquipmentTable[Serial], ITEquipmentTable[Key], -1)</f>
        <v>533</v>
      </c>
    </row>
    <row r="70" spans="1:14" x14ac:dyDescent="0.2">
      <c r="A70" s="151" t="s">
        <v>1369</v>
      </c>
      <c r="B70" s="265">
        <v>45436.43273148148</v>
      </c>
      <c r="C70" s="265">
        <v>45954.538819444446</v>
      </c>
      <c r="D70" s="151" t="s">
        <v>3222</v>
      </c>
      <c r="E70" s="151" t="s">
        <v>3241</v>
      </c>
      <c r="F70" s="151" t="s">
        <v>403</v>
      </c>
      <c r="G70" s="151" t="s">
        <v>3242</v>
      </c>
      <c r="H70" s="265">
        <v>2958465.999988426</v>
      </c>
      <c r="I70" s="151" t="s">
        <v>3219</v>
      </c>
      <c r="J70" s="151" t="s">
        <v>3220</v>
      </c>
      <c r="K70" s="151" t="s">
        <v>3243</v>
      </c>
      <c r="L70" s="151" t="s">
        <v>2949</v>
      </c>
      <c r="M70" s="151" t="s">
        <v>2950</v>
      </c>
      <c r="N70" s="12">
        <f>_xlfn.XLOOKUP(IntuneData[[#This Row],[Serial number]], ITEquipmentTable[Serial], ITEquipmentTable[Key], -1)</f>
        <v>623</v>
      </c>
    </row>
    <row r="71" spans="1:14" x14ac:dyDescent="0.2">
      <c r="A71" s="151" t="s">
        <v>2330</v>
      </c>
      <c r="B71" s="265">
        <v>45922.582971450618</v>
      </c>
      <c r="C71" s="265">
        <v>45955.679234567899</v>
      </c>
      <c r="D71" s="151" t="s">
        <v>3216</v>
      </c>
      <c r="E71" s="151" t="s">
        <v>1338</v>
      </c>
      <c r="F71" s="151" t="s">
        <v>403</v>
      </c>
      <c r="G71" s="151" t="s">
        <v>3232</v>
      </c>
      <c r="H71" s="265">
        <v>2958465.9999999614</v>
      </c>
      <c r="I71" s="151" t="s">
        <v>3299</v>
      </c>
      <c r="J71" s="151" t="s">
        <v>3300</v>
      </c>
      <c r="K71" s="151" t="s">
        <v>3240</v>
      </c>
      <c r="L71" s="151" t="s">
        <v>2949</v>
      </c>
      <c r="M71" s="151" t="s">
        <v>2950</v>
      </c>
      <c r="N71" s="12">
        <f>_xlfn.XLOOKUP(IntuneData[[#This Row],[Serial number]], ITEquipmentTable[Serial], ITEquipmentTable[Key], -1)</f>
        <v>308</v>
      </c>
    </row>
    <row r="72" spans="1:14" x14ac:dyDescent="0.2">
      <c r="A72" s="151" t="s">
        <v>1240</v>
      </c>
      <c r="B72" s="265">
        <v>45373.071608796294</v>
      </c>
      <c r="C72" s="265">
        <v>45954.835104166668</v>
      </c>
      <c r="D72" s="151" t="s">
        <v>2945</v>
      </c>
      <c r="E72" s="151" t="s">
        <v>1627</v>
      </c>
      <c r="F72" s="151" t="s">
        <v>403</v>
      </c>
      <c r="G72" s="151" t="s">
        <v>2957</v>
      </c>
      <c r="H72" s="265">
        <v>2958465.999988426</v>
      </c>
      <c r="I72" s="151" t="s">
        <v>2958</v>
      </c>
      <c r="J72" s="151" t="s">
        <v>2959</v>
      </c>
      <c r="K72" s="151" t="s">
        <v>2960</v>
      </c>
      <c r="L72" s="151" t="s">
        <v>2949</v>
      </c>
      <c r="M72" s="151" t="s">
        <v>2950</v>
      </c>
      <c r="N72" s="12">
        <f>_xlfn.XLOOKUP(IntuneData[[#This Row],[Serial number]], ITEquipmentTable[Serial], ITEquipmentTable[Key], -1)</f>
        <v>602</v>
      </c>
    </row>
    <row r="73" spans="1:14" x14ac:dyDescent="0.2">
      <c r="A73" s="151" t="s">
        <v>806</v>
      </c>
      <c r="B73" s="265">
        <v>45386.7965746142</v>
      </c>
      <c r="C73" s="265">
        <v>45955.893267669751</v>
      </c>
      <c r="D73" s="151" t="s">
        <v>3227</v>
      </c>
      <c r="E73" s="151" t="s">
        <v>804</v>
      </c>
      <c r="F73" s="151" t="s">
        <v>2962</v>
      </c>
      <c r="G73" s="151" t="s">
        <v>309</v>
      </c>
      <c r="H73" s="265">
        <v>45386.842010378088</v>
      </c>
      <c r="I73" s="151" t="s">
        <v>3236</v>
      </c>
      <c r="J73" s="151" t="s">
        <v>3237</v>
      </c>
      <c r="K73" s="151" t="s">
        <v>3238</v>
      </c>
      <c r="L73" s="151" t="s">
        <v>2966</v>
      </c>
      <c r="M73" s="151" t="s">
        <v>2992</v>
      </c>
      <c r="N73" s="12">
        <f>_xlfn.XLOOKUP(IntuneData[[#This Row],[Serial number]], ITEquipmentTable[Serial], ITEquipmentTable[Key], -1)</f>
        <v>97</v>
      </c>
    </row>
    <row r="74" spans="1:14" x14ac:dyDescent="0.2">
      <c r="A74" s="151" t="s">
        <v>1181</v>
      </c>
      <c r="B74" s="265">
        <v>45373.217453703706</v>
      </c>
      <c r="C74" s="265">
        <v>45944.980474537035</v>
      </c>
      <c r="D74" s="151" t="s">
        <v>3212</v>
      </c>
      <c r="E74" s="151" t="s">
        <v>1180</v>
      </c>
      <c r="F74" s="151" t="s">
        <v>403</v>
      </c>
      <c r="G74" s="151" t="s">
        <v>1179</v>
      </c>
      <c r="H74" s="265">
        <v>45942.499710648146</v>
      </c>
      <c r="I74" s="151" t="s">
        <v>3213</v>
      </c>
      <c r="J74" s="151" t="s">
        <v>3214</v>
      </c>
      <c r="K74" s="151" t="s">
        <v>3215</v>
      </c>
      <c r="L74" s="151" t="s">
        <v>2949</v>
      </c>
      <c r="M74" s="151" t="s">
        <v>2992</v>
      </c>
      <c r="N74" s="12">
        <f>_xlfn.XLOOKUP(IntuneData[[#This Row],[Serial number]], ITEquipmentTable[Serial], ITEquipmentTable[Key], -1)</f>
        <v>7</v>
      </c>
    </row>
    <row r="75" spans="1:14" x14ac:dyDescent="0.2">
      <c r="A75" s="151" t="s">
        <v>2238</v>
      </c>
      <c r="B75" s="265">
        <v>45853.358197839509</v>
      </c>
      <c r="C75" s="265">
        <v>45955.787605246915</v>
      </c>
      <c r="D75" s="151" t="s">
        <v>2945</v>
      </c>
      <c r="E75" s="151" t="s">
        <v>2961</v>
      </c>
      <c r="F75" s="151" t="s">
        <v>2962</v>
      </c>
      <c r="G75" s="151" t="s">
        <v>416</v>
      </c>
      <c r="H75" s="265">
        <v>2958465.9999999614</v>
      </c>
      <c r="I75" s="151" t="s">
        <v>2963</v>
      </c>
      <c r="J75" s="151" t="s">
        <v>2964</v>
      </c>
      <c r="K75" s="151" t="s">
        <v>2965</v>
      </c>
      <c r="L75" s="151" t="s">
        <v>2966</v>
      </c>
      <c r="M75" s="151" t="s">
        <v>2950</v>
      </c>
      <c r="N75" s="12">
        <f>_xlfn.XLOOKUP(IntuneData[[#This Row],[Serial number]], ITEquipmentTable[Serial], ITEquipmentTable[Key], -1)</f>
        <v>-1</v>
      </c>
    </row>
    <row r="76" spans="1:14" x14ac:dyDescent="0.2">
      <c r="A76" s="151" t="s">
        <v>2241</v>
      </c>
      <c r="B76" s="265">
        <v>45532.750176427471</v>
      </c>
      <c r="C76" s="265">
        <v>45955.846185802468</v>
      </c>
      <c r="D76" s="151" t="s">
        <v>2945</v>
      </c>
      <c r="E76" s="151" t="s">
        <v>915</v>
      </c>
      <c r="F76" s="151" t="s">
        <v>403</v>
      </c>
      <c r="G76" s="151" t="s">
        <v>914</v>
      </c>
      <c r="H76" s="265">
        <v>2958465.9999999614</v>
      </c>
      <c r="I76" s="151" t="s">
        <v>2963</v>
      </c>
      <c r="J76" s="151" t="s">
        <v>2964</v>
      </c>
      <c r="K76" s="151" t="s">
        <v>2972</v>
      </c>
      <c r="L76" s="151" t="s">
        <v>2972</v>
      </c>
      <c r="M76" s="151" t="s">
        <v>2950</v>
      </c>
      <c r="N76" s="12">
        <f>_xlfn.XLOOKUP(IntuneData[[#This Row],[Serial number]], ITEquipmentTable[Serial], ITEquipmentTable[Key], -1)</f>
        <v>173</v>
      </c>
    </row>
    <row r="77" spans="1:14" x14ac:dyDescent="0.2">
      <c r="A77" s="151" t="s">
        <v>2274</v>
      </c>
      <c r="B77" s="265">
        <v>45719.448125694442</v>
      </c>
      <c r="C77" s="265">
        <v>45955.889707638889</v>
      </c>
      <c r="D77" s="151" t="s">
        <v>3227</v>
      </c>
      <c r="E77" s="151" t="s">
        <v>3244</v>
      </c>
      <c r="F77" s="151" t="s">
        <v>3134</v>
      </c>
      <c r="G77" s="151" t="s">
        <v>3245</v>
      </c>
      <c r="H77" s="265">
        <v>2958465.9999999614</v>
      </c>
      <c r="I77" s="151" t="s">
        <v>2963</v>
      </c>
      <c r="J77" s="151" t="s">
        <v>2964</v>
      </c>
      <c r="K77" s="151" t="s">
        <v>3246</v>
      </c>
      <c r="L77" s="151" t="s">
        <v>2949</v>
      </c>
      <c r="M77" s="151" t="s">
        <v>2950</v>
      </c>
      <c r="N77" s="12">
        <f>_xlfn.XLOOKUP(IntuneData[[#This Row],[Serial number]], ITEquipmentTable[Serial], ITEquipmentTable[Key], -1)</f>
        <v>-1</v>
      </c>
    </row>
    <row r="78" spans="1:14" x14ac:dyDescent="0.2">
      <c r="A78" s="151" t="s">
        <v>2277</v>
      </c>
      <c r="B78" s="265">
        <v>45467.580464506173</v>
      </c>
      <c r="C78" s="265">
        <v>45955.844199768515</v>
      </c>
      <c r="D78" s="151" t="s">
        <v>2945</v>
      </c>
      <c r="E78" s="151" t="s">
        <v>2987</v>
      </c>
      <c r="F78" s="151" t="s">
        <v>403</v>
      </c>
      <c r="G78" s="151" t="s">
        <v>1197</v>
      </c>
      <c r="H78" s="265">
        <v>2958465.9999999614</v>
      </c>
      <c r="I78" s="151" t="s">
        <v>2963</v>
      </c>
      <c r="J78" s="151" t="s">
        <v>2964</v>
      </c>
      <c r="K78" s="151" t="s">
        <v>2988</v>
      </c>
      <c r="L78" s="151" t="s">
        <v>2949</v>
      </c>
      <c r="M78" s="151" t="s">
        <v>2950</v>
      </c>
      <c r="N78" s="12">
        <f>_xlfn.XLOOKUP(IntuneData[[#This Row],[Serial number]], ITEquipmentTable[Serial], ITEquipmentTable[Key], -1)</f>
        <v>-1</v>
      </c>
    </row>
    <row r="79" spans="1:14" x14ac:dyDescent="0.2">
      <c r="A79" s="151" t="s">
        <v>2300</v>
      </c>
      <c r="B79" s="265">
        <v>45666.299829783951</v>
      </c>
      <c r="C79" s="265">
        <v>45955.395572299385</v>
      </c>
      <c r="D79" s="151" t="s">
        <v>2945</v>
      </c>
      <c r="E79" s="151" t="s">
        <v>3033</v>
      </c>
      <c r="F79" s="151" t="s">
        <v>403</v>
      </c>
      <c r="G79" s="151" t="s">
        <v>3034</v>
      </c>
      <c r="H79" s="265">
        <v>2958465.9999999614</v>
      </c>
      <c r="I79" s="151" t="s">
        <v>2963</v>
      </c>
      <c r="J79" s="151" t="s">
        <v>2964</v>
      </c>
      <c r="K79" s="151" t="s">
        <v>3035</v>
      </c>
      <c r="L79" s="151" t="s">
        <v>3036</v>
      </c>
      <c r="M79" s="151" t="s">
        <v>2950</v>
      </c>
      <c r="N79" s="12">
        <f>_xlfn.XLOOKUP(IntuneData[[#This Row],[Serial number]], ITEquipmentTable[Serial], ITEquipmentTable[Key], -1)</f>
        <v>-1</v>
      </c>
    </row>
    <row r="80" spans="1:14" x14ac:dyDescent="0.2">
      <c r="A80" s="151" t="s">
        <v>1616</v>
      </c>
      <c r="B80" s="265">
        <v>45391.534872685188</v>
      </c>
      <c r="C80" s="265">
        <v>45954.795995370368</v>
      </c>
      <c r="D80" s="151" t="s">
        <v>2945</v>
      </c>
      <c r="E80" s="151" t="s">
        <v>3101</v>
      </c>
      <c r="F80" s="151" t="s">
        <v>403</v>
      </c>
      <c r="G80" s="151" t="s">
        <v>2957</v>
      </c>
      <c r="H80" s="265">
        <v>2958465.999988426</v>
      </c>
      <c r="I80" s="151" t="s">
        <v>2963</v>
      </c>
      <c r="J80" s="151" t="s">
        <v>2964</v>
      </c>
      <c r="K80" s="151" t="s">
        <v>3102</v>
      </c>
      <c r="L80" s="151" t="s">
        <v>2986</v>
      </c>
      <c r="M80" s="151" t="s">
        <v>2950</v>
      </c>
      <c r="N80" s="12">
        <f>_xlfn.XLOOKUP(IntuneData[[#This Row],[Serial number]], ITEquipmentTable[Serial], ITEquipmentTable[Key], -1)</f>
        <v>188</v>
      </c>
    </row>
    <row r="81" spans="1:14" x14ac:dyDescent="0.2">
      <c r="A81" s="151" t="s">
        <v>1670</v>
      </c>
      <c r="B81" s="265">
        <v>45474.531030092592</v>
      </c>
      <c r="C81" s="265">
        <v>45954.475057870368</v>
      </c>
      <c r="D81" s="151" t="s">
        <v>2945</v>
      </c>
      <c r="E81" s="151" t="s">
        <v>3196</v>
      </c>
      <c r="F81" s="151" t="s">
        <v>403</v>
      </c>
      <c r="G81" s="151" t="s">
        <v>536</v>
      </c>
      <c r="H81" s="265">
        <v>2958465.999988426</v>
      </c>
      <c r="I81" s="151" t="s">
        <v>2963</v>
      </c>
      <c r="J81" s="151" t="s">
        <v>2964</v>
      </c>
      <c r="K81" s="151" t="s">
        <v>3197</v>
      </c>
      <c r="L81" s="151" t="s">
        <v>3198</v>
      </c>
      <c r="M81" s="151" t="s">
        <v>2950</v>
      </c>
      <c r="N81" s="12">
        <f>_xlfn.XLOOKUP(IntuneData[[#This Row],[Serial number]], ITEquipmentTable[Serial], ITEquipmentTable[Key], -1)</f>
        <v>197</v>
      </c>
    </row>
    <row r="82" spans="1:14" x14ac:dyDescent="0.2">
      <c r="A82" s="151" t="s">
        <v>2337</v>
      </c>
      <c r="B82" s="265">
        <v>45852.725187770062</v>
      </c>
      <c r="C82" s="265">
        <v>45955.444697067898</v>
      </c>
      <c r="D82" s="151" t="s">
        <v>2945</v>
      </c>
      <c r="E82" s="151" t="s">
        <v>1774</v>
      </c>
      <c r="F82" s="151" t="s">
        <v>403</v>
      </c>
      <c r="G82" s="151" t="s">
        <v>1175</v>
      </c>
      <c r="H82" s="265">
        <v>2958465.9999999614</v>
      </c>
      <c r="I82" s="151" t="s">
        <v>2963</v>
      </c>
      <c r="J82" s="151" t="s">
        <v>2964</v>
      </c>
      <c r="K82" s="151" t="s">
        <v>3204</v>
      </c>
      <c r="L82" s="151" t="s">
        <v>2949</v>
      </c>
      <c r="M82" s="151" t="s">
        <v>2950</v>
      </c>
      <c r="N82" s="12">
        <f>_xlfn.XLOOKUP(IntuneData[[#This Row],[Serial number]], ITEquipmentTable[Serial], ITEquipmentTable[Key], -1)</f>
        <v>259</v>
      </c>
    </row>
    <row r="83" spans="1:14" x14ac:dyDescent="0.2">
      <c r="A83" s="151" t="s">
        <v>970</v>
      </c>
      <c r="B83" s="265">
        <v>45522.475743094139</v>
      </c>
      <c r="C83" s="265">
        <v>45955.905744984571</v>
      </c>
      <c r="D83" s="151" t="s">
        <v>3227</v>
      </c>
      <c r="E83" s="151" t="s">
        <v>968</v>
      </c>
      <c r="F83" s="151" t="s">
        <v>403</v>
      </c>
      <c r="G83" s="151" t="s">
        <v>967</v>
      </c>
      <c r="H83" s="265">
        <v>45522.478796643518</v>
      </c>
      <c r="I83" s="151" t="s">
        <v>2963</v>
      </c>
      <c r="J83" s="151" t="s">
        <v>2964</v>
      </c>
      <c r="K83" s="151" t="s">
        <v>3208</v>
      </c>
      <c r="L83" s="151" t="s">
        <v>2949</v>
      </c>
      <c r="M83" s="151" t="s">
        <v>2992</v>
      </c>
      <c r="N83" s="12">
        <f>_xlfn.XLOOKUP(IntuneData[[#This Row],[Serial number]], ITEquipmentTable[Serial], ITEquipmentTable[Key], -1)</f>
        <v>216</v>
      </c>
    </row>
    <row r="84" spans="1:14" x14ac:dyDescent="0.2">
      <c r="A84" s="151" t="s">
        <v>2366</v>
      </c>
      <c r="B84" s="265">
        <v>45490.58353009259</v>
      </c>
      <c r="C84" s="265">
        <v>45931.346863425926</v>
      </c>
      <c r="D84" s="151" t="s">
        <v>3216</v>
      </c>
      <c r="E84" s="151" t="s">
        <v>1765</v>
      </c>
      <c r="F84" s="151" t="s">
        <v>2962</v>
      </c>
      <c r="G84" s="151" t="s">
        <v>416</v>
      </c>
      <c r="H84" s="265">
        <v>2958465.999988426</v>
      </c>
      <c r="I84" s="151" t="s">
        <v>2963</v>
      </c>
      <c r="J84" s="151" t="s">
        <v>2964</v>
      </c>
      <c r="K84" s="151" t="s">
        <v>3313</v>
      </c>
      <c r="L84" s="151" t="s">
        <v>2949</v>
      </c>
      <c r="M84" s="151" t="s">
        <v>2950</v>
      </c>
      <c r="N84" s="12">
        <f>_xlfn.XLOOKUP(IntuneData[[#This Row],[Serial number]], ITEquipmentTable[Serial], ITEquipmentTable[Key], -1)</f>
        <v>484</v>
      </c>
    </row>
    <row r="85" spans="1:14" x14ac:dyDescent="0.2">
      <c r="A85" s="151" t="s">
        <v>2368</v>
      </c>
      <c r="B85" s="265">
        <v>45769.594583333332</v>
      </c>
      <c r="C85" s="265">
        <v>45954.690879629627</v>
      </c>
      <c r="D85" s="151" t="s">
        <v>2945</v>
      </c>
      <c r="E85" s="151" t="s">
        <v>3209</v>
      </c>
      <c r="F85" s="151" t="s">
        <v>403</v>
      </c>
      <c r="G85" s="151" t="s">
        <v>536</v>
      </c>
      <c r="H85" s="265">
        <v>2958465.999988426</v>
      </c>
      <c r="I85" s="151" t="s">
        <v>2963</v>
      </c>
      <c r="J85" s="151" t="s">
        <v>2964</v>
      </c>
      <c r="K85" s="151" t="s">
        <v>3210</v>
      </c>
      <c r="L85" s="151" t="s">
        <v>3211</v>
      </c>
      <c r="M85" s="151" t="s">
        <v>2950</v>
      </c>
      <c r="N85" s="12">
        <f>_xlfn.XLOOKUP(IntuneData[[#This Row],[Serial number]], ITEquipmentTable[Serial], ITEquipmentTable[Key], -1)</f>
        <v>-1</v>
      </c>
    </row>
    <row r="86" spans="1:14" x14ac:dyDescent="0.2">
      <c r="A86" s="151" t="s">
        <v>1432</v>
      </c>
      <c r="B86" s="265">
        <v>45938.487839891975</v>
      </c>
      <c r="C86" s="265">
        <v>45955.917142862658</v>
      </c>
      <c r="D86" s="151" t="s">
        <v>3227</v>
      </c>
      <c r="E86" s="151" t="s">
        <v>1466</v>
      </c>
      <c r="F86" s="151" t="s">
        <v>3258</v>
      </c>
      <c r="G86" s="151" t="s">
        <v>656</v>
      </c>
      <c r="H86" s="265">
        <v>2958465.9999999614</v>
      </c>
      <c r="I86" s="151" t="s">
        <v>3259</v>
      </c>
      <c r="J86" s="151" t="s">
        <v>3260</v>
      </c>
      <c r="K86" s="151" t="s">
        <v>3261</v>
      </c>
      <c r="L86" s="151" t="s">
        <v>2949</v>
      </c>
      <c r="M86" s="151" t="s">
        <v>2950</v>
      </c>
      <c r="N86" s="12">
        <f>_xlfn.XLOOKUP(IntuneData[[#This Row],[Serial number]], ITEquipmentTable[Serial], ITEquipmentTable[Key], -1)</f>
        <v>630</v>
      </c>
    </row>
    <row r="87" spans="1:14" x14ac:dyDescent="0.2">
      <c r="A87" s="151" t="s">
        <v>1589</v>
      </c>
      <c r="B87" s="265">
        <v>45372.763305208333</v>
      </c>
      <c r="C87" s="265">
        <v>45955.86982989969</v>
      </c>
      <c r="D87" s="151" t="s">
        <v>2945</v>
      </c>
      <c r="E87" s="151" t="s">
        <v>3050</v>
      </c>
      <c r="F87" s="151" t="s">
        <v>403</v>
      </c>
      <c r="G87" s="151" t="s">
        <v>2957</v>
      </c>
      <c r="H87" s="265">
        <v>2958465.9999999614</v>
      </c>
      <c r="I87" s="151" t="s">
        <v>3051</v>
      </c>
      <c r="J87" s="151" t="s">
        <v>3052</v>
      </c>
      <c r="K87" s="151" t="s">
        <v>3053</v>
      </c>
      <c r="L87" s="151" t="s">
        <v>2986</v>
      </c>
      <c r="M87" s="151" t="s">
        <v>2950</v>
      </c>
      <c r="N87" s="12">
        <f>_xlfn.XLOOKUP(IntuneData[[#This Row],[Serial number]], ITEquipmentTable[Serial], ITEquipmentTable[Key], -1)</f>
        <v>546</v>
      </c>
    </row>
    <row r="88" spans="1:14" x14ac:dyDescent="0.2">
      <c r="A88" s="151" t="s">
        <v>1642</v>
      </c>
      <c r="B88" s="265">
        <v>45373.718101851853</v>
      </c>
      <c r="C88" s="265">
        <v>45954.847210648149</v>
      </c>
      <c r="D88" s="151" t="s">
        <v>2945</v>
      </c>
      <c r="E88" s="151" t="s">
        <v>3146</v>
      </c>
      <c r="F88" s="151" t="s">
        <v>403</v>
      </c>
      <c r="G88" s="151" t="s">
        <v>2968</v>
      </c>
      <c r="H88" s="265">
        <v>2958465.999988426</v>
      </c>
      <c r="I88" s="151" t="s">
        <v>3147</v>
      </c>
      <c r="J88" s="151" t="s">
        <v>3148</v>
      </c>
      <c r="K88" s="151" t="s">
        <v>3149</v>
      </c>
      <c r="L88" s="151" t="s">
        <v>3100</v>
      </c>
      <c r="M88" s="151" t="s">
        <v>2950</v>
      </c>
      <c r="N88" s="12">
        <f>_xlfn.XLOOKUP(IntuneData[[#This Row],[Serial number]], ITEquipmentTable[Serial], ITEquipmentTable[Key], -1)</f>
        <v>525</v>
      </c>
    </row>
    <row r="89" spans="1:14" x14ac:dyDescent="0.2">
      <c r="A89" s="151" t="s">
        <v>1452</v>
      </c>
      <c r="B89" s="265">
        <v>45372.795386072532</v>
      </c>
      <c r="C89" s="265">
        <v>45955.891389544755</v>
      </c>
      <c r="D89" s="151" t="s">
        <v>2945</v>
      </c>
      <c r="E89" s="151" t="s">
        <v>2997</v>
      </c>
      <c r="F89" s="151" t="s">
        <v>403</v>
      </c>
      <c r="G89" s="151" t="s">
        <v>536</v>
      </c>
      <c r="H89" s="265">
        <v>2958465.9999999614</v>
      </c>
      <c r="I89" s="151" t="s">
        <v>2998</v>
      </c>
      <c r="J89" s="151" t="s">
        <v>2999</v>
      </c>
      <c r="K89" s="151" t="s">
        <v>3000</v>
      </c>
      <c r="L89" s="151" t="s">
        <v>2966</v>
      </c>
      <c r="M89" s="151" t="s">
        <v>2950</v>
      </c>
      <c r="N89" s="12">
        <f>_xlfn.XLOOKUP(IntuneData[[#This Row],[Serial number]], ITEquipmentTable[Serial], ITEquipmentTable[Key], -1)</f>
        <v>541</v>
      </c>
    </row>
    <row r="90" spans="1:14" x14ac:dyDescent="0.2">
      <c r="A90" s="151" t="s">
        <v>1447</v>
      </c>
      <c r="B90" s="265">
        <v>45373.17231697531</v>
      </c>
      <c r="C90" s="265">
        <v>45955.844260339509</v>
      </c>
      <c r="D90" s="151" t="s">
        <v>2945</v>
      </c>
      <c r="E90" s="151" t="s">
        <v>2993</v>
      </c>
      <c r="F90" s="151" t="s">
        <v>403</v>
      </c>
      <c r="G90" s="151" t="s">
        <v>536</v>
      </c>
      <c r="H90" s="265">
        <v>2958465.9999999614</v>
      </c>
      <c r="I90" s="151" t="s">
        <v>2994</v>
      </c>
      <c r="J90" s="151" t="s">
        <v>2995</v>
      </c>
      <c r="K90" s="151" t="s">
        <v>2996</v>
      </c>
      <c r="L90" s="151" t="s">
        <v>2949</v>
      </c>
      <c r="M90" s="151" t="s">
        <v>2950</v>
      </c>
      <c r="N90" s="12">
        <f>_xlfn.XLOOKUP(IntuneData[[#This Row],[Serial number]], ITEquipmentTable[Serial], ITEquipmentTable[Key], -1)</f>
        <v>540</v>
      </c>
    </row>
    <row r="91" spans="1:14" x14ac:dyDescent="0.2">
      <c r="A91" s="151" t="s">
        <v>1620</v>
      </c>
      <c r="B91" s="265">
        <v>45392.422291666669</v>
      </c>
      <c r="C91" s="265">
        <v>45954.518541666665</v>
      </c>
      <c r="D91" s="151" t="s">
        <v>2945</v>
      </c>
      <c r="E91" s="151" t="s">
        <v>3082</v>
      </c>
      <c r="F91" s="151" t="s">
        <v>403</v>
      </c>
      <c r="G91" s="151" t="s">
        <v>2968</v>
      </c>
      <c r="H91" s="265">
        <v>2958465.999988426</v>
      </c>
      <c r="I91" s="151" t="s">
        <v>3083</v>
      </c>
      <c r="J91" s="151" t="s">
        <v>3084</v>
      </c>
      <c r="K91" s="151" t="s">
        <v>3085</v>
      </c>
      <c r="L91" s="151" t="s">
        <v>3041</v>
      </c>
      <c r="M91" s="151" t="s">
        <v>2950</v>
      </c>
      <c r="N91" s="12">
        <f>_xlfn.XLOOKUP(IntuneData[[#This Row],[Serial number]], ITEquipmentTable[Serial], ITEquipmentTable[Key], -1)</f>
        <v>582</v>
      </c>
    </row>
    <row r="92" spans="1:14" x14ac:dyDescent="0.2">
      <c r="A92" s="151" t="s">
        <v>1089</v>
      </c>
      <c r="B92" s="265">
        <v>45390.611989467594</v>
      </c>
      <c r="C92" s="265">
        <v>45955.70822932099</v>
      </c>
      <c r="D92" s="151" t="s">
        <v>3227</v>
      </c>
      <c r="E92" s="151" t="s">
        <v>3322</v>
      </c>
      <c r="F92" s="151" t="s">
        <v>2962</v>
      </c>
      <c r="G92" s="151" t="s">
        <v>416</v>
      </c>
      <c r="H92" s="265">
        <v>45404.086247029321</v>
      </c>
      <c r="I92" s="151" t="s">
        <v>3323</v>
      </c>
      <c r="J92" s="151" t="s">
        <v>3324</v>
      </c>
      <c r="K92" s="151" t="s">
        <v>2972</v>
      </c>
      <c r="L92" s="151" t="s">
        <v>2972</v>
      </c>
      <c r="M92" s="151" t="s">
        <v>2992</v>
      </c>
      <c r="N92" s="12">
        <f>_xlfn.XLOOKUP(IntuneData[[#This Row],[Serial number]], ITEquipmentTable[Serial], ITEquipmentTable[Key], -1)</f>
        <v>261</v>
      </c>
    </row>
    <row r="93" spans="1:14" x14ac:dyDescent="0.2">
      <c r="A93" s="151" t="s">
        <v>1099</v>
      </c>
      <c r="B93" s="265">
        <v>45390.612626658949</v>
      </c>
      <c r="C93" s="265">
        <v>45955.709229359571</v>
      </c>
      <c r="D93" s="151" t="s">
        <v>3227</v>
      </c>
      <c r="E93" s="151" t="s">
        <v>1097</v>
      </c>
      <c r="F93" s="151" t="s">
        <v>403</v>
      </c>
      <c r="G93" s="151" t="s">
        <v>960</v>
      </c>
      <c r="H93" s="265">
        <v>45390.616968171293</v>
      </c>
      <c r="I93" s="151" t="s">
        <v>3314</v>
      </c>
      <c r="J93" s="151" t="s">
        <v>3315</v>
      </c>
      <c r="K93" s="151" t="s">
        <v>3316</v>
      </c>
      <c r="L93" s="151" t="s">
        <v>2966</v>
      </c>
      <c r="M93" s="151" t="s">
        <v>2992</v>
      </c>
      <c r="N93" s="12">
        <f>_xlfn.XLOOKUP(IntuneData[[#This Row],[Serial number]], ITEquipmentTable[Serial], ITEquipmentTable[Key], -1)</f>
        <v>266</v>
      </c>
    </row>
    <row r="94" spans="1:14" x14ac:dyDescent="0.2">
      <c r="A94" s="151" t="s">
        <v>2314</v>
      </c>
      <c r="B94" s="265">
        <v>45938.116794675923</v>
      </c>
      <c r="C94" s="265">
        <v>45955.87969174383</v>
      </c>
      <c r="D94" s="151" t="s">
        <v>2945</v>
      </c>
      <c r="E94" s="151" t="s">
        <v>1628</v>
      </c>
      <c r="F94" s="151" t="s">
        <v>403</v>
      </c>
      <c r="G94" s="151" t="s">
        <v>1170</v>
      </c>
      <c r="H94" s="265">
        <v>2958465.9999999614</v>
      </c>
      <c r="I94" s="151" t="s">
        <v>3118</v>
      </c>
      <c r="J94" s="151" t="s">
        <v>3119</v>
      </c>
      <c r="K94" s="151" t="s">
        <v>3120</v>
      </c>
      <c r="L94" s="151" t="s">
        <v>2949</v>
      </c>
      <c r="M94" s="151" t="s">
        <v>2950</v>
      </c>
      <c r="N94" s="12">
        <f>_xlfn.XLOOKUP(IntuneData[[#This Row],[Serial number]], ITEquipmentTable[Serial], ITEquipmentTable[Key], -1)</f>
        <v>558</v>
      </c>
    </row>
    <row r="95" spans="1:14" x14ac:dyDescent="0.2">
      <c r="A95" s="151" t="s">
        <v>1606</v>
      </c>
      <c r="B95" s="265">
        <v>45372.801493055558</v>
      </c>
      <c r="C95" s="265">
        <v>45952.464328703703</v>
      </c>
      <c r="D95" s="151" t="s">
        <v>3216</v>
      </c>
      <c r="E95" s="151" t="s">
        <v>3288</v>
      </c>
      <c r="F95" s="151" t="s">
        <v>403</v>
      </c>
      <c r="G95" s="151" t="s">
        <v>2957</v>
      </c>
      <c r="H95" s="265">
        <v>2958465.999988426</v>
      </c>
      <c r="I95" s="151" t="s">
        <v>3289</v>
      </c>
      <c r="J95" s="151" t="s">
        <v>3290</v>
      </c>
      <c r="K95" s="151" t="s">
        <v>3291</v>
      </c>
      <c r="L95" s="151" t="s">
        <v>2966</v>
      </c>
      <c r="M95" s="151" t="s">
        <v>2950</v>
      </c>
      <c r="N95" s="12">
        <f>_xlfn.XLOOKUP(IntuneData[[#This Row],[Serial number]], ITEquipmentTable[Serial], ITEquipmentTable[Key], -1)</f>
        <v>551</v>
      </c>
    </row>
    <row r="96" spans="1:14" x14ac:dyDescent="0.2">
      <c r="A96" s="151" t="s">
        <v>1666</v>
      </c>
      <c r="B96" s="265">
        <v>45744.066067901236</v>
      </c>
      <c r="C96" s="265">
        <v>45955.836454668213</v>
      </c>
      <c r="D96" s="151" t="s">
        <v>2945</v>
      </c>
      <c r="E96" s="151" t="s">
        <v>3189</v>
      </c>
      <c r="F96" s="151" t="s">
        <v>403</v>
      </c>
      <c r="G96" s="151" t="s">
        <v>2968</v>
      </c>
      <c r="H96" s="265">
        <v>2958465.9999999614</v>
      </c>
      <c r="I96" s="151" t="s">
        <v>3190</v>
      </c>
      <c r="J96" s="151" t="s">
        <v>3191</v>
      </c>
      <c r="K96" s="151" t="s">
        <v>3192</v>
      </c>
      <c r="L96" s="151" t="s">
        <v>2966</v>
      </c>
      <c r="M96" s="151" t="s">
        <v>2950</v>
      </c>
      <c r="N96" s="12">
        <f>_xlfn.XLOOKUP(IntuneData[[#This Row],[Serial number]], ITEquipmentTable[Serial], ITEquipmentTable[Key], -1)</f>
        <v>570</v>
      </c>
    </row>
    <row r="97" spans="1:14" x14ac:dyDescent="0.2">
      <c r="A97" s="151" t="s">
        <v>2335</v>
      </c>
      <c r="B97" s="265">
        <v>45510.325729166667</v>
      </c>
      <c r="C97" s="265">
        <v>45922.204409722224</v>
      </c>
      <c r="D97" s="151" t="s">
        <v>3212</v>
      </c>
      <c r="E97" s="151" t="s">
        <v>882</v>
      </c>
      <c r="F97" s="151" t="s">
        <v>2962</v>
      </c>
      <c r="G97" s="151" t="s">
        <v>416</v>
      </c>
      <c r="H97" s="265">
        <v>45518.412870370368</v>
      </c>
      <c r="I97" s="151" t="s">
        <v>3305</v>
      </c>
      <c r="J97" s="151" t="s">
        <v>3306</v>
      </c>
      <c r="K97" s="151" t="s">
        <v>3307</v>
      </c>
      <c r="L97" s="151" t="s">
        <v>2966</v>
      </c>
      <c r="M97" s="151" t="s">
        <v>2992</v>
      </c>
      <c r="N97" s="12">
        <f>_xlfn.XLOOKUP(IntuneData[[#This Row],[Serial number]], ITEquipmentTable[Serial], ITEquipmentTable[Key], -1)</f>
        <v>213</v>
      </c>
    </row>
    <row r="98" spans="1:14" x14ac:dyDescent="0.2">
      <c r="A98" s="151" t="s">
        <v>1636</v>
      </c>
      <c r="B98" s="265">
        <v>45372.779965277776</v>
      </c>
      <c r="C98" s="265">
        <v>45954.509976851848</v>
      </c>
      <c r="D98" s="151" t="s">
        <v>2945</v>
      </c>
      <c r="E98" s="151" t="s">
        <v>3125</v>
      </c>
      <c r="F98" s="151" t="s">
        <v>403</v>
      </c>
      <c r="G98" s="151" t="s">
        <v>2968</v>
      </c>
      <c r="H98" s="265">
        <v>2958465.999988426</v>
      </c>
      <c r="I98" s="151" t="s">
        <v>3126</v>
      </c>
      <c r="J98" s="151" t="s">
        <v>3127</v>
      </c>
      <c r="K98" s="151" t="s">
        <v>3128</v>
      </c>
      <c r="L98" s="151" t="s">
        <v>2966</v>
      </c>
      <c r="M98" s="151" t="s">
        <v>2950</v>
      </c>
      <c r="N98" s="12">
        <f>_xlfn.XLOOKUP(IntuneData[[#This Row],[Serial number]], ITEquipmentTable[Serial], ITEquipmentTable[Key], -1)</f>
        <v>643</v>
      </c>
    </row>
    <row r="99" spans="1:14" x14ac:dyDescent="0.2">
      <c r="A99" s="151" t="s">
        <v>2286</v>
      </c>
      <c r="B99" s="265">
        <v>45460.734861111108</v>
      </c>
      <c r="C99" s="265">
        <v>45954.114537037036</v>
      </c>
      <c r="D99" s="151" t="s">
        <v>2945</v>
      </c>
      <c r="E99" s="151" t="s">
        <v>3009</v>
      </c>
      <c r="F99" s="151" t="s">
        <v>403</v>
      </c>
      <c r="G99" s="151" t="s">
        <v>536</v>
      </c>
      <c r="H99" s="265">
        <v>2958465.999988426</v>
      </c>
      <c r="I99" s="151" t="s">
        <v>3010</v>
      </c>
      <c r="J99" s="151" t="s">
        <v>3011</v>
      </c>
      <c r="K99" s="151" t="s">
        <v>3012</v>
      </c>
      <c r="L99" s="151" t="s">
        <v>2966</v>
      </c>
      <c r="M99" s="151" t="s">
        <v>2950</v>
      </c>
      <c r="N99" s="12">
        <f>_xlfn.XLOOKUP(IntuneData[[#This Row],[Serial number]], ITEquipmentTable[Serial], ITEquipmentTable[Key], -1)</f>
        <v>-1</v>
      </c>
    </row>
    <row r="100" spans="1:14" x14ac:dyDescent="0.2">
      <c r="A100" s="151" t="s">
        <v>2293</v>
      </c>
      <c r="B100" s="265">
        <v>45855.55572916667</v>
      </c>
      <c r="C100" s="265">
        <v>45953.657893518517</v>
      </c>
      <c r="D100" s="151" t="s">
        <v>2945</v>
      </c>
      <c r="E100" s="151" t="s">
        <v>3029</v>
      </c>
      <c r="F100" s="151" t="s">
        <v>403</v>
      </c>
      <c r="G100" s="151" t="s">
        <v>2974</v>
      </c>
      <c r="H100" s="265">
        <v>2958465.999988426</v>
      </c>
      <c r="I100" s="151" t="s">
        <v>3010</v>
      </c>
      <c r="J100" s="151" t="s">
        <v>3011</v>
      </c>
      <c r="K100" s="151" t="s">
        <v>3030</v>
      </c>
      <c r="L100" s="151" t="s">
        <v>2966</v>
      </c>
      <c r="M100" s="151" t="s">
        <v>2950</v>
      </c>
      <c r="N100" s="12">
        <f>_xlfn.XLOOKUP(IntuneData[[#This Row],[Serial number]], ITEquipmentTable[Serial], ITEquipmentTable[Key], -1)</f>
        <v>-1</v>
      </c>
    </row>
    <row r="101" spans="1:14" x14ac:dyDescent="0.2">
      <c r="A101" s="151" t="s">
        <v>2291</v>
      </c>
      <c r="B101" s="265">
        <v>45589.49664351852</v>
      </c>
      <c r="C101" s="265">
        <v>45954.593043981484</v>
      </c>
      <c r="D101" s="151" t="s">
        <v>2945</v>
      </c>
      <c r="E101" s="151" t="s">
        <v>3025</v>
      </c>
      <c r="F101" s="151" t="s">
        <v>403</v>
      </c>
      <c r="G101" s="151" t="s">
        <v>536</v>
      </c>
      <c r="H101" s="265">
        <v>2958465.999988426</v>
      </c>
      <c r="I101" s="151" t="s">
        <v>3026</v>
      </c>
      <c r="J101" s="151" t="s">
        <v>3027</v>
      </c>
      <c r="K101" s="151" t="s">
        <v>3028</v>
      </c>
      <c r="L101" s="151" t="s">
        <v>2986</v>
      </c>
      <c r="M101" s="151" t="s">
        <v>2950</v>
      </c>
      <c r="N101" s="12">
        <f>_xlfn.XLOOKUP(IntuneData[[#This Row],[Serial number]], ITEquipmentTable[Serial], ITEquipmentTable[Key], -1)</f>
        <v>-1</v>
      </c>
    </row>
    <row r="102" spans="1:14" x14ac:dyDescent="0.2">
      <c r="A102" s="151" t="s">
        <v>2292</v>
      </c>
      <c r="B102" s="265">
        <v>45674.504953703705</v>
      </c>
      <c r="C102" s="265">
        <v>45858.275196759256</v>
      </c>
      <c r="D102" s="151" t="s">
        <v>3272</v>
      </c>
      <c r="E102" s="151" t="s">
        <v>3273</v>
      </c>
      <c r="F102" s="151" t="s">
        <v>403</v>
      </c>
      <c r="G102" s="151" t="s">
        <v>3034</v>
      </c>
      <c r="H102" s="265">
        <v>45919.015381944446</v>
      </c>
      <c r="I102" s="151" t="s">
        <v>3274</v>
      </c>
      <c r="J102" s="151" t="s">
        <v>3275</v>
      </c>
      <c r="K102" s="151" t="s">
        <v>3204</v>
      </c>
      <c r="L102" s="151" t="s">
        <v>2949</v>
      </c>
      <c r="M102" s="151" t="s">
        <v>2992</v>
      </c>
      <c r="N102" s="12">
        <f>_xlfn.XLOOKUP(IntuneData[[#This Row],[Serial number]], ITEquipmentTable[Serial], ITEquipmentTable[Key], -1)</f>
        <v>-1</v>
      </c>
    </row>
    <row r="103" spans="1:14" x14ac:dyDescent="0.2">
      <c r="A103" s="151" t="s">
        <v>1664</v>
      </c>
      <c r="B103" s="265">
        <v>45372.801608796297</v>
      </c>
      <c r="C103" s="265">
        <v>45954.571516203701</v>
      </c>
      <c r="D103" s="151" t="s">
        <v>3247</v>
      </c>
      <c r="E103" s="151" t="s">
        <v>3297</v>
      </c>
      <c r="F103" s="151" t="s">
        <v>403</v>
      </c>
      <c r="G103" s="151" t="s">
        <v>3218</v>
      </c>
      <c r="H103" s="265">
        <v>2958465.999988426</v>
      </c>
      <c r="I103" s="151" t="s">
        <v>3274</v>
      </c>
      <c r="J103" s="151" t="s">
        <v>3275</v>
      </c>
      <c r="K103" s="151" t="s">
        <v>3298</v>
      </c>
      <c r="L103" s="151" t="s">
        <v>2949</v>
      </c>
      <c r="M103" s="151" t="s">
        <v>2950</v>
      </c>
      <c r="N103" s="12">
        <f>_xlfn.XLOOKUP(IntuneData[[#This Row],[Serial number]], ITEquipmentTable[Serial], ITEquipmentTable[Key], -1)</f>
        <v>196</v>
      </c>
    </row>
    <row r="104" spans="1:14" x14ac:dyDescent="0.2">
      <c r="A104" s="151" t="s">
        <v>1613</v>
      </c>
      <c r="B104" s="265">
        <v>45372.907794135805</v>
      </c>
      <c r="C104" s="265">
        <v>45955.670814390432</v>
      </c>
      <c r="D104" s="151" t="s">
        <v>2945</v>
      </c>
      <c r="E104" s="151" t="s">
        <v>3093</v>
      </c>
      <c r="F104" s="151" t="s">
        <v>403</v>
      </c>
      <c r="G104" s="151" t="s">
        <v>2957</v>
      </c>
      <c r="H104" s="265">
        <v>2958465.9999999614</v>
      </c>
      <c r="I104" s="151" t="s">
        <v>3094</v>
      </c>
      <c r="J104" s="151" t="s">
        <v>3095</v>
      </c>
      <c r="K104" s="151" t="s">
        <v>3096</v>
      </c>
      <c r="L104" s="151" t="s">
        <v>2949</v>
      </c>
      <c r="M104" s="151" t="s">
        <v>2950</v>
      </c>
      <c r="N104" s="12">
        <f>_xlfn.XLOOKUP(IntuneData[[#This Row],[Serial number]], ITEquipmentTable[Serial], ITEquipmentTable[Key], -1)</f>
        <v>584</v>
      </c>
    </row>
    <row r="105" spans="1:14" x14ac:dyDescent="0.2">
      <c r="A105" s="151" t="s">
        <v>2951</v>
      </c>
      <c r="B105" s="265">
        <v>45372.767476851855</v>
      </c>
      <c r="C105" s="265">
        <v>45954.46465277778</v>
      </c>
      <c r="D105" s="151" t="s">
        <v>2945</v>
      </c>
      <c r="E105" s="151" t="s">
        <v>2952</v>
      </c>
      <c r="F105" s="151" t="s">
        <v>403</v>
      </c>
      <c r="G105" s="151" t="s">
        <v>536</v>
      </c>
      <c r="H105" s="265">
        <v>2958465.999988426</v>
      </c>
      <c r="I105" s="151" t="s">
        <v>2953</v>
      </c>
      <c r="J105" s="151" t="s">
        <v>2954</v>
      </c>
      <c r="K105" s="151" t="s">
        <v>2955</v>
      </c>
      <c r="L105" s="151" t="s">
        <v>2956</v>
      </c>
      <c r="M105" s="151" t="s">
        <v>2950</v>
      </c>
      <c r="N105" s="12">
        <f>_xlfn.XLOOKUP(IntuneData[[#This Row],[Serial number]], ITEquipmentTable[Serial], ITEquipmentTable[Key], -1)</f>
        <v>-1</v>
      </c>
    </row>
    <row r="106" spans="1:14" x14ac:dyDescent="0.2">
      <c r="A106" s="151" t="s">
        <v>1655</v>
      </c>
      <c r="B106" s="265">
        <v>45372.784140625001</v>
      </c>
      <c r="C106" s="265">
        <v>45955.903722839503</v>
      </c>
      <c r="D106" s="151" t="s">
        <v>2945</v>
      </c>
      <c r="E106" s="151" t="s">
        <v>3167</v>
      </c>
      <c r="F106" s="151" t="s">
        <v>403</v>
      </c>
      <c r="G106" s="151" t="s">
        <v>2968</v>
      </c>
      <c r="H106" s="265">
        <v>2958465.9999999614</v>
      </c>
      <c r="I106" s="151" t="s">
        <v>3168</v>
      </c>
      <c r="J106" s="151" t="s">
        <v>3169</v>
      </c>
      <c r="K106" s="151" t="s">
        <v>3170</v>
      </c>
      <c r="L106" s="151" t="s">
        <v>3041</v>
      </c>
      <c r="M106" s="151" t="s">
        <v>2950</v>
      </c>
      <c r="N106" s="12">
        <f>_xlfn.XLOOKUP(IntuneData[[#This Row],[Serial number]], ITEquipmentTable[Serial], ITEquipmentTable[Key], -1)</f>
        <v>566</v>
      </c>
    </row>
    <row r="107" spans="1:14" x14ac:dyDescent="0.2">
      <c r="A107" s="151" t="s">
        <v>1607</v>
      </c>
      <c r="B107" s="265">
        <v>45373.4980001929</v>
      </c>
      <c r="C107" s="265">
        <v>45955.675841705248</v>
      </c>
      <c r="D107" s="151" t="s">
        <v>2945</v>
      </c>
      <c r="E107" s="151" t="s">
        <v>3078</v>
      </c>
      <c r="F107" s="151" t="s">
        <v>403</v>
      </c>
      <c r="G107" s="151" t="s">
        <v>2957</v>
      </c>
      <c r="H107" s="265">
        <v>2958465.9999999614</v>
      </c>
      <c r="I107" s="151" t="s">
        <v>3079</v>
      </c>
      <c r="J107" s="151" t="s">
        <v>3080</v>
      </c>
      <c r="K107" s="151" t="s">
        <v>3081</v>
      </c>
      <c r="L107" s="151" t="s">
        <v>3041</v>
      </c>
      <c r="M107" s="151" t="s">
        <v>2950</v>
      </c>
      <c r="N107" s="12">
        <f>_xlfn.XLOOKUP(IntuneData[[#This Row],[Serial number]], ITEquipmentTable[Serial], ITEquipmentTable[Key], -1)</f>
        <v>581</v>
      </c>
    </row>
    <row r="108" spans="1:14" x14ac:dyDescent="0.2">
      <c r="A108" s="151" t="s">
        <v>1644</v>
      </c>
      <c r="B108" s="265">
        <v>45373.482754629629</v>
      </c>
      <c r="C108" s="265">
        <v>45954.794722222221</v>
      </c>
      <c r="D108" s="151" t="s">
        <v>2945</v>
      </c>
      <c r="E108" s="151" t="s">
        <v>3121</v>
      </c>
      <c r="F108" s="151" t="s">
        <v>403</v>
      </c>
      <c r="G108" s="151" t="s">
        <v>536</v>
      </c>
      <c r="H108" s="265">
        <v>2958465.999988426</v>
      </c>
      <c r="I108" s="151" t="s">
        <v>3122</v>
      </c>
      <c r="J108" s="151" t="s">
        <v>3123</v>
      </c>
      <c r="K108" s="151" t="s">
        <v>3124</v>
      </c>
      <c r="L108" s="151" t="s">
        <v>2949</v>
      </c>
      <c r="M108" s="151" t="s">
        <v>2950</v>
      </c>
      <c r="N108" s="12">
        <f>_xlfn.XLOOKUP(IntuneData[[#This Row],[Serial number]], ITEquipmentTable[Serial], ITEquipmentTable[Key], -1)</f>
        <v>586</v>
      </c>
    </row>
    <row r="109" spans="1:14" x14ac:dyDescent="0.2">
      <c r="A109" s="151" t="s">
        <v>1617</v>
      </c>
      <c r="B109" s="265">
        <v>45743.721664853394</v>
      </c>
      <c r="C109" s="265">
        <v>45955.818149768522</v>
      </c>
      <c r="D109" s="151" t="s">
        <v>3216</v>
      </c>
      <c r="E109" s="151" t="s">
        <v>3292</v>
      </c>
      <c r="F109" s="151" t="s">
        <v>403</v>
      </c>
      <c r="G109" s="151" t="s">
        <v>2957</v>
      </c>
      <c r="H109" s="265">
        <v>2958465.9999999614</v>
      </c>
      <c r="I109" s="151" t="s">
        <v>3293</v>
      </c>
      <c r="J109" s="151" t="s">
        <v>3294</v>
      </c>
      <c r="K109" s="151" t="s">
        <v>3295</v>
      </c>
      <c r="L109" s="151" t="s">
        <v>2949</v>
      </c>
      <c r="M109" s="151" t="s">
        <v>2950</v>
      </c>
      <c r="N109" s="12">
        <f>_xlfn.XLOOKUP(IntuneData[[#This Row],[Serial number]], ITEquipmentTable[Serial], ITEquipmentTable[Key], -1)</f>
        <v>553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xml version="1.0" encoding="utf-8"?>
<?mso-contentType ?>
<FormTemplates xmlns="http://schemas.microsoft.com/sharepoint/v3/contenttype/forms">
  <Display>DocumentLibraryForm</Display>
  <Edit>DocumentLibraryForm</Edit>
  <New>DocumentLibraryForm</New>
</FormTemplates>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xml version="1.0" encoding="utf-8"?>
<p:properties xmlns:p="http://schemas.microsoft.com/office/2006/metadata/properties" xmlns:xsi="http://www.w3.org/2001/XMLSchema-instance" xmlns:pc="http://schemas.microsoft.com/office/infopath/2007/PartnerControls">
  <documentManagement>
    <lcf76f155ced4ddcb4097134ff3c332f xmlns="cb8b69f4-5e81-490c-91ad-378e4011ffbc">
      <Terms xmlns="http://schemas.microsoft.com/office/infopath/2007/PartnerControls"/>
    </lcf76f155ced4ddcb4097134ff3c332f>
    <TaxCatchAll xmlns="c6e96c7d-a682-4adb-861a-4e9c7f09f60c" xsi:nil="true"/>
    <ProductionLine xmlns="cb8b69f4-5e81-490c-91ad-378e4011ffbc" xsi:nil="true"/>
  </documentManagement>
</p:properties>
</file>

<file path=customXml/item22.xml><?xml version="1.0" encoding="utf-8"?>
<ct:contentTypeSchema xmlns:ct="http://schemas.microsoft.com/office/2006/metadata/contentType" xmlns:ma="http://schemas.microsoft.com/office/2006/metadata/properties/metaAttributes" ct:_="" ma:_="" ma:contentTypeName="Document" ma:contentTypeID="0x010100691D240483B6BC41B8BD41D85C594822" ma:contentTypeVersion="23" ma:contentTypeDescription="Create a new document." ma:contentTypeScope="" ma:versionID="89211614dc7433daca75339708d54c9b">
  <xsd:schema xmlns:xsd="http://www.w3.org/2001/XMLSchema" xmlns:xs="http://www.w3.org/2001/XMLSchema" xmlns:p="http://schemas.microsoft.com/office/2006/metadata/properties" xmlns:ns2="cb8b69f4-5e81-490c-91ad-378e4011ffbc" xmlns:ns3="c6e96c7d-a682-4adb-861a-4e9c7f09f60c" targetNamespace="http://schemas.microsoft.com/office/2006/metadata/properties" ma:root="true" ma:fieldsID="a90d32ab6d61a9c884f7cc5a56b3e79f" ns2:_="" ns3:_="">
    <xsd:import namespace="cb8b69f4-5e81-490c-91ad-378e4011ffbc"/>
    <xsd:import namespace="c6e96c7d-a682-4adb-861a-4e9c7f09f60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Location" minOccurs="0"/>
                <xsd:element ref="ns2:MediaLengthInSeconds" minOccurs="0"/>
                <xsd:element ref="ns3:TaxCatchAll" minOccurs="0"/>
                <xsd:element ref="ns2:lcf76f155ced4ddcb4097134ff3c332f" minOccurs="0"/>
                <xsd:element ref="ns2:MediaServiceObjectDetectorVersions" minOccurs="0"/>
                <xsd:element ref="ns2:MediaServiceSearchProperties" minOccurs="0"/>
                <xsd:element ref="ns2:ProductionLin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8b69f4-5e81-490c-91ad-378e4011ffb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08f9e725-1858-4208-86f0-efa5f6cd6a3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ProductionLine" ma:index="26" nillable="true" ma:displayName="Production Line" ma:description="Production Line" ma:format="Dropdown" ma:internalName="ProductionLine">
      <xsd:simpleType>
        <xsd:restriction base="dms:Choice">
          <xsd:enumeration value="All Nysus"/>
          <xsd:enumeration value="DT FEM"/>
          <xsd:enumeration value="DS/WS"/>
          <xsd:enumeration value="T1XX Solidat"/>
          <xsd:enumeration value="T1XX Ujigami"/>
          <xsd:enumeration value="Other"/>
          <xsd:enumeration value="Rockwell (Deprecated)"/>
        </xsd:restriction>
      </xsd:simpleType>
    </xsd:element>
  </xsd:schema>
  <xsd:schema xmlns:xsd="http://www.w3.org/2001/XMLSchema" xmlns:xs="http://www.w3.org/2001/XMLSchema" xmlns:dms="http://schemas.microsoft.com/office/2006/documentManagement/types" xmlns:pc="http://schemas.microsoft.com/office/infopath/2007/PartnerControls" targetNamespace="c6e96c7d-a682-4adb-861a-4e9c7f09f60c"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584efc4b-d4c3-4547-ae9e-137a4a57ccf5}" ma:internalName="TaxCatchAll" ma:showField="CatchAllData" ma:web="c6e96c7d-a682-4adb-861a-4e9c7f09f60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3.xml>�� 
</file>

<file path=customXml/itemProps1.xml><?xml version="1.0" encoding="utf-8"?>
<ds:datastoreItem xmlns:ds="http://schemas.openxmlformats.org/officeDocument/2006/customXml" ds:itemID="{81335E3B-2399-479D-92FF-CBCC6DCD754A}">
  <ds:schemaRefs>
    <ds:schemaRef ds:uri="http://gemini/pivotcustomization/TableXML_DeviceTypes_fb42a75b-b03b-4b00-a19f-22666ea997eb"/>
  </ds:schemaRefs>
</ds:datastoreItem>
</file>

<file path=customXml/itemProps2.xml><?xml version="1.0" encoding="utf-8"?>
<ds:datastoreItem xmlns:ds="http://schemas.openxmlformats.org/officeDocument/2006/customXml" ds:itemID="{5C69B027-DB55-48A5-A0F8-104B901920DD}">
  <ds:schemaRefs>
    <ds:schemaRef ds:uri="http://gemini/pivotcustomization/ShowHidden"/>
  </ds:schemaRefs>
</ds:datastoreItem>
</file>

<file path=customXml/itemProps3.xml><?xml version="1.0" encoding="utf-8"?>
<ds:datastoreItem xmlns:ds="http://schemas.openxmlformats.org/officeDocument/2006/customXml" ds:itemID="{B007BFC1-8F98-496A-98CC-DCBCF9D1BD25}">
  <ds:schemaRefs>
    <ds:schemaRef ds:uri="http://gemini/pivotcustomization/ShowImplicitMeasures"/>
  </ds:schemaRefs>
</ds:datastoreItem>
</file>

<file path=customXml/itemProps4.xml><?xml version="1.0" encoding="utf-8"?>
<ds:datastoreItem xmlns:ds="http://schemas.openxmlformats.org/officeDocument/2006/customXml" ds:itemID="{E2598E02-BBDE-4766-9612-B16A930496E5}">
  <ds:schemaRefs>
    <ds:schemaRef ds:uri="http://gemini/pivotcustomization/TableWidget"/>
  </ds:schemaRefs>
</ds:datastoreItem>
</file>

<file path=customXml/itemProps5.xml><?xml version="1.0" encoding="utf-8"?>
<ds:datastoreItem xmlns:ds="http://schemas.openxmlformats.org/officeDocument/2006/customXml" ds:itemID="{A1AE411E-F870-46E6-B30D-FEB1325300D0}">
  <ds:schemaRefs>
    <ds:schemaRef ds:uri="http://gemini/pivotcustomization/FormulaBarState"/>
  </ds:schemaRefs>
</ds:datastoreItem>
</file>

<file path=customXml/itemProps6.xml><?xml version="1.0" encoding="utf-8"?>
<ds:datastoreItem xmlns:ds="http://schemas.openxmlformats.org/officeDocument/2006/customXml" ds:itemID="{E5052F69-5EF7-4ACE-8F2E-6C889A90003E}">
  <ds:schemaRefs>
    <ds:schemaRef ds:uri="http://schemas.microsoft.com/sharepoint/v3/contenttype/forms"/>
  </ds:schemaRefs>
</ds:datastoreItem>
</file>

<file path=customXml/itemProps7.xml><?xml version="1.0" encoding="utf-8"?>
<ds:datastoreItem xmlns:ds="http://schemas.openxmlformats.org/officeDocument/2006/customXml" ds:itemID="{573F4A88-7FA5-46D8-9C77-90100DBAFF48}">
  <ds:schemaRefs>
    <ds:schemaRef ds:uri="http://gemini/pivotcustomization/ErrorCache"/>
  </ds:schemaRefs>
</ds:datastoreItem>
</file>

<file path=customXml/itemProps8.xml><?xml version="1.0" encoding="utf-8"?>
<ds:datastoreItem xmlns:ds="http://schemas.openxmlformats.org/officeDocument/2006/customXml" ds:itemID="{4BF6D993-383A-4615-9FD9-DA468084B563}">
  <ds:schemaRefs>
    <ds:schemaRef ds:uri="http://gemini/pivotcustomization/TableOrder"/>
  </ds:schemaRefs>
</ds:datastoreItem>
</file>

<file path=customXml/itemProps9.xml><?xml version="1.0" encoding="utf-8"?>
<ds:datastoreItem xmlns:ds="http://schemas.openxmlformats.org/officeDocument/2006/customXml" ds:itemID="{0C327F2C-45C6-4C9A-8B58-40E6511BB5AB}">
  <ds:schemaRefs>
    <ds:schemaRef ds:uri="http://gemini/pivotcustomization/IsSandboxEmbedded"/>
  </ds:schemaRefs>
</ds:datastoreItem>
</file>

<file path=customXml/itemProps10.xml><?xml version="1.0" encoding="utf-8"?>
<ds:datastoreItem xmlns:ds="http://schemas.openxmlformats.org/officeDocument/2006/customXml" ds:itemID="{9407EF85-B96F-40B6-97B7-F07960E3FFAC}">
  <ds:schemaRefs>
    <ds:schemaRef ds:uri="http://gemini/pivotcustomization/MeasureGridState"/>
  </ds:schemaRefs>
</ds:datastoreItem>
</file>

<file path=customXml/itemProps11.xml><?xml version="1.0" encoding="utf-8"?>
<ds:datastoreItem xmlns:ds="http://schemas.openxmlformats.org/officeDocument/2006/customXml" ds:itemID="{A9766015-39EB-481F-BD08-8A4CAB3BFD8A}">
  <ds:schemaRefs>
    <ds:schemaRef ds:uri="http://gemini/pivotcustomization/SandboxNonEmpty"/>
  </ds:schemaRefs>
</ds:datastoreItem>
</file>

<file path=customXml/itemProps12.xml><?xml version="1.0" encoding="utf-8"?>
<ds:datastoreItem xmlns:ds="http://schemas.openxmlformats.org/officeDocument/2006/customXml" ds:itemID="{07740F0D-0AE5-473A-B082-64C1DC1199B8}">
  <ds:schemaRefs>
    <ds:schemaRef ds:uri="http://gemini/pivotcustomization/LinkedTableUpdateMode"/>
  </ds:schemaRefs>
</ds:datastoreItem>
</file>

<file path=customXml/itemProps13.xml><?xml version="1.0" encoding="utf-8"?>
<ds:datastoreItem xmlns:ds="http://schemas.openxmlformats.org/officeDocument/2006/customXml" ds:itemID="{727B8DB6-F3C0-4DD4-BC6F-DB975EFDC0B9}">
  <ds:schemaRefs>
    <ds:schemaRef ds:uri="http://gemini/pivotcustomization/PowerPivotVersion"/>
  </ds:schemaRefs>
</ds:datastoreItem>
</file>

<file path=customXml/itemProps14.xml><?xml version="1.0" encoding="utf-8"?>
<ds:datastoreItem xmlns:ds="http://schemas.openxmlformats.org/officeDocument/2006/customXml" ds:itemID="{8A0E5D8A-067A-4C96-B1B0-51A346745247}">
  <ds:schemaRefs>
    <ds:schemaRef ds:uri="http://gemini/pivotcustomization/RelationshipAutoDetectionEnabled"/>
  </ds:schemaRefs>
</ds:datastoreItem>
</file>

<file path=customXml/itemProps15.xml><?xml version="1.0" encoding="utf-8"?>
<ds:datastoreItem xmlns:ds="http://schemas.openxmlformats.org/officeDocument/2006/customXml" ds:itemID="{DE5CD232-622E-4CE9-97A8-189D5F376068}">
  <ds:schemaRefs>
    <ds:schemaRef ds:uri="http://gemini/pivotcustomization/ClientWindowXML"/>
  </ds:schemaRefs>
</ds:datastoreItem>
</file>

<file path=customXml/itemProps16.xml><?xml version="1.0" encoding="utf-8"?>
<ds:datastoreItem xmlns:ds="http://schemas.openxmlformats.org/officeDocument/2006/customXml" ds:itemID="{D5DA8A6A-CDAD-413B-AE40-ED8025A3B628}">
  <ds:schemaRefs>
    <ds:schemaRef ds:uri="http://gemini/pivotcustomization/TableXML_ITEquipmentTable"/>
  </ds:schemaRefs>
</ds:datastoreItem>
</file>

<file path=customXml/itemProps17.xml><?xml version="1.0" encoding="utf-8"?>
<ds:datastoreItem xmlns:ds="http://schemas.openxmlformats.org/officeDocument/2006/customXml" ds:itemID="{25EF0EB9-55A3-4741-8287-5A4D487025E0}">
  <ds:schemaRefs>
    <ds:schemaRef ds:uri="http://gemini/pivotcustomization/Diagrams"/>
  </ds:schemaRefs>
</ds:datastoreItem>
</file>

<file path=customXml/itemProps18.xml><?xml version="1.0" encoding="utf-8"?>
<ds:datastoreItem xmlns:ds="http://schemas.openxmlformats.org/officeDocument/2006/customXml" ds:itemID="{D25AB74D-8491-4B2A-B06C-6979B2051968}">
  <ds:schemaRefs>
    <ds:schemaRef ds:uri="http://gemini/pivotcustomization/TableXML_BrandCount_4cc371f5-973b-4be6-bd52-68494a7052ff"/>
  </ds:schemaRefs>
</ds:datastoreItem>
</file>

<file path=customXml/itemProps19.xml><?xml version="1.0" encoding="utf-8"?>
<ds:datastoreItem xmlns:ds="http://schemas.openxmlformats.org/officeDocument/2006/customXml" ds:itemID="{B36C026E-190A-462F-815D-BDB91A102DE5}">
  <ds:schemaRefs>
    <ds:schemaRef ds:uri="http://gemini/pivotcustomization/ManualCalcMode"/>
  </ds:schemaRefs>
</ds:datastoreItem>
</file>

<file path=customXml/itemProps20.xml><?xml version="1.0" encoding="utf-8"?>
<ds:datastoreItem xmlns:ds="http://schemas.openxmlformats.org/officeDocument/2006/customXml" ds:itemID="{F2DDC320-B416-44BB-9467-DD7F5A176D74}">
  <ds:schemaRefs>
    <ds:schemaRef ds:uri="http://gemini/pivotcustomization/TableXML_ModelCount_8cb52f9f-cb45-45a9-8377-7ceccd15c2b8"/>
  </ds:schemaRefs>
</ds:datastoreItem>
</file>

<file path=customXml/itemProps21.xml><?xml version="1.0" encoding="utf-8"?>
<ds:datastoreItem xmlns:ds="http://schemas.openxmlformats.org/officeDocument/2006/customXml" ds:itemID="{08E927CF-63BB-48FF-8573-6710F80F074C}">
  <ds:schemaRefs>
    <ds:schemaRef ds:uri="http://purl.org/dc/terms/"/>
    <ds:schemaRef ds:uri="http://schemas.openxmlformats.org/package/2006/metadata/core-properties"/>
    <ds:schemaRef ds:uri="http://schemas.microsoft.com/office/2006/documentManagement/types"/>
    <ds:schemaRef ds:uri="http://purl.org/dc/dcmitype/"/>
    <ds:schemaRef ds:uri="http://www.w3.org/XML/1998/namespace"/>
    <ds:schemaRef ds:uri="http://purl.org/dc/elements/1.1/"/>
    <ds:schemaRef ds:uri="c6e96c7d-a682-4adb-861a-4e9c7f09f60c"/>
    <ds:schemaRef ds:uri="http://schemas.microsoft.com/office/infopath/2007/PartnerControls"/>
    <ds:schemaRef ds:uri="cb8b69f4-5e81-490c-91ad-378e4011ffbc"/>
    <ds:schemaRef ds:uri="http://schemas.microsoft.com/office/2006/metadata/properties"/>
  </ds:schemaRefs>
</ds:datastoreItem>
</file>

<file path=customXml/itemProps22.xml><?xml version="1.0" encoding="utf-8"?>
<ds:datastoreItem xmlns:ds="http://schemas.openxmlformats.org/officeDocument/2006/customXml" ds:itemID="{1DC011E6-2C0E-4F45-B2E1-BFAC2414D03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8b69f4-5e81-490c-91ad-378e4011ffbc"/>
    <ds:schemaRef ds:uri="c6e96c7d-a682-4adb-861a-4e9c7f09f60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3.xml><?xml version="1.0" encoding="utf-8"?>
<ds:datastoreItem xmlns:ds="http://schemas.openxmlformats.org/officeDocument/2006/customXml" ds:itemID="{23916175-562B-4394-8F9A-D1F0F590B18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21</vt:i4>
      </vt:variant>
    </vt:vector>
  </HeadingPairs>
  <TitlesOfParts>
    <vt:vector size="31" baseType="lpstr">
      <vt:lpstr>Key</vt:lpstr>
      <vt:lpstr>List</vt:lpstr>
      <vt:lpstr>TQty &amp; SQty</vt:lpstr>
      <vt:lpstr>AddSheet</vt:lpstr>
      <vt:lpstr>ITSecondTable</vt:lpstr>
      <vt:lpstr>Duplicates</vt:lpstr>
      <vt:lpstr>Storage Inv (IQty)</vt:lpstr>
      <vt:lpstr>ActiveDirectory</vt:lpstr>
      <vt:lpstr>VNCTable</vt:lpstr>
      <vt:lpstr>IntuneData</vt:lpstr>
      <vt:lpstr>BoolName</vt:lpstr>
      <vt:lpstr>BoolYes</vt:lpstr>
      <vt:lpstr>CellFontSize_Override</vt:lpstr>
      <vt:lpstr>ChangeNormalSize_Override</vt:lpstr>
      <vt:lpstr>DeviceTypes</vt:lpstr>
      <vt:lpstr>Employees</vt:lpstr>
      <vt:lpstr>EquipmentKeyList</vt:lpstr>
      <vt:lpstr>EquipmentTableRequiredCells</vt:lpstr>
      <vt:lpstr>HeaderFontSize_Override</vt:lpstr>
      <vt:lpstr>ITEquipmentLocations</vt:lpstr>
      <vt:lpstr>ITTCount</vt:lpstr>
      <vt:lpstr>NextID</vt:lpstr>
      <vt:lpstr>ActiveDirectory!Print_Titles</vt:lpstr>
      <vt:lpstr>QtyBlankCount</vt:lpstr>
      <vt:lpstr>QtyNonMatchCount</vt:lpstr>
      <vt:lpstr>RepairCodes</vt:lpstr>
      <vt:lpstr>SerialTypes</vt:lpstr>
      <vt:lpstr>SetsFont_Override</vt:lpstr>
      <vt:lpstr>SetsFormat_Override</vt:lpstr>
      <vt:lpstr>StyleNames</vt:lpstr>
      <vt:lpstr>TitleFontSize_Override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IT Inventory</dc:title>
  <dc:subject/>
  <dc:creator>Taylor, John</dc:creator>
  <cp:keywords>Keywords</cp:keywords>
  <dc:description/>
  <cp:lastModifiedBy>Taylor, John</cp:lastModifiedBy>
  <cp:revision/>
  <dcterms:created xsi:type="dcterms:W3CDTF">2021-09-10T14:57:35Z</dcterms:created>
  <dcterms:modified xsi:type="dcterms:W3CDTF">2026-03-27T01:35:26Z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798273d-f5aa-46da-8e10-241f6dcd5f2d_Enabled">
    <vt:lpwstr>true</vt:lpwstr>
  </property>
  <property fmtid="{D5CDD505-2E9C-101B-9397-08002B2CF9AE}" pid="3" name="MSIP_Label_e798273d-f5aa-46da-8e10-241f6dcd5f2d_SetDate">
    <vt:lpwstr>2024-03-04T16:14:38Z</vt:lpwstr>
  </property>
  <property fmtid="{D5CDD505-2E9C-101B-9397-08002B2CF9AE}" pid="4" name="MSIP_Label_e798273d-f5aa-46da-8e10-241f6dcd5f2d_Method">
    <vt:lpwstr>Standard</vt:lpwstr>
  </property>
  <property fmtid="{D5CDD505-2E9C-101B-9397-08002B2CF9AE}" pid="5" name="MSIP_Label_e798273d-f5aa-46da-8e10-241f6dcd5f2d_Name">
    <vt:lpwstr>e798273d-f5aa-46da-8e10-241f6dcd5f2d</vt:lpwstr>
  </property>
  <property fmtid="{D5CDD505-2E9C-101B-9397-08002B2CF9AE}" pid="6" name="MSIP_Label_e798273d-f5aa-46da-8e10-241f6dcd5f2d_SiteId">
    <vt:lpwstr>c760270c-f3da-4cfa-9737-03808ef5579f</vt:lpwstr>
  </property>
  <property fmtid="{D5CDD505-2E9C-101B-9397-08002B2CF9AE}" pid="7" name="MSIP_Label_e798273d-f5aa-46da-8e10-241f6dcd5f2d_ActionId">
    <vt:lpwstr>3d457c56-3e10-478c-8bfa-f6c26c57db9d</vt:lpwstr>
  </property>
  <property fmtid="{D5CDD505-2E9C-101B-9397-08002B2CF9AE}" pid="8" name="MSIP_Label_e798273d-f5aa-46da-8e10-241f6dcd5f2d_ContentBits">
    <vt:lpwstr>0</vt:lpwstr>
  </property>
  <property fmtid="{D5CDD505-2E9C-101B-9397-08002B2CF9AE}" pid="9" name="ContentTypeId">
    <vt:lpwstr>0x010100691D240483B6BC41B8BD41D85C594822</vt:lpwstr>
  </property>
  <property fmtid="{D5CDD505-2E9C-101B-9397-08002B2CF9AE}" pid="10" name="MediaServiceImageTags">
    <vt:lpwstr/>
  </property>
</Properties>
</file>