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Grzesiek\Desktop\Ekonometria\"/>
    </mc:Choice>
  </mc:AlternateContent>
  <xr:revisionPtr revIDLastSave="0" documentId="8_{BD1CD7BE-D530-4EC8-855A-FD4978ADFC9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w_data" sheetId="1" r:id="rId1"/>
    <sheet name="Data changed to population-base" sheetId="7" r:id="rId2"/>
    <sheet name="Data format changed to %" sheetId="3" r:id="rId3"/>
    <sheet name="Data prognosed" sheetId="4" r:id="rId4"/>
    <sheet name="Model" sheetId="5" r:id="rId5"/>
    <sheet name="Gretl dane" sheetId="8" r:id="rId6"/>
    <sheet name="Gretl wynik" sheetId="6" r:id="rId7"/>
    <sheet name="Model with important variables" sheetId="9" r:id="rId8"/>
    <sheet name="RESET" sheetId="10" r:id="rId9"/>
    <sheet name="White" sheetId="11" r:id="rId10"/>
    <sheet name="Durbin-Watson" sheetId="12" r:id="rId11"/>
    <sheet name="Test JBT" sheetId="13" r:id="rId12"/>
  </sheets>
  <definedNames>
    <definedName name="solver_eng" localSheetId="3" hidden="1">1</definedName>
    <definedName name="solver_neg" localSheetId="3" hidden="1">1</definedName>
    <definedName name="solver_num" localSheetId="3" hidden="1">0</definedName>
    <definedName name="solver_opt" localSheetId="3" hidden="1">'Data prognosed'!$J$3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13" l="1"/>
  <c r="C21" i="13"/>
  <c r="C22" i="13" s="1"/>
  <c r="F14" i="13"/>
  <c r="H14" i="13"/>
  <c r="I14" i="13"/>
  <c r="G14" i="13"/>
  <c r="I3" i="13"/>
  <c r="I4" i="13"/>
  <c r="I5" i="13"/>
  <c r="I6" i="13"/>
  <c r="I7" i="13"/>
  <c r="I8" i="13"/>
  <c r="I9" i="13"/>
  <c r="I10" i="13"/>
  <c r="I11" i="13"/>
  <c r="I12" i="13"/>
  <c r="I13" i="13"/>
  <c r="I2" i="13"/>
  <c r="H13" i="13"/>
  <c r="H3" i="13"/>
  <c r="H4" i="13"/>
  <c r="H5" i="13"/>
  <c r="H6" i="13"/>
  <c r="H7" i="13"/>
  <c r="H8" i="13"/>
  <c r="H9" i="13"/>
  <c r="H10" i="13"/>
  <c r="H11" i="13"/>
  <c r="H12" i="13"/>
  <c r="G3" i="13"/>
  <c r="G4" i="13"/>
  <c r="G5" i="13"/>
  <c r="G6" i="13"/>
  <c r="G7" i="13"/>
  <c r="G8" i="13"/>
  <c r="G9" i="13"/>
  <c r="G10" i="13"/>
  <c r="G11" i="13"/>
  <c r="G12" i="13"/>
  <c r="G13" i="13"/>
  <c r="H2" i="13"/>
  <c r="G2" i="13"/>
  <c r="F3" i="13"/>
  <c r="F4" i="13"/>
  <c r="F5" i="13"/>
  <c r="F6" i="13"/>
  <c r="F7" i="13"/>
  <c r="F8" i="13"/>
  <c r="F9" i="13"/>
  <c r="F10" i="13"/>
  <c r="F11" i="13"/>
  <c r="F12" i="13"/>
  <c r="F13" i="13"/>
  <c r="F2" i="13"/>
  <c r="E2" i="13" a="1"/>
  <c r="E2" i="13" s="1"/>
  <c r="C26" i="13"/>
  <c r="C24" i="13" l="1"/>
  <c r="C27" i="13" s="1"/>
  <c r="B16" i="12" l="1"/>
  <c r="G14" i="12"/>
  <c r="H14" i="12"/>
  <c r="H3" i="12"/>
  <c r="H4" i="12"/>
  <c r="H5" i="12"/>
  <c r="H6" i="12"/>
  <c r="H7" i="12"/>
  <c r="H8" i="12"/>
  <c r="H9" i="12"/>
  <c r="H10" i="12"/>
  <c r="H11" i="12"/>
  <c r="H12" i="12"/>
  <c r="H13" i="12"/>
  <c r="H2" i="12"/>
  <c r="G4" i="12"/>
  <c r="G5" i="12"/>
  <c r="G6" i="12"/>
  <c r="G7" i="12"/>
  <c r="G8" i="12"/>
  <c r="G9" i="12"/>
  <c r="G10" i="12"/>
  <c r="G11" i="12"/>
  <c r="G12" i="12"/>
  <c r="G13" i="12"/>
  <c r="G3" i="12"/>
  <c r="F3" i="12"/>
  <c r="F4" i="12"/>
  <c r="F5" i="12"/>
  <c r="F6" i="12"/>
  <c r="F7" i="12"/>
  <c r="F8" i="12"/>
  <c r="F9" i="12"/>
  <c r="F10" i="12"/>
  <c r="F11" i="12"/>
  <c r="F12" i="12"/>
  <c r="F13" i="12"/>
  <c r="F2" i="12"/>
  <c r="E2" i="12" a="1"/>
  <c r="E2" i="12" s="1"/>
  <c r="E15" i="11" l="1"/>
  <c r="H15" i="11"/>
  <c r="E14" i="11"/>
  <c r="H3" i="11" l="1"/>
  <c r="H4" i="11"/>
  <c r="H5" i="11"/>
  <c r="H6" i="11"/>
  <c r="H7" i="11"/>
  <c r="H8" i="11"/>
  <c r="H9" i="11"/>
  <c r="H10" i="11"/>
  <c r="H11" i="11"/>
  <c r="H12" i="11"/>
  <c r="H13" i="11"/>
  <c r="H2" i="11"/>
  <c r="G3" i="11" l="1"/>
  <c r="G4" i="11"/>
  <c r="G5" i="11"/>
  <c r="G6" i="11"/>
  <c r="G7" i="11"/>
  <c r="G8" i="11"/>
  <c r="G9" i="11"/>
  <c r="G10" i="11"/>
  <c r="G11" i="11"/>
  <c r="G12" i="11"/>
  <c r="G13" i="11"/>
  <c r="F3" i="11"/>
  <c r="F4" i="11"/>
  <c r="F5" i="11"/>
  <c r="F6" i="11"/>
  <c r="F7" i="11"/>
  <c r="F8" i="11"/>
  <c r="F9" i="11"/>
  <c r="F10" i="11"/>
  <c r="F11" i="11"/>
  <c r="F12" i="11"/>
  <c r="F13" i="11"/>
  <c r="E3" i="11"/>
  <c r="E4" i="11"/>
  <c r="E5" i="11"/>
  <c r="E6" i="11"/>
  <c r="E7" i="11"/>
  <c r="E8" i="11"/>
  <c r="E9" i="11"/>
  <c r="E10" i="11"/>
  <c r="E11" i="11"/>
  <c r="E12" i="11"/>
  <c r="E13" i="11"/>
  <c r="G2" i="11"/>
  <c r="F2" i="11"/>
  <c r="E2" i="11"/>
  <c r="C14" i="10"/>
  <c r="B14" i="10"/>
  <c r="B17" i="10"/>
  <c r="H15" i="10"/>
  <c r="B15" i="10" l="1"/>
  <c r="B18" i="10" s="1"/>
  <c r="K9" i="10" l="1" a="1"/>
  <c r="K9" i="10" s="1"/>
  <c r="K2" i="10" a="1"/>
  <c r="K2" i="10" s="1"/>
  <c r="F3" i="10"/>
  <c r="F4" i="10"/>
  <c r="F5" i="10"/>
  <c r="F6" i="10"/>
  <c r="F7" i="10"/>
  <c r="F8" i="10"/>
  <c r="F9" i="10"/>
  <c r="F10" i="10"/>
  <c r="F11" i="10"/>
  <c r="F12" i="10"/>
  <c r="F13" i="10"/>
  <c r="F2" i="10"/>
  <c r="E3" i="10"/>
  <c r="E4" i="10"/>
  <c r="E5" i="10"/>
  <c r="E6" i="10"/>
  <c r="E7" i="10"/>
  <c r="E8" i="10"/>
  <c r="E9" i="10"/>
  <c r="E10" i="10"/>
  <c r="E11" i="10"/>
  <c r="E12" i="10"/>
  <c r="E13" i="10"/>
  <c r="E2" i="10"/>
  <c r="G2" i="10" a="1"/>
  <c r="G2" i="10" s="1"/>
  <c r="H3" i="9" a="1"/>
  <c r="H3" i="9" s="1"/>
  <c r="I4" i="9" l="1"/>
  <c r="J7" i="9"/>
  <c r="J5" i="9"/>
  <c r="I7" i="9"/>
  <c r="I5" i="9"/>
  <c r="H7" i="9"/>
  <c r="H5" i="9"/>
  <c r="J6" i="9"/>
  <c r="J4" i="9"/>
  <c r="I6" i="9"/>
  <c r="H6" i="9"/>
  <c r="H4" i="9"/>
  <c r="J3" i="9"/>
  <c r="I3" i="9"/>
  <c r="A58" i="5" a="1"/>
  <c r="A58" i="5" s="1"/>
  <c r="A51" i="5" a="1"/>
  <c r="B51" i="5" s="1"/>
  <c r="A44" i="5" a="1"/>
  <c r="B46" i="5" s="1"/>
  <c r="A37" i="5" a="1"/>
  <c r="A37" i="5" s="1"/>
  <c r="A30" i="5" a="1"/>
  <c r="B32" i="5" s="1"/>
  <c r="A23" i="5" a="1"/>
  <c r="A23" i="5" s="1"/>
  <c r="A16" i="5" a="1"/>
  <c r="A16" i="5" s="1"/>
  <c r="A45" i="5" l="1"/>
  <c r="A44" i="5"/>
  <c r="B60" i="5"/>
  <c r="A60" i="5"/>
  <c r="B62" i="5"/>
  <c r="B59" i="5"/>
  <c r="A62" i="5"/>
  <c r="A59" i="5"/>
  <c r="B61" i="5"/>
  <c r="B58" i="5"/>
  <c r="A61" i="5"/>
  <c r="A54" i="5"/>
  <c r="A51" i="5"/>
  <c r="B53" i="5"/>
  <c r="A53" i="5"/>
  <c r="B55" i="5"/>
  <c r="B52" i="5"/>
  <c r="A55" i="5"/>
  <c r="A52" i="5"/>
  <c r="B54" i="5"/>
  <c r="A46" i="5"/>
  <c r="B48" i="5"/>
  <c r="B45" i="5"/>
  <c r="A48" i="5"/>
  <c r="B47" i="5"/>
  <c r="B44" i="5"/>
  <c r="A47" i="5"/>
  <c r="B39" i="5"/>
  <c r="A39" i="5"/>
  <c r="B41" i="5"/>
  <c r="B38" i="5"/>
  <c r="A41" i="5"/>
  <c r="A38" i="5"/>
  <c r="B40" i="5"/>
  <c r="B37" i="5"/>
  <c r="A40" i="5"/>
  <c r="A32" i="5"/>
  <c r="B34" i="5"/>
  <c r="B31" i="5"/>
  <c r="A34" i="5"/>
  <c r="A31" i="5"/>
  <c r="B33" i="5"/>
  <c r="B30" i="5"/>
  <c r="A33" i="5"/>
  <c r="A30" i="5"/>
  <c r="B25" i="5"/>
  <c r="A25" i="5"/>
  <c r="B27" i="5"/>
  <c r="B24" i="5"/>
  <c r="A27" i="5"/>
  <c r="A24" i="5"/>
  <c r="B26" i="5"/>
  <c r="B23" i="5"/>
  <c r="A26" i="5"/>
  <c r="B18" i="5"/>
  <c r="A18" i="5"/>
  <c r="B20" i="5"/>
  <c r="B17" i="5"/>
  <c r="A20" i="5"/>
  <c r="A17" i="5"/>
  <c r="B19" i="5"/>
  <c r="B16" i="5"/>
  <c r="A19" i="5"/>
  <c r="H53" i="7" l="1"/>
  <c r="G53" i="7"/>
  <c r="H52" i="7"/>
  <c r="G52" i="7"/>
  <c r="H51" i="7"/>
  <c r="G51" i="7"/>
  <c r="H50" i="7"/>
  <c r="G50" i="7"/>
  <c r="H49" i="7"/>
  <c r="G49" i="7"/>
  <c r="H48" i="7"/>
  <c r="G48" i="7"/>
  <c r="H47" i="7"/>
  <c r="G47" i="7"/>
  <c r="H46" i="7"/>
  <c r="G46" i="7"/>
  <c r="H45" i="7"/>
  <c r="G45" i="7"/>
  <c r="H44" i="7"/>
  <c r="G44" i="7"/>
  <c r="H43" i="7"/>
  <c r="G43" i="7"/>
  <c r="E22" i="7"/>
  <c r="E21" i="7"/>
  <c r="E20" i="7"/>
  <c r="E19" i="7"/>
  <c r="E18" i="7"/>
  <c r="E17" i="7"/>
  <c r="E16" i="7"/>
  <c r="E15" i="7"/>
  <c r="E14" i="7"/>
  <c r="E13" i="7"/>
  <c r="E12" i="7"/>
  <c r="P23" i="7"/>
  <c r="M23" i="7"/>
  <c r="P22" i="7"/>
  <c r="M22" i="7"/>
  <c r="P21" i="7"/>
  <c r="Q21" i="7" s="1"/>
  <c r="P20" i="7"/>
  <c r="Q20" i="7" s="1"/>
  <c r="P19" i="7"/>
  <c r="Q19" i="7" s="1"/>
  <c r="P18" i="7"/>
  <c r="Q18" i="7" s="1"/>
  <c r="P17" i="7"/>
  <c r="Q17" i="7" s="1"/>
  <c r="P16" i="7"/>
  <c r="Q16" i="7" s="1"/>
  <c r="P15" i="7"/>
  <c r="Q15" i="7" s="1"/>
  <c r="P14" i="7"/>
  <c r="Q14" i="7" s="1"/>
  <c r="P13" i="7"/>
  <c r="Q13" i="7" s="1"/>
  <c r="P12" i="7"/>
  <c r="Q12" i="7" s="1"/>
  <c r="P11" i="7"/>
  <c r="P10" i="7"/>
  <c r="AD19" i="7"/>
  <c r="AD18" i="7"/>
  <c r="AD17" i="7"/>
  <c r="AD16" i="7"/>
  <c r="AD15" i="7"/>
  <c r="AD14" i="7"/>
  <c r="AD13" i="7"/>
  <c r="AD12" i="7"/>
  <c r="AD11" i="7"/>
  <c r="AE10" i="7"/>
  <c r="AD10" i="7"/>
  <c r="I45" i="7" l="1"/>
  <c r="I48" i="7"/>
  <c r="I51" i="7"/>
  <c r="I44" i="7"/>
  <c r="I47" i="7"/>
  <c r="I50" i="7"/>
  <c r="I53" i="7"/>
  <c r="Q23" i="7"/>
  <c r="Q22" i="7"/>
  <c r="I52" i="7"/>
  <c r="I49" i="7"/>
  <c r="I43" i="7"/>
  <c r="I46" i="7"/>
  <c r="F18" i="4" a="1"/>
  <c r="F18" i="4" s="1"/>
  <c r="G14" i="4" s="1"/>
  <c r="B18" i="4" a="1"/>
  <c r="B18" i="4" s="1"/>
  <c r="C14" i="4" s="1"/>
  <c r="T17" i="3" l="1" a="1"/>
  <c r="T17" i="3" s="1"/>
  <c r="C18" i="3"/>
  <c r="C19" i="3"/>
  <c r="C20" i="3"/>
  <c r="C21" i="3"/>
  <c r="C22" i="3"/>
  <c r="C23" i="3"/>
  <c r="C24" i="3"/>
  <c r="C25" i="3"/>
  <c r="C26" i="3"/>
  <c r="C27" i="3"/>
  <c r="C28" i="3"/>
  <c r="C17" i="3"/>
  <c r="F28" i="3"/>
  <c r="F18" i="3"/>
  <c r="F19" i="3"/>
  <c r="F20" i="3"/>
  <c r="F21" i="3"/>
  <c r="F22" i="3"/>
  <c r="F23" i="3"/>
  <c r="F24" i="3"/>
  <c r="F25" i="3"/>
  <c r="F26" i="3"/>
  <c r="F27" i="3"/>
  <c r="F1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<sst xmlns="http://schemas.openxmlformats.org/spreadsheetml/2006/main" count="428" uniqueCount="183">
  <si>
    <t>Pet ownership in the United Kingdom (UK) 2012-2023</t>
  </si>
  <si>
    <t>Share of households owning a pet in the United Kingdom (UK) from 2012 to 2023*</t>
  </si>
  <si>
    <t>in %</t>
  </si>
  <si>
    <t>Number of veterinarians in the United Kingdom (UK) 2010-2023</t>
  </si>
  <si>
    <t>Annual number of veterinarians in the United Kingdom (UK) from 2010 to 2023 (in 1,000)</t>
  </si>
  <si>
    <t>CPI annual inflation rate UK 2000-2028</t>
  </si>
  <si>
    <t>Annual inflation rate of the Consumer Price Index in the United Kingdom from 2000 to 2028</t>
  </si>
  <si>
    <t>2023*</t>
  </si>
  <si>
    <t>Jan 13</t>
  </si>
  <si>
    <t>Jan 14</t>
  </si>
  <si>
    <t>Jan 15</t>
  </si>
  <si>
    <t>Jan 16</t>
  </si>
  <si>
    <t>Jan 17</t>
  </si>
  <si>
    <t>Jan 18</t>
  </si>
  <si>
    <t>Jan 19</t>
  </si>
  <si>
    <t>Jan 20</t>
  </si>
  <si>
    <t>Jan 21</t>
  </si>
  <si>
    <t>Jan 22</t>
  </si>
  <si>
    <t>Jan 23</t>
  </si>
  <si>
    <t>Jan 24</t>
  </si>
  <si>
    <t>Unemployment rate of the UK 1971-2024</t>
  </si>
  <si>
    <t>Unemployment rate in the United Kingdom from March 1971 to January 2024</t>
  </si>
  <si>
    <t>Anxiety levels in the UK 2011-2023</t>
  </si>
  <si>
    <t>Anxiety levels of people in the United Kingdom from 2011/12 to 2022/23 (average score 0-10)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</si>
  <si>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</si>
  <si>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</si>
  <si>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</si>
  <si>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</si>
  <si>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</si>
  <si>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</si>
  <si>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</si>
  <si>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</si>
  <si>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</si>
  <si>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</si>
  <si>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</si>
  <si>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</si>
  <si>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Suicide rate in England and Wales 2000-2022</t>
  </si>
  <si>
    <t>Suicide rate in England and Wales from 2000 to 2022</t>
  </si>
  <si>
    <t>Number of workers reporting work-related stress in Britain 2008-2023</t>
  </si>
  <si>
    <t>Number of workers reporting work-related stress, depression or anxiety in Great Britain from 2008/09 to 2022/23 (in 1,000s)</t>
  </si>
  <si>
    <t>2008/09</t>
  </si>
  <si>
    <t>2009/10</t>
  </si>
  <si>
    <t>2010/11</t>
  </si>
  <si>
    <t>Marital status of people in England and Wales 2002-2022</t>
  </si>
  <si>
    <t>Marital status of the adult population in England and Wales from 2002 to 2022</t>
  </si>
  <si>
    <t>Single</t>
  </si>
  <si>
    <t>Married</t>
  </si>
  <si>
    <t>Divorced</t>
  </si>
  <si>
    <t>Widowed</t>
  </si>
  <si>
    <t>In civil partnership</t>
  </si>
  <si>
    <t>-</t>
  </si>
  <si>
    <t>Population of the UK 1990-2021, by generation</t>
  </si>
  <si>
    <t>Population of the United Kingdom from 1990 to 2021, by generation</t>
  </si>
  <si>
    <t>Greatest Generation*</t>
  </si>
  <si>
    <t>Silent Generation*</t>
  </si>
  <si>
    <t>Baby Boomers</t>
  </si>
  <si>
    <t>Generation X</t>
  </si>
  <si>
    <t>Millennials</t>
  </si>
  <si>
    <t>Generation Z</t>
  </si>
  <si>
    <t>Generation Alpha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</si>
  <si>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</si>
  <si>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</si>
  <si>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</si>
  <si>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</si>
  <si>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</si>
  <si>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</si>
  <si>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</si>
  <si>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</si>
  <si>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</si>
  <si>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</si>
  <si>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Population of the United Kingdom (UK) 2015 to 2025</t>
  </si>
  <si>
    <t>Total population of the United Kingdom (UK) from 2015 to 2025 (in millions)</t>
  </si>
  <si>
    <t>Annual number of veterinarians in the United Kingdom (UK) from 2010 to 2023 (per population)</t>
  </si>
  <si>
    <t>Błąd standardowy</t>
  </si>
  <si>
    <t>PODSUMOWANIE - WYJŚCIE</t>
  </si>
  <si>
    <t>Statystyki regresji</t>
  </si>
  <si>
    <t>Wielokrotność R</t>
  </si>
  <si>
    <t>R kwadrat</t>
  </si>
  <si>
    <t>Dopasowany R kwadrat</t>
  </si>
  <si>
    <t>Obserwacje</t>
  </si>
  <si>
    <t>ANALIZA WARIANCJI</t>
  </si>
  <si>
    <t>Regresja</t>
  </si>
  <si>
    <t>Resztkowy</t>
  </si>
  <si>
    <t>Razem</t>
  </si>
  <si>
    <t>Przecięcie</t>
  </si>
  <si>
    <t>df</t>
  </si>
  <si>
    <t>SS</t>
  </si>
  <si>
    <t>MS</t>
  </si>
  <si>
    <t>F</t>
  </si>
  <si>
    <t>Istotność F</t>
  </si>
  <si>
    <t>Współczynniki</t>
  </si>
  <si>
    <t>t Stat</t>
  </si>
  <si>
    <t>Wartość-p</t>
  </si>
  <si>
    <t>Dolne 95%</t>
  </si>
  <si>
    <t>Górne 95%</t>
  </si>
  <si>
    <t>Dolne 95,0%</t>
  </si>
  <si>
    <t>Górne 95,0%</t>
  </si>
  <si>
    <t>Year</t>
  </si>
  <si>
    <t>UK Populaton</t>
  </si>
  <si>
    <t>Number of workers reporting work-related stress in Britain per Popualtion 2012-2023</t>
  </si>
  <si>
    <t>Number of veterinarians in the United Kingdom (UK) per population 2010-2023</t>
  </si>
  <si>
    <t>Unmarried population of UK 2012-2022</t>
  </si>
  <si>
    <t>Percentage of unmarried individuals relative to the population in UK 2012-2022</t>
  </si>
  <si>
    <t>Percentage of unmarried individuals relative to the population in UK</t>
  </si>
  <si>
    <t>Anxiety levels in the UK</t>
  </si>
  <si>
    <t>Unemployment rate of the UK</t>
  </si>
  <si>
    <t>CPI annual inflation rate UK relative to the population</t>
  </si>
  <si>
    <t>Share of households owning a pet in the UK</t>
  </si>
  <si>
    <t>Annual number of veterinarians in the UK relative to the population</t>
  </si>
  <si>
    <t>Number of workers reporting work-related stress in UK relative to the population</t>
  </si>
  <si>
    <t>SKŁADNIKI RESZTOWE - WYJŚCIE</t>
  </si>
  <si>
    <t>Obserwacja</t>
  </si>
  <si>
    <t>Przewidywane Share of households owning a pet in the UK</t>
  </si>
  <si>
    <t>Składniki resztowe</t>
  </si>
  <si>
    <t>Model zmiennej "Share of households owning a pet in the UK"</t>
  </si>
  <si>
    <t>Model zmiennej "CPI annual inflation rate UK relative to the population"</t>
  </si>
  <si>
    <t>Model zmiennej "Annual number of veterinarians in the UK relative to the population"</t>
  </si>
  <si>
    <t>Model zmiennej "Unemployment rate of the UK"</t>
  </si>
  <si>
    <t>Model zmiennej "Number of workers reporting work-related stress in UK relative to the population"</t>
  </si>
  <si>
    <t>Model zmiennej "Percentage of unmarried individuals relative to the population in UK"</t>
  </si>
  <si>
    <t>Funkcje reglinP zmiennych w kolejności występowania</t>
  </si>
  <si>
    <t>Y=</t>
  </si>
  <si>
    <t>0,0043x-8,67</t>
  </si>
  <si>
    <t>0,000016x-0,032</t>
  </si>
  <si>
    <t>-0,003x+6,152</t>
  </si>
  <si>
    <t>0,020x-36,347</t>
  </si>
  <si>
    <t>0,00000075x-0,0015</t>
  </si>
  <si>
    <t>0,0012x-1,768</t>
  </si>
  <si>
    <t>0,01x-20,4</t>
  </si>
  <si>
    <t>CPI annual inflation rate UK</t>
  </si>
  <si>
    <t>Yt</t>
  </si>
  <si>
    <t>Yt^2</t>
  </si>
  <si>
    <t>Yt^3</t>
  </si>
  <si>
    <t>F=</t>
  </si>
  <si>
    <t>T=12</t>
  </si>
  <si>
    <t>K=3</t>
  </si>
  <si>
    <t>T-k-2=</t>
  </si>
  <si>
    <t>Fkryt=</t>
  </si>
  <si>
    <t>Fist=</t>
  </si>
  <si>
    <t>&gt;0,05</t>
  </si>
  <si>
    <t>Model jest liniowy</t>
  </si>
  <si>
    <r>
      <t>X</t>
    </r>
    <r>
      <rPr>
        <vertAlign val="subscript"/>
        <sz val="10"/>
        <rFont val="Calibri"/>
        <family val="2"/>
        <charset val="238"/>
        <scheme val="minor"/>
      </rPr>
      <t>1</t>
    </r>
    <r>
      <rPr>
        <vertAlign val="superscript"/>
        <sz val="10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/>
    </r>
  </si>
  <si>
    <r>
      <t>X</t>
    </r>
    <r>
      <rPr>
        <vertAlign val="subscript"/>
        <sz val="10"/>
        <rFont val="Calibri"/>
        <family val="2"/>
        <charset val="238"/>
        <scheme val="minor"/>
      </rPr>
      <t>2</t>
    </r>
    <r>
      <rPr>
        <vertAlign val="superscript"/>
        <sz val="10"/>
        <rFont val="Calibri"/>
        <family val="2"/>
        <charset val="238"/>
        <scheme val="minor"/>
      </rPr>
      <t>2</t>
    </r>
  </si>
  <si>
    <r>
      <t>X</t>
    </r>
    <r>
      <rPr>
        <vertAlign val="subscript"/>
        <sz val="10"/>
        <rFont val="Calibri"/>
        <family val="2"/>
        <charset val="238"/>
        <scheme val="minor"/>
      </rPr>
      <t>2</t>
    </r>
    <r>
      <rPr>
        <sz val="10"/>
        <rFont val="Calibri"/>
        <family val="2"/>
        <charset val="238"/>
        <scheme val="minor"/>
      </rPr>
      <t>X</t>
    </r>
    <r>
      <rPr>
        <vertAlign val="subscript"/>
        <sz val="10"/>
        <rFont val="Calibri"/>
        <family val="2"/>
        <charset val="238"/>
        <scheme val="minor"/>
      </rPr>
      <t>1</t>
    </r>
  </si>
  <si>
    <r>
      <t>e</t>
    </r>
    <r>
      <rPr>
        <vertAlign val="subscript"/>
        <sz val="10"/>
        <rFont val="Calibri"/>
        <family val="2"/>
        <charset val="238"/>
        <scheme val="minor"/>
      </rPr>
      <t>t</t>
    </r>
    <r>
      <rPr>
        <vertAlign val="superscript"/>
        <sz val="10"/>
        <rFont val="Calibri"/>
        <family val="2"/>
        <charset val="238"/>
        <scheme val="minor"/>
      </rPr>
      <t>2</t>
    </r>
  </si>
  <si>
    <t>X12</t>
  </si>
  <si>
    <t>X22</t>
  </si>
  <si>
    <t>X2X1</t>
  </si>
  <si>
    <t>Femp=</t>
  </si>
  <si>
    <t>T=</t>
  </si>
  <si>
    <t>P=</t>
  </si>
  <si>
    <t>Fist&gt;0,05</t>
  </si>
  <si>
    <r>
      <t>Y</t>
    </r>
    <r>
      <rPr>
        <vertAlign val="subscript"/>
        <sz val="10"/>
        <rFont val="Calibri"/>
        <family val="2"/>
        <charset val="238"/>
        <scheme val="minor"/>
      </rPr>
      <t>t</t>
    </r>
  </si>
  <si>
    <r>
      <t>e</t>
    </r>
    <r>
      <rPr>
        <vertAlign val="subscript"/>
        <sz val="10"/>
        <rFont val="Calibri"/>
        <family val="2"/>
        <charset val="238"/>
        <scheme val="minor"/>
      </rPr>
      <t>t</t>
    </r>
  </si>
  <si>
    <r>
      <t>(e</t>
    </r>
    <r>
      <rPr>
        <vertAlign val="subscript"/>
        <sz val="10"/>
        <rFont val="Calibri"/>
        <family val="2"/>
        <charset val="238"/>
        <scheme val="minor"/>
      </rPr>
      <t>t</t>
    </r>
    <r>
      <rPr>
        <sz val="10"/>
        <rFont val="Calibri"/>
        <family val="2"/>
        <charset val="238"/>
        <scheme val="minor"/>
      </rPr>
      <t>-e</t>
    </r>
    <r>
      <rPr>
        <vertAlign val="subscript"/>
        <sz val="10"/>
        <rFont val="Calibri"/>
        <family val="2"/>
        <charset val="238"/>
        <scheme val="minor"/>
      </rPr>
      <t>t-1</t>
    </r>
    <r>
      <rPr>
        <sz val="10"/>
        <rFont val="Calibri"/>
        <family val="2"/>
        <charset val="238"/>
        <scheme val="minor"/>
      </rPr>
      <t>)</t>
    </r>
    <r>
      <rPr>
        <vertAlign val="superscript"/>
        <sz val="10"/>
        <rFont val="Calibri"/>
        <family val="2"/>
        <charset val="238"/>
        <scheme val="minor"/>
      </rPr>
      <t>2</t>
    </r>
  </si>
  <si>
    <t>et^2</t>
  </si>
  <si>
    <t>DW=</t>
  </si>
  <si>
    <t>alfa</t>
  </si>
  <si>
    <t>T</t>
  </si>
  <si>
    <t>K</t>
  </si>
  <si>
    <t>dL</t>
  </si>
  <si>
    <t>dU</t>
  </si>
  <si>
    <t>DW&gt;dU</t>
  </si>
  <si>
    <t>Brak autokorelacji</t>
  </si>
  <si>
    <t>H0=</t>
  </si>
  <si>
    <t>H1=</t>
  </si>
  <si>
    <t>Autokorelacja dodatnia</t>
  </si>
  <si>
    <t>Decyzja=</t>
  </si>
  <si>
    <t>Ponieważ statystyka DW jest większa od górnej granicy dU nie ma podstaw do odrzucenia H0 o braku autokorelacji</t>
  </si>
  <si>
    <t>odch std</t>
  </si>
  <si>
    <t>S=</t>
  </si>
  <si>
    <t>K=</t>
  </si>
  <si>
    <t>JBT=</t>
  </si>
  <si>
    <t>Chikwadrat=</t>
  </si>
  <si>
    <t>IstotnoscChi=</t>
  </si>
  <si>
    <t>et</t>
  </si>
  <si>
    <t>et^3</t>
  </si>
  <si>
    <t>et^4</t>
  </si>
  <si>
    <t>Decyzja:</t>
  </si>
  <si>
    <t>Ponieważ istotność jest wyższa od wartości alfy, rozkład danych jest rozkładnem innym niż normalny</t>
  </si>
  <si>
    <t>Ponieważ Fits jest większe od alfy, nie ma podstaw do odrzucenia H0 o liniowości modelu</t>
  </si>
  <si>
    <t>Ponieważ Fist jest większe od alfy to nie ma podstaw do odrzucenia hipotezy 0, składniki resztowe są homoskedastyczne</t>
  </si>
  <si>
    <t>Y= 1,433x 0,235x2 -0,271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</si>
</sst>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2" formatCode="_-* #,##0\ &quot;zł&quot;_-;\-* #,##0\ &quot;zł&quot;_-;_-* &quot;-&quot;\ &quot;zł&quot;_-;_-@_-"/>
    <numFmt numFmtId="41" formatCode="_-* #,##0_-;\-* #,##0_-;_-* &quot;-&quot;_-;_-@_-"/>
    <numFmt numFmtId="44" formatCode="_-* #,##0.00\ &quot;zł&quot;_-;\-* #,##0.00\ &quot;zł&quot;_-;_-* &quot;-&quot;??\ &quot;zł&quot;_-;_-@_-"/>
    <numFmt numFmtId="43" formatCode="_-* #,##0.00_-;\-* #,##0.00_-;_-* &quot;-&quot;??_-;_-@_-"/>
    <numFmt numFmtId="164" formatCode="_-* #,##0\ _z_ł_-;\-* #,##0\ _z_ł_-;_-* &quot;-&quot;\ _z_ł_-;_-@_-"/>
    <numFmt numFmtId="165" formatCode="_-* #,##0.00\ _z_ł_-;\-* #,##0.00\ _z_ł_-;_-* &quot;-&quot;??\ _z_ł_-;_-@_-"/>
    <numFmt numFmtId="166" formatCode="0.0%"/>
    <numFmt numFmtId="167" formatCode="0.000%"/>
    <numFmt numFmtId="168" formatCode="0.000000%"/>
    <numFmt numFmtId="169" formatCode="0.0000%"/>
    <numFmt numFmtId="170" formatCode="0.0000000"/>
    <numFmt numFmtId="171" formatCode="0.00000000"/>
    <numFmt numFmtId="172" formatCode="0.000"/>
    <numFmt numFmtId="173" formatCode="0.000000"/>
    <numFmt numFmtId="174" formatCode="0.0000"/>
  </numFmts>
  <fonts count="10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vertAlign val="subscript"/>
      <sz val="10"/>
      <name val="Calibri"/>
      <family val="2"/>
      <charset val="238"/>
      <scheme val="minor"/>
    </font>
    <font>
      <vertAlign val="superscript"/>
      <sz val="10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1" fillId="0" borderId="0" xfId="7" applyAlignment="1">
      <alignment horizontal="left" vertical="center"/>
    </xf>
    <xf numFmtId="4" fontId="1" fillId="0" borderId="0" xfId="7" applyNumberFormat="1" applyAlignment="1">
      <alignment horizontal="right" vertical="center"/>
    </xf>
    <xf numFmtId="0" fontId="0" fillId="0" borderId="0" xfId="7" applyFont="1" applyAlignment="1">
      <alignment horizontal="left" vertical="center"/>
    </xf>
    <xf numFmtId="4" fontId="0" fillId="0" borderId="0" xfId="7" applyNumberFormat="1" applyFont="1" applyAlignment="1">
      <alignment horizontal="right" vertical="center"/>
    </xf>
    <xf numFmtId="3" fontId="0" fillId="0" borderId="0" xfId="7" applyNumberFormat="1" applyFont="1" applyAlignment="1">
      <alignment horizontal="right" vertical="center"/>
    </xf>
    <xf numFmtId="3" fontId="0" fillId="0" borderId="0" xfId="0" applyNumberFormat="1"/>
    <xf numFmtId="0" fontId="0" fillId="0" borderId="0" xfId="7" applyFont="1" applyAlignment="1">
      <alignment horizontal="right" vertical="center"/>
    </xf>
    <xf numFmtId="0" fontId="3" fillId="0" borderId="0" xfId="7" applyFont="1" applyAlignment="1">
      <alignment horizontal="left" vertical="top" wrapText="1"/>
    </xf>
    <xf numFmtId="0" fontId="0" fillId="0" borderId="0" xfId="7" applyFont="1" applyAlignment="1">
      <alignment horizontal="left" vertical="top" wrapText="1"/>
    </xf>
    <xf numFmtId="166" fontId="0" fillId="0" borderId="0" xfId="8" applyNumberFormat="1" applyFont="1"/>
    <xf numFmtId="4" fontId="0" fillId="0" borderId="0" xfId="0" applyNumberFormat="1"/>
    <xf numFmtId="167" fontId="0" fillId="0" borderId="0" xfId="8" applyNumberFormat="1" applyFont="1"/>
    <xf numFmtId="168" fontId="0" fillId="0" borderId="0" xfId="8" applyNumberFormat="1" applyFont="1"/>
    <xf numFmtId="10" fontId="0" fillId="0" borderId="0" xfId="8" applyNumberFormat="1" applyFont="1"/>
    <xf numFmtId="169" fontId="0" fillId="0" borderId="0" xfId="8" applyNumberFormat="1" applyFont="1"/>
    <xf numFmtId="166" fontId="0" fillId="0" borderId="0" xfId="8" applyNumberFormat="1" applyFont="1" applyAlignment="1">
      <alignment horizontal="right" vertical="center"/>
    </xf>
    <xf numFmtId="10" fontId="4" fillId="0" borderId="0" xfId="8" applyNumberFormat="1" applyFont="1"/>
    <xf numFmtId="9" fontId="0" fillId="0" borderId="0" xfId="8" applyFont="1"/>
    <xf numFmtId="0" fontId="0" fillId="0" borderId="1" xfId="0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Continuous"/>
    </xf>
    <xf numFmtId="10" fontId="0" fillId="0" borderId="0" xfId="0" applyNumberFormat="1"/>
    <xf numFmtId="168" fontId="0" fillId="0" borderId="0" xfId="0" applyNumberFormat="1"/>
    <xf numFmtId="0" fontId="0" fillId="0" borderId="3" xfId="0" applyBorder="1"/>
    <xf numFmtId="0" fontId="1" fillId="0" borderId="3" xfId="7" applyBorder="1" applyAlignment="1">
      <alignment horizontal="left" vertical="center"/>
    </xf>
    <xf numFmtId="4" fontId="1" fillId="0" borderId="3" xfId="7" applyNumberFormat="1" applyBorder="1" applyAlignment="1">
      <alignment horizontal="right" vertical="center"/>
    </xf>
    <xf numFmtId="0" fontId="3" fillId="0" borderId="3" xfId="7" applyFont="1" applyBorder="1" applyAlignment="1">
      <alignment horizontal="left"/>
    </xf>
    <xf numFmtId="0" fontId="0" fillId="0" borderId="3" xfId="7" applyFont="1" applyBorder="1" applyAlignment="1">
      <alignment horizontal="left"/>
    </xf>
    <xf numFmtId="0" fontId="0" fillId="0" borderId="3" xfId="7" applyFont="1" applyBorder="1" applyAlignment="1">
      <alignment horizontal="right" vertical="center"/>
    </xf>
    <xf numFmtId="0" fontId="0" fillId="0" borderId="3" xfId="7" applyFont="1" applyBorder="1" applyAlignment="1">
      <alignment horizontal="left" vertical="center"/>
    </xf>
    <xf numFmtId="3" fontId="0" fillId="0" borderId="3" xfId="7" applyNumberFormat="1" applyFont="1" applyBorder="1" applyAlignment="1">
      <alignment horizontal="right" vertical="center"/>
    </xf>
    <xf numFmtId="4" fontId="0" fillId="0" borderId="3" xfId="7" applyNumberFormat="1" applyFont="1" applyBorder="1" applyAlignment="1">
      <alignment horizontal="right" vertical="center"/>
    </xf>
    <xf numFmtId="0" fontId="0" fillId="0" borderId="4" xfId="0" applyBorder="1"/>
    <xf numFmtId="3" fontId="0" fillId="0" borderId="3" xfId="0" applyNumberFormat="1" applyBorder="1"/>
    <xf numFmtId="167" fontId="0" fillId="0" borderId="0" xfId="8" applyNumberFormat="1" applyFont="1" applyBorder="1"/>
    <xf numFmtId="0" fontId="5" fillId="0" borderId="0" xfId="0" applyFont="1" applyAlignment="1">
      <alignment horizontal="centerContinuous"/>
    </xf>
    <xf numFmtId="0" fontId="5" fillId="0" borderId="0" xfId="0" applyFont="1" applyAlignment="1">
      <alignment horizontal="center"/>
    </xf>
    <xf numFmtId="0" fontId="0" fillId="0" borderId="0" xfId="0" quotePrefix="1"/>
    <xf numFmtId="170" fontId="0" fillId="0" borderId="0" xfId="0" applyNumberFormat="1"/>
    <xf numFmtId="171" fontId="0" fillId="0" borderId="0" xfId="0" applyNumberFormat="1"/>
    <xf numFmtId="0" fontId="6" fillId="2" borderId="3" xfId="1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9" fontId="0" fillId="0" borderId="0" xfId="0" applyNumberFormat="1"/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72" fontId="6" fillId="0" borderId="0" xfId="0" applyNumberFormat="1" applyFont="1" applyAlignment="1">
      <alignment horizontal="center"/>
    </xf>
    <xf numFmtId="2" fontId="0" fillId="0" borderId="0" xfId="0" applyNumberFormat="1"/>
    <xf numFmtId="173" fontId="0" fillId="0" borderId="0" xfId="0" applyNumberFormat="1"/>
    <xf numFmtId="174" fontId="0" fillId="0" borderId="0" xfId="0" applyNumberFormat="1"/>
    <xf numFmtId="0" fontId="9" fillId="0" borderId="0" xfId="0" applyFont="1" applyAlignment="1">
      <alignment horizontal="left"/>
    </xf>
    <xf numFmtId="0" fontId="4" fillId="0" borderId="0" xfId="0" applyFont="1"/>
  </cellXfs>
  <cellStyles count="17">
    <cellStyle name="Comma" xfId="5" xr:uid="{00000000-0005-0000-0000-000000000000}"/>
    <cellStyle name="Comma [0]" xfId="6" xr:uid="{00000000-0005-0000-0000-000001000000}"/>
    <cellStyle name="Comma [0] 2" xfId="12" xr:uid="{00000000-0005-0000-0000-000002000000}"/>
    <cellStyle name="Comma 2" xfId="11" xr:uid="{00000000-0005-0000-0000-000003000000}"/>
    <cellStyle name="Comma 3" xfId="14" xr:uid="{00000000-0005-0000-0000-000004000000}"/>
    <cellStyle name="Comma 4" xfId="16" xr:uid="{00000000-0005-0000-0000-000005000000}"/>
    <cellStyle name="Currency" xfId="3" xr:uid="{00000000-0005-0000-0000-000006000000}"/>
    <cellStyle name="Currency [0]" xfId="4" xr:uid="{00000000-0005-0000-0000-000007000000}"/>
    <cellStyle name="Currency [0] 2" xfId="10" xr:uid="{00000000-0005-0000-0000-000008000000}"/>
    <cellStyle name="Currency 2" xfId="9" xr:uid="{00000000-0005-0000-0000-000009000000}"/>
    <cellStyle name="Currency 3" xfId="13" xr:uid="{00000000-0005-0000-0000-00000A000000}"/>
    <cellStyle name="Currency 4" xfId="15" xr:uid="{00000000-0005-0000-0000-00000B000000}"/>
    <cellStyle name="Normal" xfId="7" xr:uid="{00000000-0005-0000-0000-00000C000000}"/>
    <cellStyle name="Normalny" xfId="0" builtinId="0"/>
    <cellStyle name="Normalny 2" xfId="1" xr:uid="{00000000-0005-0000-0000-00000E000000}"/>
    <cellStyle name="Percent" xfId="2" xr:uid="{00000000-0005-0000-0000-00000F000000}"/>
    <cellStyle name="Procentowy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23443</xdr:colOff>
      <xdr:row>21</xdr:row>
      <xdr:rowOff>122263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42CF9B95-C851-BEFD-2CF5-6D2D1B51C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29043" cy="3962743"/>
        </a:xfrm>
        <a:prstGeom prst="rect">
          <a:avLst/>
        </a:prstGeom>
      </xdr:spPr>
    </xdr:pic>
    <xdr:clientData/>
  </xdr:twoCellAnchor>
  <xdr:twoCellAnchor editAs="oneCell">
    <xdr:from>
      <xdr:col>11</xdr:col>
      <xdr:colOff>83820</xdr:colOff>
      <xdr:row>0</xdr:row>
      <xdr:rowOff>0</xdr:rowOff>
    </xdr:from>
    <xdr:to>
      <xdr:col>21</xdr:col>
      <xdr:colOff>252003</xdr:colOff>
      <xdr:row>23</xdr:row>
      <xdr:rowOff>160398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278DF970-6C7D-2249-C99C-FE01D7E8B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89420" y="0"/>
          <a:ext cx="6264183" cy="4366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8"/>
  <sheetViews>
    <sheetView workbookViewId="0">
      <selection activeCell="O2" sqref="O2"/>
    </sheetView>
  </sheetViews>
  <sheetFormatPr defaultRowHeight="14.4" x14ac:dyDescent="0.3"/>
  <cols>
    <col min="4" max="4" width="12.33203125" bestFit="1" customWidth="1"/>
    <col min="7" max="7" width="12" bestFit="1" customWidth="1"/>
    <col min="8" max="8" width="20.109375" customWidth="1"/>
    <col min="17" max="17" width="14.44140625" customWidth="1"/>
    <col min="18" max="18" width="14.33203125" customWidth="1"/>
    <col min="22" max="22" width="8.6640625" customWidth="1"/>
    <col min="23" max="23" width="13.33203125" customWidth="1"/>
    <col min="24" max="24" width="12.44140625" customWidth="1"/>
    <col min="25" max="25" width="12.33203125" customWidth="1"/>
    <col min="26" max="26" width="20.33203125" customWidth="1"/>
    <col min="27" max="27" width="12.6640625" customWidth="1"/>
    <col min="28" max="28" width="12.5546875" customWidth="1"/>
    <col min="30" max="31" width="9.88671875" bestFit="1" customWidth="1"/>
  </cols>
  <sheetData>
    <row r="1" spans="1:21" ht="18.75" customHeight="1" x14ac:dyDescent="0.3">
      <c r="A1" s="24" t="s">
        <v>5</v>
      </c>
      <c r="B1" s="24"/>
      <c r="C1" s="24"/>
      <c r="D1" s="24"/>
      <c r="F1" s="27" t="s">
        <v>51</v>
      </c>
      <c r="G1" s="24"/>
      <c r="H1" s="24"/>
      <c r="I1" s="24"/>
      <c r="J1" s="24"/>
      <c r="K1" s="24"/>
      <c r="L1" s="24"/>
      <c r="M1" s="24"/>
      <c r="O1" s="24" t="s">
        <v>22</v>
      </c>
      <c r="P1" s="24"/>
      <c r="R1" s="24" t="s">
        <v>20</v>
      </c>
      <c r="S1" s="24"/>
      <c r="T1" s="24"/>
      <c r="U1" s="24"/>
    </row>
    <row r="2" spans="1:21" ht="17.25" customHeight="1" x14ac:dyDescent="0.3">
      <c r="A2" s="24" t="s">
        <v>6</v>
      </c>
      <c r="B2" s="24"/>
      <c r="C2" s="24"/>
      <c r="D2" s="24"/>
      <c r="F2" s="28" t="s">
        <v>52</v>
      </c>
      <c r="G2" s="24"/>
      <c r="H2" s="24"/>
      <c r="I2" s="24"/>
      <c r="J2" s="24"/>
      <c r="K2" s="24"/>
      <c r="L2" s="24"/>
      <c r="M2" s="24"/>
      <c r="O2" s="24" t="s">
        <v>23</v>
      </c>
      <c r="P2" s="24"/>
      <c r="R2" s="24" t="s">
        <v>21</v>
      </c>
      <c r="S2" s="24"/>
      <c r="T2" s="24"/>
      <c r="U2" s="24"/>
    </row>
    <row r="3" spans="1:21" x14ac:dyDescent="0.3">
      <c r="A3" s="24"/>
      <c r="B3" s="25">
        <v>2012</v>
      </c>
      <c r="C3" s="26">
        <v>2.8</v>
      </c>
      <c r="D3" s="25" t="s">
        <v>2</v>
      </c>
      <c r="F3" s="24"/>
      <c r="G3" s="29" t="s">
        <v>53</v>
      </c>
      <c r="H3" s="29" t="s">
        <v>54</v>
      </c>
      <c r="I3" s="29" t="s">
        <v>55</v>
      </c>
      <c r="J3" s="29" t="s">
        <v>56</v>
      </c>
      <c r="K3" s="29" t="s">
        <v>57</v>
      </c>
      <c r="L3" s="29" t="s">
        <v>58</v>
      </c>
      <c r="M3" s="29" t="s">
        <v>59</v>
      </c>
      <c r="O3" s="24"/>
      <c r="P3" s="24"/>
      <c r="R3" s="24"/>
      <c r="S3" s="24"/>
      <c r="T3" s="24"/>
      <c r="U3" s="24"/>
    </row>
    <row r="4" spans="1:21" x14ac:dyDescent="0.3">
      <c r="A4" s="24"/>
      <c r="B4" s="25">
        <v>2013</v>
      </c>
      <c r="C4" s="26">
        <v>2.6</v>
      </c>
      <c r="D4" s="25" t="s">
        <v>2</v>
      </c>
      <c r="F4" s="30" t="s">
        <v>60</v>
      </c>
      <c r="G4" s="31">
        <v>1439369</v>
      </c>
      <c r="H4" s="31">
        <v>7910803</v>
      </c>
      <c r="I4" s="31">
        <v>14895111</v>
      </c>
      <c r="J4" s="31">
        <v>13929392</v>
      </c>
      <c r="K4" s="31">
        <v>13546801</v>
      </c>
      <c r="L4" s="31">
        <v>11983545</v>
      </c>
      <c r="M4" s="31">
        <v>0</v>
      </c>
      <c r="O4" s="24" t="s">
        <v>24</v>
      </c>
      <c r="P4" s="24">
        <v>3.13</v>
      </c>
      <c r="R4" s="24"/>
      <c r="S4" s="30"/>
      <c r="T4" s="32"/>
      <c r="U4" s="30"/>
    </row>
    <row r="5" spans="1:21" x14ac:dyDescent="0.3">
      <c r="A5" s="24"/>
      <c r="B5" s="25">
        <v>2014</v>
      </c>
      <c r="C5" s="26">
        <v>1.5</v>
      </c>
      <c r="D5" s="25" t="s">
        <v>2</v>
      </c>
      <c r="F5" s="30" t="s">
        <v>61</v>
      </c>
      <c r="G5" s="31">
        <v>1227756</v>
      </c>
      <c r="H5" s="31">
        <v>7660128</v>
      </c>
      <c r="I5" s="31">
        <v>14823614</v>
      </c>
      <c r="J5" s="31">
        <v>13928858</v>
      </c>
      <c r="K5" s="31">
        <v>13634263</v>
      </c>
      <c r="L5" s="31">
        <v>12038484</v>
      </c>
      <c r="M5" s="31">
        <v>792557</v>
      </c>
      <c r="O5" s="24" t="s">
        <v>25</v>
      </c>
      <c r="P5" s="24">
        <v>3.03</v>
      </c>
      <c r="R5" s="24">
        <v>2</v>
      </c>
      <c r="S5" s="30" t="s">
        <v>8</v>
      </c>
      <c r="T5" s="32">
        <v>7.8</v>
      </c>
      <c r="U5" s="30" t="s">
        <v>2</v>
      </c>
    </row>
    <row r="6" spans="1:21" x14ac:dyDescent="0.3">
      <c r="A6" s="24"/>
      <c r="B6" s="25">
        <v>2015</v>
      </c>
      <c r="C6" s="26">
        <v>0</v>
      </c>
      <c r="D6" s="25" t="s">
        <v>2</v>
      </c>
      <c r="F6" s="30" t="s">
        <v>62</v>
      </c>
      <c r="G6" s="31">
        <v>1050790</v>
      </c>
      <c r="H6" s="31">
        <v>7410626</v>
      </c>
      <c r="I6" s="31">
        <v>14757988</v>
      </c>
      <c r="J6" s="31">
        <v>13935187</v>
      </c>
      <c r="K6" s="31">
        <v>13754992</v>
      </c>
      <c r="L6" s="31">
        <v>12109297</v>
      </c>
      <c r="M6" s="31">
        <v>1577872</v>
      </c>
      <c r="O6" s="24" t="s">
        <v>26</v>
      </c>
      <c r="P6" s="24">
        <v>2.92</v>
      </c>
      <c r="R6" s="24">
        <v>3</v>
      </c>
      <c r="S6" s="30" t="s">
        <v>9</v>
      </c>
      <c r="T6" s="32">
        <v>7.2</v>
      </c>
      <c r="U6" s="30" t="s">
        <v>2</v>
      </c>
    </row>
    <row r="7" spans="1:21" x14ac:dyDescent="0.3">
      <c r="A7" s="24"/>
      <c r="B7" s="25">
        <v>2016</v>
      </c>
      <c r="C7" s="26">
        <v>0.7</v>
      </c>
      <c r="D7" s="25" t="s">
        <v>2</v>
      </c>
      <c r="F7" s="30" t="s">
        <v>63</v>
      </c>
      <c r="G7" s="31">
        <v>868769</v>
      </c>
      <c r="H7" s="31">
        <v>7127813</v>
      </c>
      <c r="I7" s="31">
        <v>14686175</v>
      </c>
      <c r="J7" s="31">
        <v>13955179</v>
      </c>
      <c r="K7" s="31">
        <v>13913851</v>
      </c>
      <c r="L7" s="31">
        <v>12188653</v>
      </c>
      <c r="M7" s="31">
        <v>2369598</v>
      </c>
      <c r="O7" s="24" t="s">
        <v>27</v>
      </c>
      <c r="P7" s="24">
        <v>2.86</v>
      </c>
      <c r="R7" s="24">
        <v>4</v>
      </c>
      <c r="S7" s="30" t="s">
        <v>10</v>
      </c>
      <c r="T7" s="32">
        <v>5.7</v>
      </c>
      <c r="U7" s="30" t="s">
        <v>2</v>
      </c>
    </row>
    <row r="8" spans="1:21" x14ac:dyDescent="0.3">
      <c r="A8" s="24"/>
      <c r="B8" s="25">
        <v>2017</v>
      </c>
      <c r="C8" s="26">
        <v>2.7</v>
      </c>
      <c r="D8" s="25" t="s">
        <v>2</v>
      </c>
      <c r="F8" s="30" t="s">
        <v>64</v>
      </c>
      <c r="G8" s="31">
        <v>717962</v>
      </c>
      <c r="H8" s="31">
        <v>6840061</v>
      </c>
      <c r="I8" s="31">
        <v>14605307</v>
      </c>
      <c r="J8" s="31">
        <v>13973740</v>
      </c>
      <c r="K8" s="31">
        <v>14055240</v>
      </c>
      <c r="L8" s="31">
        <v>12281600</v>
      </c>
      <c r="M8" s="31">
        <v>3174159</v>
      </c>
      <c r="O8" s="24" t="s">
        <v>28</v>
      </c>
      <c r="P8" s="24">
        <v>2.87</v>
      </c>
      <c r="R8" s="24">
        <v>5</v>
      </c>
      <c r="S8" s="30" t="s">
        <v>11</v>
      </c>
      <c r="T8" s="32">
        <v>5.0999999999999996</v>
      </c>
      <c r="U8" s="30" t="s">
        <v>2</v>
      </c>
    </row>
    <row r="9" spans="1:21" x14ac:dyDescent="0.3">
      <c r="A9" s="24"/>
      <c r="B9" s="25">
        <v>2018</v>
      </c>
      <c r="C9" s="26">
        <v>2.5</v>
      </c>
      <c r="D9" s="25" t="s">
        <v>2</v>
      </c>
      <c r="F9" s="30" t="s">
        <v>65</v>
      </c>
      <c r="G9" s="31">
        <v>579780</v>
      </c>
      <c r="H9" s="31">
        <v>6532781</v>
      </c>
      <c r="I9" s="31">
        <v>14508625</v>
      </c>
      <c r="J9" s="31">
        <v>13975122</v>
      </c>
      <c r="K9" s="31">
        <v>14115516</v>
      </c>
      <c r="L9" s="31">
        <v>12367668</v>
      </c>
      <c r="M9" s="31">
        <v>3960741</v>
      </c>
      <c r="O9" s="24" t="s">
        <v>29</v>
      </c>
      <c r="P9" s="24">
        <v>2.9</v>
      </c>
      <c r="R9" s="24">
        <v>6</v>
      </c>
      <c r="S9" s="30" t="s">
        <v>12</v>
      </c>
      <c r="T9" s="32">
        <v>4.8</v>
      </c>
      <c r="U9" s="30" t="s">
        <v>2</v>
      </c>
    </row>
    <row r="10" spans="1:21" x14ac:dyDescent="0.3">
      <c r="A10" s="24"/>
      <c r="B10" s="25">
        <v>2019</v>
      </c>
      <c r="C10" s="26">
        <v>1.8</v>
      </c>
      <c r="D10" s="25" t="s">
        <v>2</v>
      </c>
      <c r="F10" s="30" t="s">
        <v>66</v>
      </c>
      <c r="G10" s="31">
        <v>454740</v>
      </c>
      <c r="H10" s="31">
        <v>6208059</v>
      </c>
      <c r="I10" s="31">
        <v>14402698</v>
      </c>
      <c r="J10" s="31">
        <v>13973428</v>
      </c>
      <c r="K10" s="31">
        <v>14187113</v>
      </c>
      <c r="L10" s="31">
        <v>12472276</v>
      </c>
      <c r="M10" s="31">
        <v>4737232</v>
      </c>
      <c r="O10" s="24" t="s">
        <v>30</v>
      </c>
      <c r="P10" s="24">
        <v>2.89</v>
      </c>
      <c r="R10" s="24">
        <v>7</v>
      </c>
      <c r="S10" s="30" t="s">
        <v>13</v>
      </c>
      <c r="T10" s="32">
        <v>4.4000000000000004</v>
      </c>
      <c r="U10" s="30" t="s">
        <v>2</v>
      </c>
    </row>
    <row r="11" spans="1:21" x14ac:dyDescent="0.3">
      <c r="A11" s="24"/>
      <c r="B11" s="25">
        <v>2020</v>
      </c>
      <c r="C11" s="26">
        <v>0.9</v>
      </c>
      <c r="D11" s="25" t="s">
        <v>2</v>
      </c>
      <c r="F11" s="30" t="s">
        <v>67</v>
      </c>
      <c r="G11" s="31">
        <v>360480</v>
      </c>
      <c r="H11" s="31">
        <v>5891552</v>
      </c>
      <c r="I11" s="31">
        <v>14284021</v>
      </c>
      <c r="J11" s="31">
        <v>13966001</v>
      </c>
      <c r="K11" s="31">
        <v>14226132</v>
      </c>
      <c r="L11" s="31">
        <v>12575056</v>
      </c>
      <c r="M11" s="31">
        <v>5493564</v>
      </c>
      <c r="O11" s="24" t="s">
        <v>31</v>
      </c>
      <c r="P11" s="24">
        <v>2.87</v>
      </c>
      <c r="R11" s="24">
        <v>8</v>
      </c>
      <c r="S11" s="30" t="s">
        <v>14</v>
      </c>
      <c r="T11" s="31">
        <v>4</v>
      </c>
      <c r="U11" s="30" t="s">
        <v>2</v>
      </c>
    </row>
    <row r="12" spans="1:21" x14ac:dyDescent="0.3">
      <c r="A12" s="24"/>
      <c r="B12" s="25">
        <v>2021</v>
      </c>
      <c r="C12" s="26">
        <v>2.6</v>
      </c>
      <c r="D12" s="25" t="s">
        <v>2</v>
      </c>
      <c r="F12" s="30" t="s">
        <v>68</v>
      </c>
      <c r="G12" s="31">
        <v>267430</v>
      </c>
      <c r="H12" s="31">
        <v>5521918</v>
      </c>
      <c r="I12" s="31">
        <v>14147218</v>
      </c>
      <c r="J12" s="31">
        <v>13950265</v>
      </c>
      <c r="K12" s="31">
        <v>14262767</v>
      </c>
      <c r="L12" s="31">
        <v>12698785</v>
      </c>
      <c r="M12" s="31">
        <v>6232848</v>
      </c>
      <c r="O12" s="24" t="s">
        <v>32</v>
      </c>
      <c r="P12" s="24">
        <v>3.05</v>
      </c>
      <c r="R12" s="24">
        <v>9</v>
      </c>
      <c r="S12" s="30" t="s">
        <v>15</v>
      </c>
      <c r="T12" s="31">
        <v>4</v>
      </c>
      <c r="U12" s="30" t="s">
        <v>2</v>
      </c>
    </row>
    <row r="13" spans="1:21" x14ac:dyDescent="0.3">
      <c r="A13" s="24"/>
      <c r="B13" s="25">
        <v>2022</v>
      </c>
      <c r="C13" s="26">
        <v>9.1</v>
      </c>
      <c r="D13" s="25" t="s">
        <v>2</v>
      </c>
      <c r="F13" s="30" t="s">
        <v>69</v>
      </c>
      <c r="G13" s="31">
        <v>0</v>
      </c>
      <c r="H13" s="31">
        <v>4685037</v>
      </c>
      <c r="I13" s="31">
        <v>13914928</v>
      </c>
      <c r="J13" s="31">
        <v>14058153</v>
      </c>
      <c r="K13" s="31">
        <v>14391255</v>
      </c>
      <c r="L13" s="31">
        <v>12682135</v>
      </c>
      <c r="M13" s="31">
        <v>6695927</v>
      </c>
      <c r="O13" s="24" t="s">
        <v>33</v>
      </c>
      <c r="P13" s="24">
        <v>3.31</v>
      </c>
      <c r="R13" s="24">
        <v>10</v>
      </c>
      <c r="S13" s="30" t="s">
        <v>16</v>
      </c>
      <c r="T13" s="32">
        <v>5.3</v>
      </c>
      <c r="U13" s="30" t="s">
        <v>2</v>
      </c>
    </row>
    <row r="14" spans="1:21" x14ac:dyDescent="0.3">
      <c r="A14" s="24"/>
      <c r="B14" s="25" t="s">
        <v>7</v>
      </c>
      <c r="C14" s="26">
        <v>7.3</v>
      </c>
      <c r="D14" s="25" t="s">
        <v>2</v>
      </c>
      <c r="O14" s="24" t="s">
        <v>34</v>
      </c>
      <c r="P14" s="24">
        <v>3.12</v>
      </c>
      <c r="R14" s="24">
        <v>11</v>
      </c>
      <c r="S14" s="30" t="s">
        <v>17</v>
      </c>
      <c r="T14" s="32">
        <v>4.0999999999999996</v>
      </c>
      <c r="U14" s="30" t="s">
        <v>2</v>
      </c>
    </row>
    <row r="15" spans="1:21" x14ac:dyDescent="0.3">
      <c r="O15" s="33" t="s">
        <v>35</v>
      </c>
      <c r="P15" s="33">
        <v>3.23</v>
      </c>
      <c r="R15" s="24">
        <v>12</v>
      </c>
      <c r="S15" s="30" t="s">
        <v>18</v>
      </c>
      <c r="T15" s="32">
        <v>3.8</v>
      </c>
      <c r="U15" s="30" t="s">
        <v>2</v>
      </c>
    </row>
    <row r="16" spans="1:21" x14ac:dyDescent="0.3">
      <c r="R16" s="24">
        <v>13</v>
      </c>
      <c r="S16" s="30" t="s">
        <v>19</v>
      </c>
      <c r="T16" s="32">
        <v>3.9</v>
      </c>
      <c r="U16" s="30" t="s">
        <v>2</v>
      </c>
    </row>
    <row r="18" spans="1:29" x14ac:dyDescent="0.3">
      <c r="A18" s="24" t="s">
        <v>0</v>
      </c>
      <c r="B18" s="24"/>
      <c r="C18" s="24"/>
      <c r="E18" s="24" t="s">
        <v>3</v>
      </c>
      <c r="F18" s="24"/>
      <c r="H18" s="24" t="s">
        <v>36</v>
      </c>
      <c r="I18" s="24"/>
      <c r="K18" s="24" t="s">
        <v>43</v>
      </c>
      <c r="L18" s="24"/>
      <c r="M18" s="24"/>
      <c r="N18" s="24"/>
      <c r="O18" s="24"/>
      <c r="P18" s="24"/>
      <c r="R18" s="24" t="s">
        <v>38</v>
      </c>
      <c r="S18" s="24"/>
      <c r="U18" s="24" t="s">
        <v>70</v>
      </c>
      <c r="V18" s="24"/>
    </row>
    <row r="19" spans="1:29" x14ac:dyDescent="0.3">
      <c r="A19" s="24" t="s">
        <v>1</v>
      </c>
      <c r="B19" s="24"/>
      <c r="C19" s="24"/>
      <c r="E19" s="24" t="s">
        <v>4</v>
      </c>
      <c r="F19" s="24"/>
      <c r="H19" s="24" t="s">
        <v>37</v>
      </c>
      <c r="I19" s="24"/>
      <c r="K19" s="24" t="s">
        <v>44</v>
      </c>
      <c r="L19" s="24"/>
      <c r="M19" s="24"/>
      <c r="N19" s="24"/>
      <c r="O19" s="24"/>
      <c r="P19" s="24"/>
      <c r="R19" s="24" t="s">
        <v>39</v>
      </c>
      <c r="S19" s="24"/>
      <c r="U19" s="24" t="s">
        <v>71</v>
      </c>
      <c r="V19" s="24"/>
    </row>
    <row r="20" spans="1:29" x14ac:dyDescent="0.3">
      <c r="A20" s="24"/>
      <c r="B20" s="24"/>
      <c r="C20" s="24"/>
      <c r="E20" s="24"/>
      <c r="F20" s="24"/>
      <c r="H20" s="24"/>
      <c r="I20" s="24"/>
      <c r="K20" s="24"/>
      <c r="L20" s="24" t="s">
        <v>45</v>
      </c>
      <c r="M20" s="24" t="s">
        <v>46</v>
      </c>
      <c r="N20" s="24" t="s">
        <v>47</v>
      </c>
      <c r="O20" s="24" t="s">
        <v>48</v>
      </c>
      <c r="P20" s="24" t="s">
        <v>49</v>
      </c>
      <c r="R20" s="24"/>
      <c r="S20" s="24"/>
      <c r="U20" s="24"/>
      <c r="V20" s="26">
        <v>65.11</v>
      </c>
    </row>
    <row r="21" spans="1:29" x14ac:dyDescent="0.3">
      <c r="A21" s="24">
        <v>2012</v>
      </c>
      <c r="B21" s="24">
        <v>47</v>
      </c>
      <c r="C21" s="24" t="s">
        <v>2</v>
      </c>
      <c r="E21" s="24">
        <v>2010</v>
      </c>
      <c r="F21" s="24">
        <v>14.9</v>
      </c>
      <c r="H21" s="24">
        <v>2000</v>
      </c>
      <c r="I21" s="24">
        <v>11.1</v>
      </c>
      <c r="K21" s="24">
        <v>2002</v>
      </c>
      <c r="L21" s="34">
        <v>22944481</v>
      </c>
      <c r="M21" s="34">
        <v>23088100</v>
      </c>
      <c r="N21" s="34">
        <v>3139516</v>
      </c>
      <c r="O21" s="34">
        <v>3430046</v>
      </c>
      <c r="P21" s="24" t="s">
        <v>50</v>
      </c>
      <c r="R21" s="24" t="s">
        <v>40</v>
      </c>
      <c r="S21" s="24">
        <v>414</v>
      </c>
      <c r="U21" s="24"/>
      <c r="V21" s="26">
        <v>65.650000000000006</v>
      </c>
    </row>
    <row r="22" spans="1:29" x14ac:dyDescent="0.3">
      <c r="A22" s="24">
        <v>2013</v>
      </c>
      <c r="B22" s="24">
        <v>48</v>
      </c>
      <c r="C22" s="24" t="s">
        <v>2</v>
      </c>
      <c r="E22" s="24">
        <v>2011</v>
      </c>
      <c r="F22" s="24">
        <v>17.8</v>
      </c>
      <c r="H22" s="24">
        <v>2001</v>
      </c>
      <c r="I22" s="24">
        <v>10.7</v>
      </c>
      <c r="K22" s="24">
        <v>2003</v>
      </c>
      <c r="L22" s="34">
        <v>23248375</v>
      </c>
      <c r="M22" s="34">
        <v>23046141</v>
      </c>
      <c r="N22" s="34">
        <v>3174557</v>
      </c>
      <c r="O22" s="34">
        <v>3394165</v>
      </c>
      <c r="P22" s="24" t="s">
        <v>50</v>
      </c>
      <c r="R22" s="24" t="s">
        <v>41</v>
      </c>
      <c r="S22" s="24">
        <v>439</v>
      </c>
      <c r="U22" s="24"/>
      <c r="V22" s="26">
        <v>66.040000000000006</v>
      </c>
    </row>
    <row r="23" spans="1:29" x14ac:dyDescent="0.3">
      <c r="A23" s="24">
        <v>2014</v>
      </c>
      <c r="B23" s="24">
        <v>47</v>
      </c>
      <c r="C23" s="24" t="s">
        <v>2</v>
      </c>
      <c r="E23" s="24">
        <v>2012</v>
      </c>
      <c r="F23" s="24">
        <v>16.2</v>
      </c>
      <c r="H23" s="24">
        <v>2002</v>
      </c>
      <c r="I23" s="24">
        <v>10.3</v>
      </c>
      <c r="K23" s="24">
        <v>2004</v>
      </c>
      <c r="L23" s="34">
        <v>23528600</v>
      </c>
      <c r="M23" s="34">
        <v>22999978</v>
      </c>
      <c r="N23" s="34">
        <v>3231047</v>
      </c>
      <c r="O23" s="34">
        <v>3392397</v>
      </c>
      <c r="P23" s="24" t="s">
        <v>50</v>
      </c>
      <c r="R23" s="24" t="s">
        <v>42</v>
      </c>
      <c r="S23" s="24">
        <v>402</v>
      </c>
      <c r="U23" s="24"/>
      <c r="V23" s="26">
        <v>66.44</v>
      </c>
    </row>
    <row r="24" spans="1:29" x14ac:dyDescent="0.3">
      <c r="A24" s="24">
        <v>2015</v>
      </c>
      <c r="B24" s="24">
        <v>46</v>
      </c>
      <c r="C24" s="24" t="s">
        <v>2</v>
      </c>
      <c r="E24" s="24">
        <v>2013</v>
      </c>
      <c r="F24" s="24">
        <v>14</v>
      </c>
      <c r="H24" s="24">
        <v>2003</v>
      </c>
      <c r="I24" s="24">
        <v>10.4</v>
      </c>
      <c r="K24" s="24">
        <v>2005</v>
      </c>
      <c r="L24" s="34">
        <v>23815246</v>
      </c>
      <c r="M24" s="34">
        <v>23155488</v>
      </c>
      <c r="N24" s="34">
        <v>3289944</v>
      </c>
      <c r="O24" s="34">
        <v>3314665</v>
      </c>
      <c r="P24" s="24" t="s">
        <v>50</v>
      </c>
      <c r="R24" s="24" t="s">
        <v>24</v>
      </c>
      <c r="S24" s="24">
        <v>430</v>
      </c>
      <c r="U24" s="24"/>
      <c r="V24" s="26">
        <v>66.8</v>
      </c>
    </row>
    <row r="25" spans="1:29" x14ac:dyDescent="0.3">
      <c r="A25" s="24">
        <v>2016</v>
      </c>
      <c r="B25" s="24">
        <v>40</v>
      </c>
      <c r="C25" s="24" t="s">
        <v>2</v>
      </c>
      <c r="E25" s="24">
        <v>2014</v>
      </c>
      <c r="F25" s="24">
        <v>22.9</v>
      </c>
      <c r="H25" s="24">
        <v>2004</v>
      </c>
      <c r="I25" s="24">
        <v>10.5</v>
      </c>
      <c r="K25" s="24">
        <v>2006</v>
      </c>
      <c r="L25" s="34">
        <v>24206014</v>
      </c>
      <c r="M25" s="34">
        <v>23066569</v>
      </c>
      <c r="N25" s="34">
        <v>3370687</v>
      </c>
      <c r="O25" s="34">
        <v>3283515</v>
      </c>
      <c r="P25" s="34">
        <v>24069</v>
      </c>
      <c r="R25" s="24" t="s">
        <v>26</v>
      </c>
      <c r="S25" s="24">
        <v>488</v>
      </c>
      <c r="U25" s="24"/>
      <c r="V25" s="26">
        <v>67.260000000000005</v>
      </c>
      <c r="Z25" s="5"/>
      <c r="AA25" s="5"/>
      <c r="AB25" s="5"/>
      <c r="AC25" s="5"/>
    </row>
    <row r="26" spans="1:29" x14ac:dyDescent="0.3">
      <c r="A26" s="24">
        <v>2017</v>
      </c>
      <c r="B26" s="24">
        <v>44</v>
      </c>
      <c r="C26" s="24" t="s">
        <v>2</v>
      </c>
      <c r="E26" s="24">
        <v>2015</v>
      </c>
      <c r="F26" s="24">
        <v>18</v>
      </c>
      <c r="H26" s="24">
        <v>2005</v>
      </c>
      <c r="I26" s="24">
        <v>10</v>
      </c>
      <c r="K26" s="24">
        <v>2007</v>
      </c>
      <c r="L26" s="34">
        <v>24503235</v>
      </c>
      <c r="M26" s="34">
        <v>23120897</v>
      </c>
      <c r="N26" s="34">
        <v>3410031</v>
      </c>
      <c r="O26" s="34">
        <v>3287352</v>
      </c>
      <c r="P26" s="34">
        <v>65877</v>
      </c>
      <c r="R26" s="24" t="s">
        <v>27</v>
      </c>
      <c r="S26" s="24">
        <v>442</v>
      </c>
      <c r="U26" s="24"/>
      <c r="V26" s="26">
        <v>67.61</v>
      </c>
      <c r="Z26" s="5"/>
      <c r="AA26" s="5"/>
      <c r="AB26" s="5"/>
      <c r="AC26" s="5"/>
    </row>
    <row r="27" spans="1:29" x14ac:dyDescent="0.3">
      <c r="A27" s="24">
        <v>2018</v>
      </c>
      <c r="B27" s="24">
        <v>45</v>
      </c>
      <c r="C27" s="24" t="s">
        <v>2</v>
      </c>
      <c r="E27" s="24">
        <v>2016</v>
      </c>
      <c r="F27" s="24">
        <v>18.3</v>
      </c>
      <c r="H27" s="24">
        <v>2006</v>
      </c>
      <c r="I27" s="24">
        <v>9.5</v>
      </c>
      <c r="K27" s="24">
        <v>2008</v>
      </c>
      <c r="L27" s="34">
        <v>24889122</v>
      </c>
      <c r="M27" s="34">
        <v>23105056</v>
      </c>
      <c r="N27" s="34">
        <v>3503166</v>
      </c>
      <c r="O27" s="34">
        <v>3268830</v>
      </c>
      <c r="P27" s="34">
        <v>75546</v>
      </c>
      <c r="R27" s="24" t="s">
        <v>28</v>
      </c>
      <c r="S27" s="24">
        <v>488</v>
      </c>
      <c r="U27" s="24"/>
      <c r="V27" s="26">
        <v>67.95</v>
      </c>
      <c r="Y27" s="5"/>
      <c r="Z27" s="5"/>
      <c r="AA27" s="5"/>
      <c r="AB27" s="5"/>
      <c r="AC27" s="5"/>
    </row>
    <row r="28" spans="1:29" x14ac:dyDescent="0.3">
      <c r="A28" s="24">
        <v>2019</v>
      </c>
      <c r="B28" s="24">
        <v>40</v>
      </c>
      <c r="C28" s="24" t="s">
        <v>2</v>
      </c>
      <c r="E28" s="24">
        <v>2017</v>
      </c>
      <c r="F28" s="24">
        <v>26.9</v>
      </c>
      <c r="H28" s="24">
        <v>2007</v>
      </c>
      <c r="I28" s="24">
        <v>9</v>
      </c>
      <c r="K28" s="24">
        <v>2009</v>
      </c>
      <c r="L28" s="34">
        <v>25143843</v>
      </c>
      <c r="M28" s="34">
        <v>23193525</v>
      </c>
      <c r="N28" s="34">
        <v>3598748</v>
      </c>
      <c r="O28" s="34">
        <v>3219206</v>
      </c>
      <c r="P28" s="34">
        <v>79931</v>
      </c>
      <c r="R28" s="24" t="s">
        <v>29</v>
      </c>
      <c r="S28" s="24">
        <v>526</v>
      </c>
      <c r="U28" s="24"/>
      <c r="V28" s="26">
        <v>68.27</v>
      </c>
      <c r="X28" s="5"/>
      <c r="Y28" s="5"/>
      <c r="Z28" s="5"/>
      <c r="AA28" s="5"/>
      <c r="AB28" s="5"/>
      <c r="AC28" s="5"/>
    </row>
    <row r="29" spans="1:29" x14ac:dyDescent="0.3">
      <c r="A29" s="24">
        <v>2020</v>
      </c>
      <c r="B29" s="24">
        <v>41</v>
      </c>
      <c r="C29" s="24" t="s">
        <v>2</v>
      </c>
      <c r="E29" s="24">
        <v>2018</v>
      </c>
      <c r="F29" s="24">
        <v>25.1</v>
      </c>
      <c r="H29" s="24">
        <v>2008</v>
      </c>
      <c r="I29" s="24">
        <v>9.5</v>
      </c>
      <c r="K29" s="24">
        <v>2010</v>
      </c>
      <c r="L29" s="34">
        <v>25433695</v>
      </c>
      <c r="M29" s="34">
        <v>23285841</v>
      </c>
      <c r="N29" s="34">
        <v>3700872</v>
      </c>
      <c r="O29" s="34">
        <v>3188332</v>
      </c>
      <c r="P29" s="34">
        <v>83683</v>
      </c>
      <c r="R29" s="24" t="s">
        <v>30</v>
      </c>
      <c r="S29" s="24">
        <v>595</v>
      </c>
      <c r="U29" s="24"/>
      <c r="V29" s="26">
        <v>68.569999999999993</v>
      </c>
      <c r="X29" s="5"/>
      <c r="Y29" s="5"/>
      <c r="Z29" s="5"/>
      <c r="AA29" s="5"/>
      <c r="AB29" s="5"/>
      <c r="AC29" s="5"/>
    </row>
    <row r="30" spans="1:29" x14ac:dyDescent="0.3">
      <c r="A30" s="24">
        <v>2021</v>
      </c>
      <c r="B30" s="24">
        <v>59</v>
      </c>
      <c r="C30" s="24" t="s">
        <v>2</v>
      </c>
      <c r="E30" s="24">
        <v>2019</v>
      </c>
      <c r="F30" s="24">
        <v>21.8</v>
      </c>
      <c r="H30" s="24">
        <v>2009</v>
      </c>
      <c r="I30" s="24">
        <v>9.6</v>
      </c>
      <c r="K30" s="24">
        <v>2011</v>
      </c>
      <c r="L30" s="34">
        <v>26029479</v>
      </c>
      <c r="M30" s="34">
        <v>23123923</v>
      </c>
      <c r="N30" s="34">
        <v>3776648</v>
      </c>
      <c r="O30" s="34">
        <v>3119765</v>
      </c>
      <c r="P30" s="34">
        <v>121112</v>
      </c>
      <c r="R30" s="24" t="s">
        <v>31</v>
      </c>
      <c r="S30" s="24">
        <v>602</v>
      </c>
      <c r="U30" s="24"/>
      <c r="V30" s="26">
        <v>68.88</v>
      </c>
      <c r="X30" s="5"/>
      <c r="Y30" s="5"/>
      <c r="Z30" s="5"/>
      <c r="AA30" s="5"/>
      <c r="AB30" s="5"/>
      <c r="AC30" s="5"/>
    </row>
    <row r="31" spans="1:29" x14ac:dyDescent="0.3">
      <c r="A31" s="24">
        <v>2022</v>
      </c>
      <c r="B31" s="24">
        <v>62</v>
      </c>
      <c r="C31" s="24" t="s">
        <v>2</v>
      </c>
      <c r="E31" s="24">
        <v>2020</v>
      </c>
      <c r="F31" s="24">
        <v>28.5</v>
      </c>
      <c r="H31" s="24">
        <v>2010</v>
      </c>
      <c r="I31" s="24">
        <v>9.3000000000000007</v>
      </c>
      <c r="K31" s="24">
        <v>2012</v>
      </c>
      <c r="L31" s="34">
        <v>26111767</v>
      </c>
      <c r="M31" s="34">
        <v>23375977</v>
      </c>
      <c r="N31" s="34">
        <v>3824737</v>
      </c>
      <c r="O31" s="34">
        <v>3145002</v>
      </c>
      <c r="P31" s="34">
        <v>120249</v>
      </c>
      <c r="R31" s="24" t="s">
        <v>32</v>
      </c>
      <c r="S31" s="24">
        <v>828</v>
      </c>
      <c r="W31" s="5"/>
      <c r="X31" s="5"/>
      <c r="Y31" s="5"/>
      <c r="Z31" s="5"/>
      <c r="AA31" s="5"/>
      <c r="AB31" s="5"/>
      <c r="AC31" s="5"/>
    </row>
    <row r="32" spans="1:29" x14ac:dyDescent="0.3">
      <c r="A32" s="24">
        <v>2023</v>
      </c>
      <c r="B32" s="24">
        <v>57</v>
      </c>
      <c r="C32" s="24" t="s">
        <v>2</v>
      </c>
      <c r="E32" s="24">
        <v>2021</v>
      </c>
      <c r="F32" s="24">
        <v>25.4</v>
      </c>
      <c r="H32" s="24">
        <v>2011</v>
      </c>
      <c r="I32" s="24">
        <v>9.9</v>
      </c>
      <c r="K32" s="24">
        <v>2013</v>
      </c>
      <c r="L32" s="34">
        <v>26383292</v>
      </c>
      <c r="M32" s="34">
        <v>23560142</v>
      </c>
      <c r="N32" s="34">
        <v>3736325</v>
      </c>
      <c r="O32" s="34">
        <v>3185797</v>
      </c>
      <c r="P32" s="34">
        <v>124188</v>
      </c>
      <c r="R32" s="24" t="s">
        <v>33</v>
      </c>
      <c r="S32" s="24">
        <v>823</v>
      </c>
      <c r="W32" s="5"/>
      <c r="X32" s="5"/>
      <c r="Y32" s="5"/>
      <c r="Z32" s="5"/>
      <c r="AA32" s="5"/>
      <c r="AB32" s="5"/>
      <c r="AC32" s="5"/>
    </row>
    <row r="33" spans="2:29" x14ac:dyDescent="0.3">
      <c r="E33" s="24">
        <v>2022</v>
      </c>
      <c r="F33" s="24">
        <v>27</v>
      </c>
      <c r="H33" s="24">
        <v>2012</v>
      </c>
      <c r="I33" s="24">
        <v>9.8000000000000007</v>
      </c>
      <c r="K33" s="24">
        <v>2014</v>
      </c>
      <c r="L33" s="34">
        <v>26626303</v>
      </c>
      <c r="M33" s="34">
        <v>23894192</v>
      </c>
      <c r="N33" s="34">
        <v>3809428</v>
      </c>
      <c r="O33" s="34">
        <v>2998155</v>
      </c>
      <c r="P33" s="34">
        <v>116028</v>
      </c>
      <c r="R33" s="24" t="s">
        <v>34</v>
      </c>
      <c r="S33" s="24">
        <v>914</v>
      </c>
      <c r="W33" s="5"/>
      <c r="X33" s="5"/>
      <c r="Y33" s="5"/>
      <c r="Z33" s="5"/>
      <c r="AA33" s="5"/>
      <c r="AB33" s="5"/>
      <c r="AC33" s="5"/>
    </row>
    <row r="34" spans="2:29" x14ac:dyDescent="0.3">
      <c r="E34" s="24">
        <v>2023</v>
      </c>
      <c r="F34" s="24">
        <v>29.3</v>
      </c>
      <c r="H34" s="24">
        <v>2013</v>
      </c>
      <c r="I34" s="24">
        <v>10.4</v>
      </c>
      <c r="K34" s="24">
        <v>2015</v>
      </c>
      <c r="L34" s="34">
        <v>27109715</v>
      </c>
      <c r="M34" s="34">
        <v>23790121</v>
      </c>
      <c r="N34" s="34">
        <v>3821223</v>
      </c>
      <c r="O34" s="34">
        <v>3064187</v>
      </c>
      <c r="P34" s="34">
        <v>96171</v>
      </c>
      <c r="R34" s="24" t="s">
        <v>35</v>
      </c>
      <c r="S34" s="24">
        <v>875</v>
      </c>
      <c r="W34" s="5"/>
      <c r="X34" s="5"/>
      <c r="Y34" s="5"/>
      <c r="Z34" s="5"/>
      <c r="AA34" s="5"/>
      <c r="AB34" s="5"/>
      <c r="AC34" s="5"/>
    </row>
    <row r="35" spans="2:29" x14ac:dyDescent="0.3">
      <c r="H35" s="24">
        <v>2014</v>
      </c>
      <c r="I35" s="24">
        <v>10.3</v>
      </c>
      <c r="K35" s="24">
        <v>2016</v>
      </c>
      <c r="L35" s="34">
        <v>27364295</v>
      </c>
      <c r="M35" s="34">
        <v>24127656</v>
      </c>
      <c r="N35" s="34">
        <v>3775780</v>
      </c>
      <c r="O35" s="34">
        <v>3008990</v>
      </c>
      <c r="P35" s="34">
        <v>89478</v>
      </c>
      <c r="W35" s="5"/>
      <c r="X35" s="5"/>
      <c r="Y35" s="5"/>
      <c r="Z35" s="5"/>
      <c r="AA35" s="5"/>
      <c r="AB35" s="5"/>
      <c r="AC35" s="5"/>
    </row>
    <row r="36" spans="2:29" x14ac:dyDescent="0.3">
      <c r="B36" s="2"/>
      <c r="H36" s="24">
        <v>2015</v>
      </c>
      <c r="I36" s="24">
        <v>10.3</v>
      </c>
      <c r="K36" s="24">
        <v>2017</v>
      </c>
      <c r="L36" s="34">
        <v>27454239</v>
      </c>
      <c r="M36" s="34">
        <v>24322878</v>
      </c>
      <c r="N36" s="34">
        <v>3704569</v>
      </c>
      <c r="O36" s="34">
        <v>3119248</v>
      </c>
      <c r="P36" s="34">
        <v>99976</v>
      </c>
      <c r="W36" s="5"/>
      <c r="X36" s="5"/>
      <c r="Y36" s="5"/>
      <c r="Z36" s="5"/>
      <c r="AA36" s="5"/>
      <c r="AB36" s="5"/>
      <c r="AC36" s="5"/>
    </row>
    <row r="37" spans="2:29" x14ac:dyDescent="0.3">
      <c r="B37" s="2"/>
      <c r="H37" s="24">
        <v>2016</v>
      </c>
      <c r="I37" s="24">
        <v>9.6999999999999993</v>
      </c>
      <c r="K37" s="24">
        <v>2018</v>
      </c>
      <c r="L37" s="34">
        <v>27878450</v>
      </c>
      <c r="M37" s="34">
        <v>24191960</v>
      </c>
      <c r="N37" s="34">
        <v>3809073</v>
      </c>
      <c r="O37" s="34">
        <v>3040662</v>
      </c>
      <c r="P37" s="34">
        <v>88221</v>
      </c>
      <c r="W37" s="5"/>
      <c r="X37" s="5"/>
      <c r="Y37" s="5"/>
      <c r="Z37" s="5"/>
      <c r="AA37" s="5"/>
      <c r="AB37" s="5"/>
      <c r="AC37" s="5"/>
    </row>
    <row r="38" spans="2:29" x14ac:dyDescent="0.3">
      <c r="B38" s="2"/>
      <c r="H38" s="24">
        <v>2017</v>
      </c>
      <c r="I38" s="24">
        <v>9.4</v>
      </c>
      <c r="K38" s="24">
        <v>2019</v>
      </c>
      <c r="L38" s="34">
        <v>28013831</v>
      </c>
      <c r="M38" s="34">
        <v>24208321</v>
      </c>
      <c r="N38" s="34">
        <v>3926907</v>
      </c>
      <c r="O38" s="34">
        <v>3079610</v>
      </c>
      <c r="P38" s="34">
        <v>89117</v>
      </c>
      <c r="W38" s="5"/>
      <c r="X38" s="5"/>
      <c r="Y38" s="5"/>
      <c r="Z38" s="5"/>
      <c r="AA38" s="5"/>
      <c r="AB38" s="5"/>
      <c r="AC38" s="5"/>
    </row>
    <row r="39" spans="2:29" x14ac:dyDescent="0.3">
      <c r="B39" s="2"/>
      <c r="H39" s="24">
        <v>2018</v>
      </c>
      <c r="I39" s="24">
        <v>10.5</v>
      </c>
      <c r="K39" s="24">
        <v>2020</v>
      </c>
      <c r="L39" s="34">
        <v>28067509</v>
      </c>
      <c r="M39" s="34">
        <v>24382089</v>
      </c>
      <c r="N39" s="34">
        <v>3776573</v>
      </c>
      <c r="O39" s="34">
        <v>3074397</v>
      </c>
      <c r="P39" s="34">
        <v>129879</v>
      </c>
      <c r="W39" s="5"/>
      <c r="X39" s="5"/>
      <c r="Y39" s="5"/>
      <c r="Z39" s="5"/>
      <c r="AA39" s="5"/>
      <c r="AB39" s="5"/>
      <c r="AC39" s="5"/>
    </row>
    <row r="40" spans="2:29" x14ac:dyDescent="0.3">
      <c r="B40" s="2"/>
      <c r="H40" s="24">
        <v>2019</v>
      </c>
      <c r="I40" s="24">
        <v>10.9</v>
      </c>
      <c r="K40" s="24">
        <v>2021</v>
      </c>
      <c r="L40" s="34">
        <v>28617252</v>
      </c>
      <c r="M40" s="34">
        <v>24006903</v>
      </c>
      <c r="N40" s="34">
        <v>3738665</v>
      </c>
      <c r="O40" s="34">
        <v>3120759</v>
      </c>
      <c r="P40" s="34">
        <v>176947</v>
      </c>
      <c r="W40" s="5"/>
      <c r="X40" s="5"/>
      <c r="Y40" s="5"/>
      <c r="Z40" s="5"/>
      <c r="AA40" s="5"/>
      <c r="AB40" s="5"/>
      <c r="AC40" s="5"/>
    </row>
    <row r="41" spans="2:29" x14ac:dyDescent="0.3">
      <c r="B41" s="2"/>
      <c r="H41" s="24">
        <v>2020</v>
      </c>
      <c r="I41" s="24">
        <v>10</v>
      </c>
      <c r="K41" s="24">
        <v>2022</v>
      </c>
      <c r="L41" s="34">
        <v>28980582</v>
      </c>
      <c r="M41" s="34">
        <v>24054519</v>
      </c>
      <c r="N41" s="34">
        <v>3845968</v>
      </c>
      <c r="O41" s="34">
        <v>3134737</v>
      </c>
      <c r="P41" s="34">
        <v>222229</v>
      </c>
      <c r="Y41" s="5"/>
      <c r="Z41" s="5"/>
      <c r="AA41" s="5"/>
      <c r="AB41" s="5"/>
      <c r="AC41" s="5"/>
    </row>
    <row r="42" spans="2:29" x14ac:dyDescent="0.3">
      <c r="B42" s="2"/>
      <c r="H42" s="24">
        <v>2021</v>
      </c>
      <c r="I42" s="24">
        <v>10.7</v>
      </c>
      <c r="V42" s="3"/>
      <c r="W42" s="5"/>
      <c r="X42" s="5"/>
    </row>
    <row r="43" spans="2:29" x14ac:dyDescent="0.3">
      <c r="B43" s="2"/>
      <c r="D43" s="11"/>
      <c r="H43" s="33">
        <v>2022</v>
      </c>
      <c r="I43" s="33">
        <v>10.7</v>
      </c>
      <c r="V43" s="3"/>
      <c r="W43" s="5"/>
      <c r="X43" s="5"/>
    </row>
    <row r="44" spans="2:29" x14ac:dyDescent="0.3">
      <c r="B44" s="2"/>
      <c r="D44" s="11"/>
      <c r="H44" s="35"/>
    </row>
    <row r="45" spans="2:29" x14ac:dyDescent="0.3">
      <c r="B45" s="2"/>
    </row>
    <row r="46" spans="2:29" x14ac:dyDescent="0.3">
      <c r="B46" s="2"/>
    </row>
    <row r="72" spans="7:7" x14ac:dyDescent="0.3">
      <c r="G72" s="13"/>
    </row>
    <row r="73" spans="7:7" x14ac:dyDescent="0.3">
      <c r="G73" s="13"/>
    </row>
    <row r="74" spans="7:7" x14ac:dyDescent="0.3">
      <c r="G74" s="13"/>
    </row>
    <row r="75" spans="7:7" x14ac:dyDescent="0.3">
      <c r="G75" s="13"/>
    </row>
    <row r="76" spans="7:7" x14ac:dyDescent="0.3">
      <c r="G76" s="13"/>
    </row>
    <row r="77" spans="7:7" x14ac:dyDescent="0.3">
      <c r="G77" s="13"/>
    </row>
    <row r="78" spans="7:7" x14ac:dyDescent="0.3">
      <c r="G78" s="13"/>
    </row>
    <row r="79" spans="7:7" x14ac:dyDescent="0.3">
      <c r="G79" s="13"/>
    </row>
    <row r="80" spans="7:7" x14ac:dyDescent="0.3">
      <c r="G80" s="13"/>
    </row>
    <row r="81" spans="7:24" x14ac:dyDescent="0.3">
      <c r="G81" s="13"/>
    </row>
    <row r="82" spans="7:24" x14ac:dyDescent="0.3">
      <c r="G82" s="13"/>
    </row>
    <row r="88" spans="7:24" x14ac:dyDescent="0.3">
      <c r="V88" s="6"/>
      <c r="W88" s="6"/>
      <c r="X88" s="10"/>
    </row>
    <row r="89" spans="7:24" x14ac:dyDescent="0.3">
      <c r="V89" s="6"/>
      <c r="W89" s="6"/>
      <c r="X89" s="10"/>
    </row>
    <row r="90" spans="7:24" x14ac:dyDescent="0.3">
      <c r="V90" s="6"/>
      <c r="W90" s="6"/>
      <c r="X90" s="10"/>
    </row>
    <row r="91" spans="7:24" x14ac:dyDescent="0.3">
      <c r="V91" s="6"/>
      <c r="W91" s="6"/>
      <c r="X91" s="10"/>
    </row>
    <row r="92" spans="7:24" x14ac:dyDescent="0.3">
      <c r="V92" s="6"/>
      <c r="W92" s="6"/>
      <c r="X92" s="10"/>
    </row>
    <row r="93" spans="7:24" x14ac:dyDescent="0.3">
      <c r="V93" s="6"/>
      <c r="W93" s="6"/>
      <c r="X93" s="10"/>
    </row>
    <row r="94" spans="7:24" x14ac:dyDescent="0.3">
      <c r="V94" s="6"/>
      <c r="W94" s="6"/>
      <c r="X94" s="10"/>
    </row>
    <row r="95" spans="7:24" x14ac:dyDescent="0.3">
      <c r="V95" s="6"/>
      <c r="W95" s="6"/>
      <c r="X95" s="10"/>
    </row>
    <row r="96" spans="7:24" x14ac:dyDescent="0.3">
      <c r="V96" s="6"/>
      <c r="W96" s="6"/>
      <c r="X96" s="10"/>
    </row>
    <row r="97" spans="22:24" x14ac:dyDescent="0.3">
      <c r="V97" s="6"/>
      <c r="W97" s="6"/>
      <c r="X97" s="10"/>
    </row>
    <row r="98" spans="22:24" x14ac:dyDescent="0.3">
      <c r="V98" s="6"/>
      <c r="W98" s="6"/>
      <c r="X98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AE53"/>
  <sheetViews>
    <sheetView tabSelected="1" zoomScaleNormal="100" workbookViewId="0">
      <selection activeCell="I42" sqref="I42"/>
    </sheetView>
  </sheetViews>
  <sheetFormatPr defaultRowHeight="14.4" x14ac:dyDescent="0.3"/>
  <cols>
    <col min="2" max="2" width="11.33203125" customWidth="1"/>
    <col min="3" max="3" width="11" customWidth="1"/>
    <col min="4" max="4" width="12.33203125" bestFit="1" customWidth="1"/>
    <col min="5" max="5" width="15.33203125" customWidth="1"/>
    <col min="7" max="7" width="12" bestFit="1" customWidth="1"/>
    <col min="8" max="8" width="14.33203125" customWidth="1"/>
    <col min="12" max="12" width="8" customWidth="1"/>
    <col min="13" max="13" width="13.109375" customWidth="1"/>
    <col min="17" max="17" width="14.44140625" customWidth="1"/>
    <col min="18" max="18" width="14.33203125" customWidth="1"/>
    <col min="22" max="22" width="44.6640625" customWidth="1"/>
    <col min="23" max="23" width="13.33203125" customWidth="1"/>
    <col min="24" max="24" width="12.44140625" customWidth="1"/>
    <col min="25" max="25" width="12.33203125" customWidth="1"/>
    <col min="26" max="26" width="20.33203125" customWidth="1"/>
    <col min="27" max="27" width="12.6640625" customWidth="1"/>
    <col min="28" max="28" width="12.5546875" customWidth="1"/>
    <col min="30" max="31" width="9.88671875" bestFit="1" customWidth="1"/>
  </cols>
  <sheetData>
    <row r="6" spans="2:31" x14ac:dyDescent="0.3">
      <c r="C6" t="s">
        <v>38</v>
      </c>
    </row>
    <row r="7" spans="2:31" x14ac:dyDescent="0.3">
      <c r="C7" t="s">
        <v>39</v>
      </c>
      <c r="N7" t="s">
        <v>3</v>
      </c>
      <c r="V7" s="8" t="s">
        <v>51</v>
      </c>
    </row>
    <row r="8" spans="2:31" ht="28.8" x14ac:dyDescent="0.3">
      <c r="N8" t="s">
        <v>4</v>
      </c>
      <c r="V8" s="9" t="s">
        <v>52</v>
      </c>
    </row>
    <row r="9" spans="2:31" x14ac:dyDescent="0.3">
      <c r="C9" t="s">
        <v>40</v>
      </c>
      <c r="D9">
        <v>414</v>
      </c>
      <c r="P9">
        <v>1000</v>
      </c>
      <c r="W9" s="7" t="s">
        <v>53</v>
      </c>
      <c r="X9" s="7" t="s">
        <v>54</v>
      </c>
      <c r="Y9" s="7" t="s">
        <v>55</v>
      </c>
      <c r="Z9" s="7" t="s">
        <v>56</v>
      </c>
      <c r="AA9" s="7" t="s">
        <v>57</v>
      </c>
      <c r="AB9" s="7" t="s">
        <v>58</v>
      </c>
      <c r="AC9" s="7" t="s">
        <v>59</v>
      </c>
    </row>
    <row r="10" spans="2:31" x14ac:dyDescent="0.3">
      <c r="C10" t="s">
        <v>41</v>
      </c>
      <c r="D10">
        <v>439</v>
      </c>
      <c r="G10" s="1"/>
      <c r="N10">
        <v>2010</v>
      </c>
      <c r="O10">
        <v>14.9</v>
      </c>
      <c r="P10">
        <f t="shared" ref="P10:P23" si="0">O10*$P$9</f>
        <v>14900</v>
      </c>
      <c r="V10" s="3" t="s">
        <v>60</v>
      </c>
      <c r="W10" s="5">
        <v>1439369</v>
      </c>
      <c r="X10" s="5">
        <v>7910803</v>
      </c>
      <c r="Y10" s="5">
        <v>14895111</v>
      </c>
      <c r="Z10" s="5">
        <v>13929392</v>
      </c>
      <c r="AA10" s="5">
        <v>13546801</v>
      </c>
      <c r="AB10" s="5">
        <v>11983545</v>
      </c>
      <c r="AC10" s="5">
        <v>0</v>
      </c>
      <c r="AD10" s="6">
        <f>SUM(W10:AC10)</f>
        <v>63705021</v>
      </c>
      <c r="AE10" s="6">
        <f>W10+X10+Y10+Z10+AA10</f>
        <v>51721476</v>
      </c>
    </row>
    <row r="11" spans="2:31" x14ac:dyDescent="0.3">
      <c r="B11" t="s">
        <v>98</v>
      </c>
      <c r="C11" t="s">
        <v>42</v>
      </c>
      <c r="D11">
        <v>402</v>
      </c>
      <c r="E11" t="s">
        <v>99</v>
      </c>
      <c r="G11" s="1"/>
      <c r="I11" t="s">
        <v>70</v>
      </c>
      <c r="L11">
        <v>1000000</v>
      </c>
      <c r="M11" t="s">
        <v>98</v>
      </c>
      <c r="N11">
        <v>2011</v>
      </c>
      <c r="O11">
        <v>17.8</v>
      </c>
      <c r="P11">
        <f t="shared" si="0"/>
        <v>17800</v>
      </c>
      <c r="Q11" t="s">
        <v>100</v>
      </c>
      <c r="V11" s="3" t="s">
        <v>61</v>
      </c>
      <c r="W11" s="5">
        <v>1227756</v>
      </c>
      <c r="X11" s="5">
        <v>7660128</v>
      </c>
      <c r="Y11" s="5">
        <v>14823614</v>
      </c>
      <c r="Z11" s="5">
        <v>13928858</v>
      </c>
      <c r="AA11" s="5">
        <v>13634263</v>
      </c>
      <c r="AB11" s="5">
        <v>12038484</v>
      </c>
      <c r="AC11" s="5">
        <v>792557</v>
      </c>
      <c r="AD11" s="6">
        <f t="shared" ref="AD11:AD19" si="1">SUM(W11:AC11)</f>
        <v>64105660</v>
      </c>
    </row>
    <row r="12" spans="2:31" x14ac:dyDescent="0.3">
      <c r="B12">
        <v>63705021</v>
      </c>
      <c r="C12" t="s">
        <v>24</v>
      </c>
      <c r="D12">
        <v>430</v>
      </c>
      <c r="E12" s="13">
        <f t="shared" ref="E12:E22" si="2">D12/B12</f>
        <v>6.7498604230897275E-6</v>
      </c>
      <c r="G12" s="1"/>
      <c r="I12" t="s">
        <v>71</v>
      </c>
      <c r="M12">
        <v>63705021</v>
      </c>
      <c r="N12">
        <v>2012</v>
      </c>
      <c r="O12">
        <v>16.2</v>
      </c>
      <c r="P12">
        <f t="shared" si="0"/>
        <v>16200</v>
      </c>
      <c r="Q12" s="12">
        <f t="shared" ref="Q12:Q23" si="3">P12/M12</f>
        <v>2.5429706710245023E-4</v>
      </c>
      <c r="V12" s="3" t="s">
        <v>62</v>
      </c>
      <c r="W12" s="5">
        <v>1050790</v>
      </c>
      <c r="X12" s="5">
        <v>7410626</v>
      </c>
      <c r="Y12" s="5">
        <v>14757988</v>
      </c>
      <c r="Z12" s="5">
        <v>13935187</v>
      </c>
      <c r="AA12" s="5">
        <v>13754992</v>
      </c>
      <c r="AB12" s="5">
        <v>12109297</v>
      </c>
      <c r="AC12" s="5">
        <v>1577872</v>
      </c>
      <c r="AD12" s="6">
        <f t="shared" si="1"/>
        <v>64596752</v>
      </c>
    </row>
    <row r="13" spans="2:31" x14ac:dyDescent="0.3">
      <c r="B13">
        <v>64105660</v>
      </c>
      <c r="C13" t="s">
        <v>26</v>
      </c>
      <c r="D13">
        <v>488</v>
      </c>
      <c r="E13" s="13">
        <f t="shared" si="2"/>
        <v>7.6124323499672257E-6</v>
      </c>
      <c r="G13" s="1"/>
      <c r="J13" s="2">
        <v>65.11</v>
      </c>
      <c r="M13">
        <v>64105660</v>
      </c>
      <c r="N13">
        <v>2013</v>
      </c>
      <c r="O13">
        <v>14</v>
      </c>
      <c r="P13">
        <f t="shared" si="0"/>
        <v>14000</v>
      </c>
      <c r="Q13" s="12">
        <f t="shared" si="3"/>
        <v>2.1838945266299418E-4</v>
      </c>
      <c r="V13" s="3" t="s">
        <v>63</v>
      </c>
      <c r="W13" s="5">
        <v>868769</v>
      </c>
      <c r="X13" s="5">
        <v>7127813</v>
      </c>
      <c r="Y13" s="5">
        <v>14686175</v>
      </c>
      <c r="Z13" s="5">
        <v>13955179</v>
      </c>
      <c r="AA13" s="5">
        <v>13913851</v>
      </c>
      <c r="AB13" s="5">
        <v>12188653</v>
      </c>
      <c r="AC13" s="5">
        <v>2369598</v>
      </c>
      <c r="AD13" s="6">
        <f t="shared" si="1"/>
        <v>65110038</v>
      </c>
    </row>
    <row r="14" spans="2:31" x14ac:dyDescent="0.3">
      <c r="B14">
        <v>64596752</v>
      </c>
      <c r="C14" t="s">
        <v>27</v>
      </c>
      <c r="D14">
        <v>442</v>
      </c>
      <c r="E14" s="13">
        <f t="shared" si="2"/>
        <v>6.8424492921873226E-6</v>
      </c>
      <c r="G14" s="1"/>
      <c r="J14" s="2">
        <v>65.650000000000006</v>
      </c>
      <c r="M14">
        <v>64596752</v>
      </c>
      <c r="N14">
        <v>2014</v>
      </c>
      <c r="O14">
        <v>22.9</v>
      </c>
      <c r="P14">
        <f t="shared" si="0"/>
        <v>22900</v>
      </c>
      <c r="Q14" s="12">
        <f t="shared" si="3"/>
        <v>3.5450698821513503E-4</v>
      </c>
      <c r="V14" s="3" t="s">
        <v>64</v>
      </c>
      <c r="W14" s="5">
        <v>717962</v>
      </c>
      <c r="X14" s="5">
        <v>6840061</v>
      </c>
      <c r="Y14" s="5">
        <v>14605307</v>
      </c>
      <c r="Z14" s="5">
        <v>13973740</v>
      </c>
      <c r="AA14" s="5">
        <v>14055240</v>
      </c>
      <c r="AB14" s="5">
        <v>12281600</v>
      </c>
      <c r="AC14" s="5">
        <v>3174159</v>
      </c>
      <c r="AD14" s="6">
        <f t="shared" si="1"/>
        <v>65648069</v>
      </c>
    </row>
    <row r="15" spans="2:31" x14ac:dyDescent="0.3">
      <c r="B15">
        <v>65110038</v>
      </c>
      <c r="C15" t="s">
        <v>28</v>
      </c>
      <c r="D15">
        <v>488</v>
      </c>
      <c r="E15" s="13">
        <f t="shared" si="2"/>
        <v>7.4950040729510865E-6</v>
      </c>
      <c r="F15" s="2"/>
      <c r="G15" s="1"/>
      <c r="J15" s="2">
        <v>66.040000000000006</v>
      </c>
      <c r="M15">
        <v>65110038</v>
      </c>
      <c r="N15">
        <v>2015</v>
      </c>
      <c r="O15">
        <v>18</v>
      </c>
      <c r="P15">
        <f t="shared" si="0"/>
        <v>18000</v>
      </c>
      <c r="Q15" s="12">
        <f t="shared" si="3"/>
        <v>2.7645506826458923E-4</v>
      </c>
      <c r="V15" s="3" t="s">
        <v>65</v>
      </c>
      <c r="W15" s="5">
        <v>579780</v>
      </c>
      <c r="X15" s="5">
        <v>6532781</v>
      </c>
      <c r="Y15" s="5">
        <v>14508625</v>
      </c>
      <c r="Z15" s="5">
        <v>13975122</v>
      </c>
      <c r="AA15" s="5">
        <v>14115516</v>
      </c>
      <c r="AB15" s="5">
        <v>12367668</v>
      </c>
      <c r="AC15" s="5">
        <v>3960741</v>
      </c>
      <c r="AD15" s="6">
        <f t="shared" si="1"/>
        <v>66040233</v>
      </c>
    </row>
    <row r="16" spans="2:31" x14ac:dyDescent="0.3">
      <c r="B16">
        <v>65648069</v>
      </c>
      <c r="C16" t="s">
        <v>29</v>
      </c>
      <c r="D16">
        <v>526</v>
      </c>
      <c r="E16" s="13">
        <f t="shared" si="2"/>
        <v>8.0124215077826592E-6</v>
      </c>
      <c r="F16" s="2"/>
      <c r="G16" s="1"/>
      <c r="J16" s="2">
        <v>66.44</v>
      </c>
      <c r="M16">
        <v>65648069</v>
      </c>
      <c r="N16">
        <v>2016</v>
      </c>
      <c r="O16">
        <v>18.3</v>
      </c>
      <c r="P16">
        <f t="shared" si="0"/>
        <v>18300</v>
      </c>
      <c r="Q16" s="12">
        <f t="shared" si="3"/>
        <v>2.7875915131639285E-4</v>
      </c>
      <c r="V16" s="3" t="s">
        <v>66</v>
      </c>
      <c r="W16" s="5">
        <v>454740</v>
      </c>
      <c r="X16" s="5">
        <v>6208059</v>
      </c>
      <c r="Y16" s="5">
        <v>14402698</v>
      </c>
      <c r="Z16" s="5">
        <v>13973428</v>
      </c>
      <c r="AA16" s="5">
        <v>14187113</v>
      </c>
      <c r="AB16" s="5">
        <v>12472276</v>
      </c>
      <c r="AC16" s="5">
        <v>4737232</v>
      </c>
      <c r="AD16" s="6">
        <f t="shared" si="1"/>
        <v>66435546</v>
      </c>
    </row>
    <row r="17" spans="1:30" x14ac:dyDescent="0.3">
      <c r="B17">
        <v>66040233</v>
      </c>
      <c r="C17" t="s">
        <v>30</v>
      </c>
      <c r="D17">
        <v>595</v>
      </c>
      <c r="E17" s="13">
        <f t="shared" si="2"/>
        <v>9.0096593087428984E-6</v>
      </c>
      <c r="F17" s="2"/>
      <c r="G17" s="1"/>
      <c r="J17" s="2">
        <v>66.8</v>
      </c>
      <c r="M17">
        <v>66040233</v>
      </c>
      <c r="N17">
        <v>2017</v>
      </c>
      <c r="O17">
        <v>26.9</v>
      </c>
      <c r="P17">
        <f t="shared" si="0"/>
        <v>26900</v>
      </c>
      <c r="Q17" s="12">
        <f t="shared" si="3"/>
        <v>4.0732745446249408E-4</v>
      </c>
      <c r="V17" s="3" t="s">
        <v>67</v>
      </c>
      <c r="W17" s="5">
        <v>360480</v>
      </c>
      <c r="X17" s="5">
        <v>5891552</v>
      </c>
      <c r="Y17" s="5">
        <v>14284021</v>
      </c>
      <c r="Z17" s="5">
        <v>13966001</v>
      </c>
      <c r="AA17" s="5">
        <v>14226132</v>
      </c>
      <c r="AB17" s="5">
        <v>12575056</v>
      </c>
      <c r="AC17" s="5">
        <v>5493564</v>
      </c>
      <c r="AD17" s="6">
        <f t="shared" si="1"/>
        <v>66796806</v>
      </c>
    </row>
    <row r="18" spans="1:30" x14ac:dyDescent="0.3">
      <c r="B18">
        <v>66435546</v>
      </c>
      <c r="C18" t="s">
        <v>31</v>
      </c>
      <c r="D18">
        <v>602</v>
      </c>
      <c r="E18" s="13">
        <f t="shared" si="2"/>
        <v>9.0614142013674424E-6</v>
      </c>
      <c r="F18" s="2"/>
      <c r="G18" s="1"/>
      <c r="J18" s="2">
        <v>67.260000000000005</v>
      </c>
      <c r="M18">
        <v>66435546</v>
      </c>
      <c r="N18">
        <v>2018</v>
      </c>
      <c r="O18">
        <v>25.1</v>
      </c>
      <c r="P18">
        <f t="shared" si="0"/>
        <v>25100</v>
      </c>
      <c r="Q18" s="12">
        <f t="shared" si="3"/>
        <v>3.7780979477462263E-4</v>
      </c>
      <c r="V18" s="3" t="s">
        <v>68</v>
      </c>
      <c r="W18" s="5">
        <v>267430</v>
      </c>
      <c r="X18" s="5">
        <v>5521918</v>
      </c>
      <c r="Y18" s="5">
        <v>14147218</v>
      </c>
      <c r="Z18" s="5">
        <v>13950265</v>
      </c>
      <c r="AA18" s="5">
        <v>14262767</v>
      </c>
      <c r="AB18" s="5">
        <v>12698785</v>
      </c>
      <c r="AC18" s="5">
        <v>6232848</v>
      </c>
      <c r="AD18" s="6">
        <f t="shared" si="1"/>
        <v>67081231</v>
      </c>
    </row>
    <row r="19" spans="1:30" x14ac:dyDescent="0.3">
      <c r="B19">
        <v>66796806</v>
      </c>
      <c r="C19" t="s">
        <v>32</v>
      </c>
      <c r="D19">
        <v>828</v>
      </c>
      <c r="E19" s="13">
        <f t="shared" si="2"/>
        <v>1.2395802278330494E-5</v>
      </c>
      <c r="F19" s="2"/>
      <c r="G19" s="1"/>
      <c r="J19" s="2">
        <v>67.61</v>
      </c>
      <c r="M19">
        <v>66796806</v>
      </c>
      <c r="N19">
        <v>2019</v>
      </c>
      <c r="O19">
        <v>21.8</v>
      </c>
      <c r="P19">
        <f t="shared" si="0"/>
        <v>21800</v>
      </c>
      <c r="Q19" s="12">
        <f t="shared" si="3"/>
        <v>3.2636291022657582E-4</v>
      </c>
      <c r="V19" s="3" t="s">
        <v>69</v>
      </c>
      <c r="W19" s="5">
        <v>0</v>
      </c>
      <c r="X19" s="5">
        <v>4685037</v>
      </c>
      <c r="Y19" s="5">
        <v>13914928</v>
      </c>
      <c r="Z19" s="5">
        <v>14058153</v>
      </c>
      <c r="AA19" s="5">
        <v>14391255</v>
      </c>
      <c r="AB19" s="5">
        <v>12682135</v>
      </c>
      <c r="AC19" s="5">
        <v>6695927</v>
      </c>
      <c r="AD19" s="6">
        <f t="shared" si="1"/>
        <v>66427435</v>
      </c>
    </row>
    <row r="20" spans="1:30" x14ac:dyDescent="0.3">
      <c r="B20">
        <v>67081231</v>
      </c>
      <c r="C20" t="s">
        <v>33</v>
      </c>
      <c r="D20">
        <v>823</v>
      </c>
      <c r="E20" s="13">
        <f t="shared" si="2"/>
        <v>1.2268707471990191E-5</v>
      </c>
      <c r="F20" s="2"/>
      <c r="G20" s="1"/>
      <c r="J20" s="2">
        <v>67.95</v>
      </c>
      <c r="M20">
        <v>67081231</v>
      </c>
      <c r="N20">
        <v>2020</v>
      </c>
      <c r="O20">
        <v>28.5</v>
      </c>
      <c r="P20">
        <f t="shared" si="0"/>
        <v>28500</v>
      </c>
      <c r="Q20" s="12">
        <f t="shared" si="3"/>
        <v>4.2485803517827513E-4</v>
      </c>
      <c r="V20" s="3"/>
      <c r="W20" s="5"/>
      <c r="X20" s="5"/>
      <c r="Y20" s="5"/>
      <c r="Z20" s="5"/>
      <c r="AA20" s="5"/>
      <c r="AB20" s="5"/>
      <c r="AC20" s="5"/>
    </row>
    <row r="21" spans="1:30" x14ac:dyDescent="0.3">
      <c r="B21">
        <v>66427435</v>
      </c>
      <c r="C21" t="s">
        <v>34</v>
      </c>
      <c r="D21">
        <v>914</v>
      </c>
      <c r="E21" s="13">
        <f t="shared" si="2"/>
        <v>1.3759375173826898E-5</v>
      </c>
      <c r="F21" s="2"/>
      <c r="G21" s="1"/>
      <c r="J21" s="2">
        <v>68.27</v>
      </c>
      <c r="M21">
        <v>66427435</v>
      </c>
      <c r="N21">
        <v>2021</v>
      </c>
      <c r="O21">
        <v>25.4</v>
      </c>
      <c r="P21">
        <f t="shared" si="0"/>
        <v>25400</v>
      </c>
      <c r="Q21" s="12">
        <f t="shared" si="3"/>
        <v>3.8237213283939082E-4</v>
      </c>
      <c r="W21" s="5"/>
      <c r="X21" s="5"/>
      <c r="Y21" s="5"/>
      <c r="Z21" s="5"/>
      <c r="AA21" s="5"/>
      <c r="AB21" s="5"/>
      <c r="AC21" s="5"/>
    </row>
    <row r="22" spans="1:30" x14ac:dyDescent="0.3">
      <c r="B22">
        <v>67950000</v>
      </c>
      <c r="C22" t="s">
        <v>35</v>
      </c>
      <c r="D22">
        <v>875</v>
      </c>
      <c r="E22" s="13">
        <f t="shared" si="2"/>
        <v>1.2877115526122149E-5</v>
      </c>
      <c r="F22" s="2"/>
      <c r="J22" s="2">
        <v>68.569999999999993</v>
      </c>
      <c r="M22">
        <f>J20*$L$11</f>
        <v>67950000</v>
      </c>
      <c r="N22">
        <v>2022</v>
      </c>
      <c r="O22">
        <v>27</v>
      </c>
      <c r="P22">
        <f t="shared" si="0"/>
        <v>27000</v>
      </c>
      <c r="Q22" s="12">
        <f t="shared" si="3"/>
        <v>3.9735099337748344E-4</v>
      </c>
      <c r="W22" s="5"/>
      <c r="X22" s="5"/>
      <c r="Y22" s="5"/>
      <c r="Z22" s="5"/>
      <c r="AA22" s="5"/>
      <c r="AB22" s="5"/>
      <c r="AC22" s="5"/>
    </row>
    <row r="23" spans="1:30" x14ac:dyDescent="0.3">
      <c r="F23" s="2"/>
      <c r="J23" s="2">
        <v>68.88</v>
      </c>
      <c r="M23">
        <f>J21*$L$11</f>
        <v>68270000</v>
      </c>
      <c r="N23">
        <v>2023</v>
      </c>
      <c r="O23">
        <v>29.3</v>
      </c>
      <c r="P23">
        <f t="shared" si="0"/>
        <v>29300</v>
      </c>
      <c r="Q23" s="12">
        <f t="shared" si="3"/>
        <v>4.2917826278013771E-4</v>
      </c>
      <c r="W23" s="5"/>
      <c r="X23" s="5"/>
      <c r="Y23" s="5"/>
      <c r="Z23" s="5"/>
      <c r="AA23" s="5"/>
      <c r="AB23" s="5"/>
      <c r="AC23" s="5"/>
    </row>
    <row r="24" spans="1:30" x14ac:dyDescent="0.3">
      <c r="W24" s="5"/>
      <c r="X24" s="5"/>
      <c r="Y24" s="5"/>
      <c r="Z24" s="5"/>
      <c r="AA24" s="5"/>
      <c r="AB24" s="5"/>
      <c r="AC24" s="5"/>
    </row>
    <row r="25" spans="1:30" x14ac:dyDescent="0.3">
      <c r="W25" s="5"/>
      <c r="X25" s="5"/>
      <c r="Y25" s="5"/>
      <c r="Z25" s="5"/>
      <c r="AA25" s="5"/>
      <c r="AB25" s="5"/>
      <c r="AC25" s="5"/>
    </row>
    <row r="26" spans="1:30" x14ac:dyDescent="0.3">
      <c r="W26" s="5"/>
      <c r="X26" s="5"/>
      <c r="Y26" s="5"/>
      <c r="Z26" s="5"/>
      <c r="AA26" s="5"/>
      <c r="AB26" s="5"/>
      <c r="AC26" s="5"/>
    </row>
    <row r="27" spans="1:30" x14ac:dyDescent="0.3">
      <c r="W27" s="5"/>
      <c r="X27" s="5"/>
      <c r="Y27" s="5"/>
      <c r="Z27" s="5"/>
      <c r="AA27" s="5"/>
      <c r="AB27" s="5"/>
      <c r="AC27" s="5"/>
    </row>
    <row r="28" spans="1:30" x14ac:dyDescent="0.3">
      <c r="W28" s="5"/>
      <c r="X28" s="5"/>
      <c r="Y28" s="5"/>
      <c r="Z28" s="5"/>
      <c r="AA28" s="5"/>
      <c r="AB28" s="5"/>
      <c r="AC28" s="5"/>
    </row>
    <row r="29" spans="1:30" x14ac:dyDescent="0.3">
      <c r="P29" s="3"/>
      <c r="Q29" s="4"/>
      <c r="R29" s="3"/>
      <c r="W29" s="5"/>
      <c r="X29" s="5"/>
      <c r="Y29" s="5"/>
      <c r="Z29" s="5"/>
      <c r="AA29" s="5"/>
      <c r="AB29" s="5"/>
      <c r="AC29" s="5"/>
    </row>
    <row r="30" spans="1:30" x14ac:dyDescent="0.3">
      <c r="A30" t="s">
        <v>43</v>
      </c>
      <c r="W30" s="5"/>
      <c r="X30" s="5"/>
      <c r="Y30" s="5"/>
      <c r="Z30" s="5"/>
      <c r="AA30" s="5"/>
      <c r="AB30" s="5"/>
      <c r="AC30" s="5"/>
    </row>
    <row r="31" spans="1:30" x14ac:dyDescent="0.3">
      <c r="A31" t="s">
        <v>44</v>
      </c>
      <c r="W31" s="5"/>
      <c r="X31" s="5"/>
      <c r="Y31" s="5"/>
      <c r="Z31" s="5"/>
      <c r="AA31" s="5"/>
      <c r="AB31" s="5"/>
      <c r="AC31" s="5"/>
    </row>
    <row r="32" spans="1:30" x14ac:dyDescent="0.3">
      <c r="B32" t="s">
        <v>45</v>
      </c>
      <c r="C32" t="s">
        <v>46</v>
      </c>
      <c r="D32" t="s">
        <v>47</v>
      </c>
      <c r="E32" t="s">
        <v>48</v>
      </c>
      <c r="F32" t="s">
        <v>49</v>
      </c>
      <c r="W32" s="5"/>
      <c r="X32" s="5"/>
      <c r="Y32" s="5"/>
      <c r="Z32" s="5"/>
      <c r="AA32" s="5"/>
      <c r="AB32" s="5"/>
      <c r="AC32" s="5"/>
    </row>
    <row r="33" spans="1:29" x14ac:dyDescent="0.3">
      <c r="A33">
        <v>2002</v>
      </c>
      <c r="B33" s="6">
        <v>22944481</v>
      </c>
      <c r="C33" s="6">
        <v>23088100</v>
      </c>
      <c r="D33" s="6">
        <v>3139516</v>
      </c>
      <c r="E33" s="6">
        <v>3430046</v>
      </c>
      <c r="F33" t="s">
        <v>50</v>
      </c>
      <c r="W33" s="5"/>
      <c r="X33" s="5"/>
      <c r="Y33" s="5"/>
      <c r="Z33" s="5"/>
      <c r="AA33" s="5"/>
      <c r="AB33" s="5"/>
      <c r="AC33" s="5"/>
    </row>
    <row r="34" spans="1:29" x14ac:dyDescent="0.3">
      <c r="A34">
        <v>2003</v>
      </c>
      <c r="B34" s="6">
        <v>23248375</v>
      </c>
      <c r="C34" s="6">
        <v>23046141</v>
      </c>
      <c r="D34" s="6">
        <v>3174557</v>
      </c>
      <c r="E34" s="6">
        <v>3394165</v>
      </c>
      <c r="F34" t="s">
        <v>50</v>
      </c>
      <c r="W34" s="5"/>
      <c r="X34" s="5"/>
      <c r="Y34" s="5"/>
      <c r="Z34" s="5"/>
      <c r="AA34" s="5"/>
      <c r="AB34" s="5"/>
      <c r="AC34" s="5"/>
    </row>
    <row r="35" spans="1:29" x14ac:dyDescent="0.3">
      <c r="A35">
        <v>2004</v>
      </c>
      <c r="B35" s="6">
        <v>23528600</v>
      </c>
      <c r="C35" s="6">
        <v>22999978</v>
      </c>
      <c r="D35" s="6">
        <v>3231047</v>
      </c>
      <c r="E35" s="6">
        <v>3392397</v>
      </c>
      <c r="F35" t="s">
        <v>50</v>
      </c>
      <c r="W35" s="5"/>
      <c r="X35" s="5"/>
      <c r="Y35" s="5"/>
      <c r="Z35" s="5"/>
      <c r="AA35" s="5"/>
      <c r="AB35" s="5"/>
      <c r="AC35" s="5"/>
    </row>
    <row r="36" spans="1:29" x14ac:dyDescent="0.3">
      <c r="A36">
        <v>2005</v>
      </c>
      <c r="B36" s="6">
        <v>23815246</v>
      </c>
      <c r="C36" s="6">
        <v>23155488</v>
      </c>
      <c r="D36" s="6">
        <v>3289944</v>
      </c>
      <c r="E36" s="6">
        <v>3314665</v>
      </c>
      <c r="F36" t="s">
        <v>50</v>
      </c>
      <c r="W36" s="5"/>
      <c r="X36" s="5"/>
      <c r="Y36" s="5"/>
      <c r="Z36" s="5"/>
      <c r="AA36" s="5"/>
      <c r="AB36" s="5"/>
      <c r="AC36" s="5"/>
    </row>
    <row r="37" spans="1:29" x14ac:dyDescent="0.3">
      <c r="A37">
        <v>2006</v>
      </c>
      <c r="B37" s="6">
        <v>24206014</v>
      </c>
      <c r="C37" s="6">
        <v>23066569</v>
      </c>
      <c r="D37" s="6">
        <v>3370687</v>
      </c>
      <c r="E37" s="6">
        <v>3283515</v>
      </c>
      <c r="F37" s="6">
        <v>24069</v>
      </c>
      <c r="W37" s="5"/>
      <c r="X37" s="5"/>
      <c r="Y37" s="5"/>
      <c r="Z37" s="5"/>
      <c r="AA37" s="5"/>
      <c r="AB37" s="5"/>
      <c r="AC37" s="5"/>
    </row>
    <row r="38" spans="1:29" x14ac:dyDescent="0.3">
      <c r="A38">
        <v>2007</v>
      </c>
      <c r="B38" s="6">
        <v>24503235</v>
      </c>
      <c r="C38" s="6">
        <v>23120897</v>
      </c>
      <c r="D38" s="6">
        <v>3410031</v>
      </c>
      <c r="E38" s="6">
        <v>3287352</v>
      </c>
      <c r="F38" s="6">
        <v>65877</v>
      </c>
      <c r="W38" s="5"/>
      <c r="X38" s="5"/>
      <c r="Y38" s="5"/>
      <c r="Z38" s="5"/>
      <c r="AA38" s="5"/>
      <c r="AB38" s="5"/>
      <c r="AC38" s="5"/>
    </row>
    <row r="39" spans="1:29" x14ac:dyDescent="0.3">
      <c r="A39">
        <v>2008</v>
      </c>
      <c r="B39" s="6">
        <v>24889122</v>
      </c>
      <c r="C39" s="6">
        <v>23105056</v>
      </c>
      <c r="D39" s="6">
        <v>3503166</v>
      </c>
      <c r="E39" s="6">
        <v>3268830</v>
      </c>
      <c r="F39" s="6">
        <v>75546</v>
      </c>
      <c r="W39" s="5"/>
      <c r="X39" s="5"/>
      <c r="Y39" s="5"/>
      <c r="Z39" s="5"/>
      <c r="AA39" s="5"/>
      <c r="AB39" s="5"/>
      <c r="AC39" s="5"/>
    </row>
    <row r="40" spans="1:29" x14ac:dyDescent="0.3">
      <c r="A40">
        <v>2009</v>
      </c>
      <c r="B40" s="6">
        <v>25143843</v>
      </c>
      <c r="C40" s="6">
        <v>23193525</v>
      </c>
      <c r="D40" s="6">
        <v>3598748</v>
      </c>
      <c r="E40" s="6">
        <v>3219206</v>
      </c>
      <c r="F40" s="6">
        <v>79931</v>
      </c>
      <c r="V40" s="3"/>
      <c r="W40" s="5"/>
      <c r="X40" s="5"/>
      <c r="Y40" s="5"/>
      <c r="Z40" s="5"/>
      <c r="AA40" s="5"/>
      <c r="AB40" s="5"/>
      <c r="AC40" s="5"/>
    </row>
    <row r="41" spans="1:29" x14ac:dyDescent="0.3">
      <c r="A41">
        <v>2010</v>
      </c>
      <c r="B41" s="6">
        <v>25433695</v>
      </c>
      <c r="C41" s="6">
        <v>23285841</v>
      </c>
      <c r="D41" s="6">
        <v>3700872</v>
      </c>
      <c r="E41" s="6">
        <v>3188332</v>
      </c>
      <c r="F41" s="6">
        <v>83683</v>
      </c>
      <c r="V41" s="3"/>
      <c r="W41" s="5"/>
      <c r="X41" s="5"/>
      <c r="Y41" s="5"/>
      <c r="Z41" s="5"/>
      <c r="AA41" s="5"/>
      <c r="AB41" s="5"/>
      <c r="AC41" s="5"/>
    </row>
    <row r="42" spans="1:29" x14ac:dyDescent="0.3">
      <c r="A42">
        <v>2011</v>
      </c>
      <c r="B42" s="6">
        <v>26029479</v>
      </c>
      <c r="C42" s="6">
        <v>23123923</v>
      </c>
      <c r="D42" s="6">
        <v>3776648</v>
      </c>
      <c r="E42" s="6">
        <v>3119765</v>
      </c>
      <c r="F42" s="6">
        <v>121112</v>
      </c>
      <c r="H42" t="s">
        <v>101</v>
      </c>
      <c r="I42" t="s">
        <v>102</v>
      </c>
    </row>
    <row r="43" spans="1:29" x14ac:dyDescent="0.3">
      <c r="A43">
        <v>2012</v>
      </c>
      <c r="B43" s="6">
        <v>26111767</v>
      </c>
      <c r="C43" s="6">
        <v>23375977</v>
      </c>
      <c r="D43" s="6">
        <v>3824737</v>
      </c>
      <c r="E43" s="6">
        <v>3145002</v>
      </c>
      <c r="F43" s="6">
        <v>120249</v>
      </c>
      <c r="G43" s="6">
        <f>SUM(B43:F43)</f>
        <v>56577732</v>
      </c>
      <c r="H43" s="6">
        <f>B43+D43+E43</f>
        <v>33081506</v>
      </c>
      <c r="I43" s="10">
        <f>H43/G43</f>
        <v>0.58470894520833749</v>
      </c>
    </row>
    <row r="44" spans="1:29" x14ac:dyDescent="0.3">
      <c r="A44">
        <v>2013</v>
      </c>
      <c r="B44" s="6">
        <v>26383292</v>
      </c>
      <c r="C44" s="6">
        <v>23560142</v>
      </c>
      <c r="D44" s="6">
        <v>3736325</v>
      </c>
      <c r="E44" s="6">
        <v>3185797</v>
      </c>
      <c r="F44" s="6">
        <v>124188</v>
      </c>
      <c r="G44" s="6">
        <f t="shared" ref="G44:G53" si="4">SUM(B44:F44)</f>
        <v>56989744</v>
      </c>
      <c r="H44" s="6">
        <f t="shared" ref="H44:H53" si="5">B44+D44+E44</f>
        <v>33305414</v>
      </c>
      <c r="I44" s="10">
        <f t="shared" ref="I44:I53" si="6">H44/G44</f>
        <v>0.58441066167975764</v>
      </c>
    </row>
    <row r="45" spans="1:29" x14ac:dyDescent="0.3">
      <c r="A45">
        <v>2014</v>
      </c>
      <c r="B45" s="6">
        <v>26626303</v>
      </c>
      <c r="C45" s="6">
        <v>23894192</v>
      </c>
      <c r="D45" s="6">
        <v>3809428</v>
      </c>
      <c r="E45" s="6">
        <v>2998155</v>
      </c>
      <c r="F45" s="6">
        <v>116028</v>
      </c>
      <c r="G45" s="6">
        <f t="shared" si="4"/>
        <v>57444106</v>
      </c>
      <c r="H45" s="6">
        <f t="shared" si="5"/>
        <v>33433886</v>
      </c>
      <c r="I45" s="10">
        <f t="shared" si="6"/>
        <v>0.58202465541025217</v>
      </c>
    </row>
    <row r="46" spans="1:29" x14ac:dyDescent="0.3">
      <c r="A46">
        <v>2015</v>
      </c>
      <c r="B46" s="6">
        <v>27109715</v>
      </c>
      <c r="C46" s="6">
        <v>23790121</v>
      </c>
      <c r="D46" s="6">
        <v>3821223</v>
      </c>
      <c r="E46" s="6">
        <v>3064187</v>
      </c>
      <c r="F46" s="6">
        <v>96171</v>
      </c>
      <c r="G46" s="6">
        <f t="shared" si="4"/>
        <v>57881417</v>
      </c>
      <c r="H46" s="6">
        <f t="shared" si="5"/>
        <v>33995125</v>
      </c>
      <c r="I46" s="10">
        <f t="shared" si="6"/>
        <v>0.58732364827903227</v>
      </c>
    </row>
    <row r="47" spans="1:29" x14ac:dyDescent="0.3">
      <c r="A47">
        <v>2016</v>
      </c>
      <c r="B47" s="6">
        <v>27364295</v>
      </c>
      <c r="C47" s="6">
        <v>24127656</v>
      </c>
      <c r="D47" s="6">
        <v>3775780</v>
      </c>
      <c r="E47" s="6">
        <v>3008990</v>
      </c>
      <c r="F47" s="6">
        <v>89478</v>
      </c>
      <c r="G47" s="6">
        <f t="shared" si="4"/>
        <v>58366199</v>
      </c>
      <c r="H47" s="6">
        <f t="shared" si="5"/>
        <v>34149065</v>
      </c>
      <c r="I47" s="10">
        <f t="shared" si="6"/>
        <v>0.58508290046435951</v>
      </c>
    </row>
    <row r="48" spans="1:29" x14ac:dyDescent="0.3">
      <c r="A48">
        <v>2017</v>
      </c>
      <c r="B48" s="6">
        <v>27454239</v>
      </c>
      <c r="C48" s="6">
        <v>24322878</v>
      </c>
      <c r="D48" s="6">
        <v>3704569</v>
      </c>
      <c r="E48" s="6">
        <v>3119248</v>
      </c>
      <c r="F48" s="6">
        <v>99976</v>
      </c>
      <c r="G48" s="6">
        <f t="shared" si="4"/>
        <v>58700910</v>
      </c>
      <c r="H48" s="6">
        <f t="shared" si="5"/>
        <v>34278056</v>
      </c>
      <c r="I48" s="10">
        <f t="shared" si="6"/>
        <v>0.58394420120573942</v>
      </c>
    </row>
    <row r="49" spans="1:9" x14ac:dyDescent="0.3">
      <c r="A49">
        <v>2018</v>
      </c>
      <c r="B49" s="6">
        <v>27878450</v>
      </c>
      <c r="C49" s="6">
        <v>24191960</v>
      </c>
      <c r="D49" s="6">
        <v>3809073</v>
      </c>
      <c r="E49" s="6">
        <v>3040662</v>
      </c>
      <c r="F49" s="6">
        <v>88221</v>
      </c>
      <c r="G49" s="6">
        <f t="shared" si="4"/>
        <v>59008366</v>
      </c>
      <c r="H49" s="6">
        <f t="shared" si="5"/>
        <v>34728185</v>
      </c>
      <c r="I49" s="10">
        <f t="shared" si="6"/>
        <v>0.58852985354652931</v>
      </c>
    </row>
    <row r="50" spans="1:9" x14ac:dyDescent="0.3">
      <c r="A50">
        <v>2019</v>
      </c>
      <c r="B50" s="6">
        <v>28013831</v>
      </c>
      <c r="C50" s="6">
        <v>24208321</v>
      </c>
      <c r="D50" s="6">
        <v>3926907</v>
      </c>
      <c r="E50" s="6">
        <v>3079610</v>
      </c>
      <c r="F50" s="6">
        <v>89117</v>
      </c>
      <c r="G50" s="6">
        <f t="shared" si="4"/>
        <v>59317786</v>
      </c>
      <c r="H50" s="6">
        <f t="shared" si="5"/>
        <v>35020348</v>
      </c>
      <c r="I50" s="10">
        <f t="shared" si="6"/>
        <v>0.59038528511499067</v>
      </c>
    </row>
    <row r="51" spans="1:9" x14ac:dyDescent="0.3">
      <c r="A51">
        <v>2020</v>
      </c>
      <c r="B51" s="6">
        <v>28067509</v>
      </c>
      <c r="C51" s="6">
        <v>24382089</v>
      </c>
      <c r="D51" s="6">
        <v>3776573</v>
      </c>
      <c r="E51" s="6">
        <v>3074397</v>
      </c>
      <c r="F51" s="6">
        <v>129879</v>
      </c>
      <c r="G51" s="6">
        <f t="shared" si="4"/>
        <v>59430447</v>
      </c>
      <c r="H51" s="6">
        <f t="shared" si="5"/>
        <v>34918479</v>
      </c>
      <c r="I51" s="10">
        <f t="shared" si="6"/>
        <v>0.58755201689800518</v>
      </c>
    </row>
    <row r="52" spans="1:9" x14ac:dyDescent="0.3">
      <c r="A52">
        <v>2021</v>
      </c>
      <c r="B52" s="6">
        <v>28617252</v>
      </c>
      <c r="C52" s="6">
        <v>24006903</v>
      </c>
      <c r="D52" s="6">
        <v>3738665</v>
      </c>
      <c r="E52" s="6">
        <v>3120759</v>
      </c>
      <c r="F52" s="6">
        <v>176947</v>
      </c>
      <c r="G52" s="6">
        <f t="shared" si="4"/>
        <v>59660526</v>
      </c>
      <c r="H52" s="6">
        <f t="shared" si="5"/>
        <v>35476676</v>
      </c>
      <c r="I52" s="10">
        <f t="shared" si="6"/>
        <v>0.59464236034392326</v>
      </c>
    </row>
    <row r="53" spans="1:9" x14ac:dyDescent="0.3">
      <c r="A53">
        <v>2022</v>
      </c>
      <c r="B53" s="6">
        <v>28980582</v>
      </c>
      <c r="C53" s="6">
        <v>24054519</v>
      </c>
      <c r="D53" s="6">
        <v>3845968</v>
      </c>
      <c r="E53" s="6">
        <v>3134737</v>
      </c>
      <c r="F53" s="6">
        <v>222229</v>
      </c>
      <c r="G53" s="6">
        <f t="shared" si="4"/>
        <v>60238035</v>
      </c>
      <c r="H53" s="6">
        <f t="shared" si="5"/>
        <v>35961287</v>
      </c>
      <c r="I53" s="10">
        <f t="shared" si="6"/>
        <v>0.59698638908125079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U28"/>
  <sheetViews>
    <sheetView workbookViewId="0">
      <selection activeCell="Q16" sqref="Q16"/>
    </sheetView>
  </sheetViews>
  <sheetFormatPr defaultRowHeight="14.4" x14ac:dyDescent="0.3"/>
  <cols>
    <col min="15" max="15" width="12.33203125" bestFit="1" customWidth="1"/>
    <col min="20" max="20" width="12" bestFit="1" customWidth="1"/>
  </cols>
  <sheetData>
    <row r="2" spans="2:17" x14ac:dyDescent="0.3">
      <c r="B2" t="s">
        <v>1</v>
      </c>
      <c r="F2" t="s">
        <v>5</v>
      </c>
      <c r="I2" t="s">
        <v>72</v>
      </c>
      <c r="K2" t="s">
        <v>20</v>
      </c>
      <c r="M2" t="s">
        <v>22</v>
      </c>
      <c r="O2" t="s">
        <v>38</v>
      </c>
      <c r="Q2" t="s">
        <v>102</v>
      </c>
    </row>
    <row r="3" spans="2:17" x14ac:dyDescent="0.3">
      <c r="B3">
        <v>2012</v>
      </c>
      <c r="C3">
        <v>47</v>
      </c>
      <c r="D3" t="s">
        <v>2</v>
      </c>
      <c r="F3" s="2">
        <v>2.8</v>
      </c>
      <c r="G3" s="1" t="s">
        <v>2</v>
      </c>
      <c r="I3" s="15">
        <v>2.5429706710245023E-4</v>
      </c>
      <c r="K3" s="16">
        <v>7.8E-2</v>
      </c>
      <c r="M3">
        <v>3.13</v>
      </c>
      <c r="O3" s="13">
        <v>6.7498604230897275E-6</v>
      </c>
      <c r="Q3" s="17">
        <v>0.58470894520833749</v>
      </c>
    </row>
    <row r="4" spans="2:17" x14ac:dyDescent="0.3">
      <c r="B4">
        <v>2013</v>
      </c>
      <c r="C4">
        <v>48</v>
      </c>
      <c r="D4" t="s">
        <v>2</v>
      </c>
      <c r="F4" s="2">
        <v>2.6</v>
      </c>
      <c r="G4" s="1" t="s">
        <v>2</v>
      </c>
      <c r="I4" s="15">
        <v>2.1838945266299418E-4</v>
      </c>
      <c r="K4" s="16">
        <v>7.1999999999999995E-2</v>
      </c>
      <c r="M4">
        <v>3.03</v>
      </c>
      <c r="O4" s="13">
        <v>7.6124323499672257E-6</v>
      </c>
      <c r="Q4" s="14">
        <v>0.58441066167975764</v>
      </c>
    </row>
    <row r="5" spans="2:17" x14ac:dyDescent="0.3">
      <c r="B5">
        <v>2014</v>
      </c>
      <c r="C5">
        <v>47</v>
      </c>
      <c r="D5" t="s">
        <v>2</v>
      </c>
      <c r="F5" s="2">
        <v>1.5</v>
      </c>
      <c r="G5" s="1" t="s">
        <v>2</v>
      </c>
      <c r="I5" s="15">
        <v>3.5450698821513503E-4</v>
      </c>
      <c r="K5" s="16">
        <v>5.7000000000000002E-2</v>
      </c>
      <c r="M5">
        <v>2.92</v>
      </c>
      <c r="O5" s="13">
        <v>6.8424492921873226E-6</v>
      </c>
      <c r="Q5" s="14">
        <v>0.58202465541025217</v>
      </c>
    </row>
    <row r="6" spans="2:17" x14ac:dyDescent="0.3">
      <c r="B6">
        <v>2015</v>
      </c>
      <c r="C6">
        <v>46</v>
      </c>
      <c r="D6" t="s">
        <v>2</v>
      </c>
      <c r="F6" s="2">
        <v>0</v>
      </c>
      <c r="G6" s="1" t="s">
        <v>2</v>
      </c>
      <c r="I6" s="15">
        <v>2.7645506826458923E-4</v>
      </c>
      <c r="K6" s="16">
        <v>5.0999999999999997E-2</v>
      </c>
      <c r="M6">
        <v>2.86</v>
      </c>
      <c r="O6" s="13">
        <v>7.4950040729510865E-6</v>
      </c>
      <c r="Q6" s="14">
        <v>0.58732364827903227</v>
      </c>
    </row>
    <row r="7" spans="2:17" x14ac:dyDescent="0.3">
      <c r="B7">
        <v>2016</v>
      </c>
      <c r="C7">
        <v>40</v>
      </c>
      <c r="D7" t="s">
        <v>2</v>
      </c>
      <c r="F7" s="2">
        <v>0.7</v>
      </c>
      <c r="G7" s="1" t="s">
        <v>2</v>
      </c>
      <c r="I7" s="15">
        <v>2.7875915131639285E-4</v>
      </c>
      <c r="K7" s="16">
        <v>4.8000000000000001E-2</v>
      </c>
      <c r="M7">
        <v>2.87</v>
      </c>
      <c r="O7" s="13">
        <v>8.0124215077826592E-6</v>
      </c>
      <c r="Q7" s="14">
        <v>0.58508290046435951</v>
      </c>
    </row>
    <row r="8" spans="2:17" x14ac:dyDescent="0.3">
      <c r="B8">
        <v>2017</v>
      </c>
      <c r="C8">
        <v>44</v>
      </c>
      <c r="D8" t="s">
        <v>2</v>
      </c>
      <c r="F8" s="2">
        <v>2.7</v>
      </c>
      <c r="G8" s="1" t="s">
        <v>2</v>
      </c>
      <c r="I8" s="15">
        <v>4.0732745446249408E-4</v>
      </c>
      <c r="K8" s="16">
        <v>4.3999999999999997E-2</v>
      </c>
      <c r="M8">
        <v>2.9</v>
      </c>
      <c r="O8" s="13">
        <v>9.0096593087428984E-6</v>
      </c>
      <c r="Q8" s="14">
        <v>0.58394420120573942</v>
      </c>
    </row>
    <row r="9" spans="2:17" x14ac:dyDescent="0.3">
      <c r="B9">
        <v>2018</v>
      </c>
      <c r="C9">
        <v>45</v>
      </c>
      <c r="D9" t="s">
        <v>2</v>
      </c>
      <c r="F9" s="2">
        <v>2.5</v>
      </c>
      <c r="G9" s="1" t="s">
        <v>2</v>
      </c>
      <c r="I9" s="15">
        <v>3.7780979477462263E-4</v>
      </c>
      <c r="K9" s="16">
        <v>0.04</v>
      </c>
      <c r="M9">
        <v>2.89</v>
      </c>
      <c r="O9" s="13">
        <v>9.0614142013674424E-6</v>
      </c>
      <c r="Q9" s="14">
        <v>0.58852985354652931</v>
      </c>
    </row>
    <row r="10" spans="2:17" x14ac:dyDescent="0.3">
      <c r="B10">
        <v>2019</v>
      </c>
      <c r="C10">
        <v>40</v>
      </c>
      <c r="D10" t="s">
        <v>2</v>
      </c>
      <c r="F10" s="2">
        <v>1.8</v>
      </c>
      <c r="G10" s="1" t="s">
        <v>2</v>
      </c>
      <c r="I10" s="15">
        <v>3.2636291022657582E-4</v>
      </c>
      <c r="K10" s="16">
        <v>0.04</v>
      </c>
      <c r="M10">
        <v>2.87</v>
      </c>
      <c r="O10" s="13">
        <v>1.2395802278330494E-5</v>
      </c>
      <c r="Q10" s="14">
        <v>0.59038528511499067</v>
      </c>
    </row>
    <row r="11" spans="2:17" x14ac:dyDescent="0.3">
      <c r="B11">
        <v>2020</v>
      </c>
      <c r="C11">
        <v>41</v>
      </c>
      <c r="D11" t="s">
        <v>2</v>
      </c>
      <c r="F11" s="2">
        <v>0.9</v>
      </c>
      <c r="G11" s="1" t="s">
        <v>2</v>
      </c>
      <c r="I11" s="15">
        <v>4.2485803517827513E-4</v>
      </c>
      <c r="K11" s="16">
        <v>5.2999999999999999E-2</v>
      </c>
      <c r="M11">
        <v>3.05</v>
      </c>
      <c r="O11" s="13">
        <v>1.2268707471990191E-5</v>
      </c>
      <c r="Q11" s="14">
        <v>0.58755201689800518</v>
      </c>
    </row>
    <row r="12" spans="2:17" x14ac:dyDescent="0.3">
      <c r="B12">
        <v>2021</v>
      </c>
      <c r="C12">
        <v>59</v>
      </c>
      <c r="D12" t="s">
        <v>2</v>
      </c>
      <c r="F12" s="2">
        <v>2.6</v>
      </c>
      <c r="G12" s="1" t="s">
        <v>2</v>
      </c>
      <c r="I12" s="15">
        <v>3.8237213283939082E-4</v>
      </c>
      <c r="K12" s="16">
        <v>4.1000000000000002E-2</v>
      </c>
      <c r="M12">
        <v>3.31</v>
      </c>
      <c r="O12" s="13">
        <v>1.3759375173826898E-5</v>
      </c>
      <c r="Q12" s="14">
        <v>0.59464236034392326</v>
      </c>
    </row>
    <row r="13" spans="2:17" x14ac:dyDescent="0.3">
      <c r="B13">
        <v>2022</v>
      </c>
      <c r="C13">
        <v>62</v>
      </c>
      <c r="D13" t="s">
        <v>2</v>
      </c>
      <c r="F13" s="2">
        <v>9.1</v>
      </c>
      <c r="G13" s="1" t="s">
        <v>2</v>
      </c>
      <c r="I13" s="15">
        <v>3.9735099337748344E-4</v>
      </c>
      <c r="K13" s="16">
        <v>3.7999999999999999E-2</v>
      </c>
      <c r="M13">
        <v>3.12</v>
      </c>
      <c r="O13" s="13">
        <v>1.2877115526122149E-5</v>
      </c>
      <c r="Q13" s="14">
        <v>0.59698638908125079</v>
      </c>
    </row>
    <row r="14" spans="2:17" x14ac:dyDescent="0.3">
      <c r="B14">
        <v>2023</v>
      </c>
      <c r="C14">
        <v>57</v>
      </c>
      <c r="D14" t="s">
        <v>2</v>
      </c>
      <c r="F14" s="2">
        <v>7.3</v>
      </c>
      <c r="G14" s="1" t="s">
        <v>2</v>
      </c>
      <c r="I14" s="15">
        <v>4.2917826278013771E-4</v>
      </c>
      <c r="K14" s="16">
        <v>3.9E-2</v>
      </c>
      <c r="M14">
        <v>3.23</v>
      </c>
    </row>
    <row r="15" spans="2:17" x14ac:dyDescent="0.3">
      <c r="K15" s="16"/>
    </row>
    <row r="16" spans="2:17" x14ac:dyDescent="0.3">
      <c r="B16" t="s">
        <v>1</v>
      </c>
      <c r="F16" t="s">
        <v>5</v>
      </c>
      <c r="I16" t="s">
        <v>72</v>
      </c>
      <c r="K16" t="s">
        <v>20</v>
      </c>
      <c r="M16" t="s">
        <v>22</v>
      </c>
      <c r="O16" t="s">
        <v>38</v>
      </c>
      <c r="Q16" t="s">
        <v>102</v>
      </c>
    </row>
    <row r="17" spans="2:21" x14ac:dyDescent="0.3">
      <c r="B17">
        <v>2012</v>
      </c>
      <c r="C17" s="18">
        <f>C3/100</f>
        <v>0.47</v>
      </c>
      <c r="F17" s="10">
        <f>F3/100</f>
        <v>2.7999999999999997E-2</v>
      </c>
      <c r="I17" s="15">
        <v>2.5429706710245023E-4</v>
      </c>
      <c r="K17" s="16">
        <v>7.8E-2</v>
      </c>
      <c r="M17">
        <v>3.13</v>
      </c>
      <c r="O17" s="13">
        <v>6.7498604230897275E-6</v>
      </c>
      <c r="Q17" s="17">
        <v>0.58470894520833749</v>
      </c>
      <c r="T17" cm="1">
        <f t="array" ref="T17:U21">LINEST(O17:O27,,TRUE,TRUE)</f>
        <v>7.4866736776684542E-7</v>
      </c>
      <c r="U17">
        <v>5.1520177576133009E-6</v>
      </c>
    </row>
    <row r="18" spans="2:21" x14ac:dyDescent="0.3">
      <c r="B18">
        <v>2013</v>
      </c>
      <c r="C18" s="18">
        <f t="shared" ref="C18:C28" si="0">C4/100</f>
        <v>0.48</v>
      </c>
      <c r="F18" s="10">
        <f t="shared" ref="F18:F27" si="1">F4/100</f>
        <v>2.6000000000000002E-2</v>
      </c>
      <c r="I18" s="15">
        <v>2.1838945266299418E-4</v>
      </c>
      <c r="K18" s="16">
        <v>7.1999999999999995E-2</v>
      </c>
      <c r="M18">
        <v>3.03</v>
      </c>
      <c r="O18" s="13">
        <v>7.6124323499672257E-6</v>
      </c>
      <c r="Q18" s="14">
        <v>0.58441066167975764</v>
      </c>
      <c r="T18">
        <v>9.3038313245189039E-8</v>
      </c>
      <c r="U18">
        <v>6.3101654150224643E-7</v>
      </c>
    </row>
    <row r="19" spans="2:21" x14ac:dyDescent="0.3">
      <c r="B19">
        <v>2014</v>
      </c>
      <c r="C19" s="18">
        <f t="shared" si="0"/>
        <v>0.47</v>
      </c>
      <c r="F19" s="10">
        <f t="shared" si="1"/>
        <v>1.4999999999999999E-2</v>
      </c>
      <c r="I19" s="15">
        <v>3.5450698821513503E-4</v>
      </c>
      <c r="K19" s="16">
        <v>5.7000000000000002E-2</v>
      </c>
      <c r="M19">
        <v>2.92</v>
      </c>
      <c r="O19" s="13">
        <v>6.8424492921873226E-6</v>
      </c>
      <c r="Q19" s="14">
        <v>0.58202465541025217</v>
      </c>
      <c r="T19">
        <v>0.87796964891903806</v>
      </c>
      <c r="U19">
        <v>9.757940615038046E-7</v>
      </c>
    </row>
    <row r="20" spans="2:21" x14ac:dyDescent="0.3">
      <c r="B20">
        <v>2015</v>
      </c>
      <c r="C20" s="18">
        <f t="shared" si="0"/>
        <v>0.46</v>
      </c>
      <c r="F20" s="10">
        <f t="shared" si="1"/>
        <v>0</v>
      </c>
      <c r="I20" s="15">
        <v>2.7645506826458923E-4</v>
      </c>
      <c r="K20" s="16">
        <v>5.0999999999999997E-2</v>
      </c>
      <c r="M20">
        <v>2.86</v>
      </c>
      <c r="O20" s="13">
        <v>7.4950040729510865E-6</v>
      </c>
      <c r="Q20" s="14">
        <v>0.58732364827903227</v>
      </c>
      <c r="T20">
        <v>64.752143792726429</v>
      </c>
      <c r="U20">
        <v>9</v>
      </c>
    </row>
    <row r="21" spans="2:21" x14ac:dyDescent="0.3">
      <c r="B21">
        <v>2016</v>
      </c>
      <c r="C21" s="18">
        <f t="shared" si="0"/>
        <v>0.4</v>
      </c>
      <c r="F21" s="10">
        <f t="shared" si="1"/>
        <v>6.9999999999999993E-3</v>
      </c>
      <c r="I21" s="15">
        <v>2.7875915131639285E-4</v>
      </c>
      <c r="K21" s="16">
        <v>4.8000000000000001E-2</v>
      </c>
      <c r="M21">
        <v>2.87</v>
      </c>
      <c r="O21" s="13">
        <v>8.0124215077826592E-6</v>
      </c>
      <c r="Q21" s="14">
        <v>0.58508290046435951</v>
      </c>
      <c r="T21">
        <v>6.1655311031483074E-11</v>
      </c>
      <c r="U21">
        <v>8.569566454194818E-12</v>
      </c>
    </row>
    <row r="22" spans="2:21" x14ac:dyDescent="0.3">
      <c r="B22">
        <v>2017</v>
      </c>
      <c r="C22" s="18">
        <f t="shared" si="0"/>
        <v>0.44</v>
      </c>
      <c r="F22" s="10">
        <f t="shared" si="1"/>
        <v>2.7000000000000003E-2</v>
      </c>
      <c r="I22" s="15">
        <v>4.0732745446249408E-4</v>
      </c>
      <c r="K22" s="16">
        <v>4.3999999999999997E-2</v>
      </c>
      <c r="M22">
        <v>2.9</v>
      </c>
      <c r="O22" s="13">
        <v>9.0096593087428984E-6</v>
      </c>
      <c r="Q22" s="14">
        <v>0.58394420120573942</v>
      </c>
    </row>
    <row r="23" spans="2:21" x14ac:dyDescent="0.3">
      <c r="B23">
        <v>2018</v>
      </c>
      <c r="C23" s="18">
        <f t="shared" si="0"/>
        <v>0.45</v>
      </c>
      <c r="F23" s="10">
        <f t="shared" si="1"/>
        <v>2.5000000000000001E-2</v>
      </c>
      <c r="I23" s="15">
        <v>3.7780979477462263E-4</v>
      </c>
      <c r="K23" s="16">
        <v>0.04</v>
      </c>
      <c r="M23">
        <v>2.89</v>
      </c>
      <c r="O23" s="13">
        <v>9.0614142013674424E-6</v>
      </c>
      <c r="Q23" s="14">
        <v>0.58852985354652931</v>
      </c>
    </row>
    <row r="24" spans="2:21" x14ac:dyDescent="0.3">
      <c r="B24">
        <v>2019</v>
      </c>
      <c r="C24" s="18">
        <f t="shared" si="0"/>
        <v>0.4</v>
      </c>
      <c r="F24" s="10">
        <f t="shared" si="1"/>
        <v>1.8000000000000002E-2</v>
      </c>
      <c r="I24" s="15">
        <v>3.2636291022657582E-4</v>
      </c>
      <c r="K24" s="16">
        <v>0.04</v>
      </c>
      <c r="M24">
        <v>2.87</v>
      </c>
      <c r="O24" s="13">
        <v>1.2395802278330494E-5</v>
      </c>
      <c r="Q24" s="14">
        <v>0.59038528511499067</v>
      </c>
    </row>
    <row r="25" spans="2:21" x14ac:dyDescent="0.3">
      <c r="B25">
        <v>2020</v>
      </c>
      <c r="C25" s="18">
        <f t="shared" si="0"/>
        <v>0.41</v>
      </c>
      <c r="F25" s="10">
        <f t="shared" si="1"/>
        <v>9.0000000000000011E-3</v>
      </c>
      <c r="I25" s="15">
        <v>4.2485803517827513E-4</v>
      </c>
      <c r="K25" s="16">
        <v>5.2999999999999999E-2</v>
      </c>
      <c r="M25">
        <v>3.05</v>
      </c>
      <c r="O25" s="13">
        <v>1.2268707471990191E-5</v>
      </c>
      <c r="Q25" s="14">
        <v>0.58755201689800518</v>
      </c>
    </row>
    <row r="26" spans="2:21" x14ac:dyDescent="0.3">
      <c r="B26">
        <v>2021</v>
      </c>
      <c r="C26" s="18">
        <f t="shared" si="0"/>
        <v>0.59</v>
      </c>
      <c r="F26" s="10">
        <f t="shared" si="1"/>
        <v>2.6000000000000002E-2</v>
      </c>
      <c r="I26" s="15">
        <v>3.8237213283939082E-4</v>
      </c>
      <c r="K26" s="16">
        <v>4.1000000000000002E-2</v>
      </c>
      <c r="M26">
        <v>3.31</v>
      </c>
      <c r="O26" s="13">
        <v>1.3759375173826898E-5</v>
      </c>
      <c r="Q26" s="14">
        <v>0.59464236034392326</v>
      </c>
    </row>
    <row r="27" spans="2:21" x14ac:dyDescent="0.3">
      <c r="B27">
        <v>2022</v>
      </c>
      <c r="C27" s="18">
        <f t="shared" si="0"/>
        <v>0.62</v>
      </c>
      <c r="F27" s="10">
        <f t="shared" si="1"/>
        <v>9.0999999999999998E-2</v>
      </c>
      <c r="I27" s="15">
        <v>3.9735099337748344E-4</v>
      </c>
      <c r="K27" s="16">
        <v>3.7999999999999999E-2</v>
      </c>
      <c r="M27">
        <v>3.12</v>
      </c>
      <c r="O27" s="13">
        <v>1.2877115526122149E-5</v>
      </c>
      <c r="Q27" s="14">
        <v>0.59698638908125079</v>
      </c>
    </row>
    <row r="28" spans="2:21" x14ac:dyDescent="0.3">
      <c r="B28">
        <v>2023</v>
      </c>
      <c r="C28" s="18">
        <f t="shared" si="0"/>
        <v>0.56999999999999995</v>
      </c>
      <c r="F28" s="10">
        <f>F14/100</f>
        <v>7.2999999999999995E-2</v>
      </c>
      <c r="I28" s="15">
        <v>4.2917826278013771E-4</v>
      </c>
      <c r="K28" s="16">
        <v>3.9E-2</v>
      </c>
      <c r="M28">
        <v>3.23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U22"/>
  <sheetViews>
    <sheetView workbookViewId="0">
      <selection activeCell="F3" sqref="F3"/>
    </sheetView>
  </sheetViews>
  <sheetFormatPr defaultRowHeight="14.4" x14ac:dyDescent="0.3"/>
  <cols>
    <col min="3" max="3" width="16.6640625" customWidth="1"/>
    <col min="5" max="5" width="12" bestFit="1" customWidth="1"/>
  </cols>
  <sheetData>
    <row r="2" spans="2:18" x14ac:dyDescent="0.3">
      <c r="B2" t="s">
        <v>38</v>
      </c>
      <c r="F2" t="s">
        <v>103</v>
      </c>
    </row>
    <row r="3" spans="2:18" x14ac:dyDescent="0.3">
      <c r="B3">
        <v>2012</v>
      </c>
      <c r="C3" s="13">
        <v>6.7498604230897275E-6</v>
      </c>
      <c r="F3">
        <v>2012</v>
      </c>
      <c r="G3" s="17">
        <v>0.58470894520833749</v>
      </c>
      <c r="H3" s="36"/>
      <c r="I3" s="36"/>
    </row>
    <row r="4" spans="2:18" x14ac:dyDescent="0.3">
      <c r="B4">
        <v>2013</v>
      </c>
      <c r="C4" s="13">
        <v>7.6124323499672257E-6</v>
      </c>
      <c r="F4">
        <v>2013</v>
      </c>
      <c r="G4" s="14">
        <v>0.58441066167975764</v>
      </c>
      <c r="M4" s="36"/>
      <c r="N4" s="36"/>
    </row>
    <row r="5" spans="2:18" x14ac:dyDescent="0.3">
      <c r="B5">
        <v>2014</v>
      </c>
      <c r="C5" s="13">
        <v>6.8424492921873226E-6</v>
      </c>
      <c r="F5">
        <v>2014</v>
      </c>
      <c r="G5" s="14">
        <v>0.58202465541025217</v>
      </c>
    </row>
    <row r="6" spans="2:18" x14ac:dyDescent="0.3">
      <c r="B6">
        <v>2015</v>
      </c>
      <c r="C6" s="13">
        <v>7.4950040729510865E-6</v>
      </c>
      <c r="F6">
        <v>2015</v>
      </c>
      <c r="G6" s="14">
        <v>0.58732364827903227</v>
      </c>
    </row>
    <row r="7" spans="2:18" x14ac:dyDescent="0.3">
      <c r="B7">
        <v>2016</v>
      </c>
      <c r="C7" s="13">
        <v>8.0124215077826592E-6</v>
      </c>
      <c r="F7">
        <v>2016</v>
      </c>
      <c r="G7" s="14">
        <v>0.58508290046435951</v>
      </c>
    </row>
    <row r="8" spans="2:18" x14ac:dyDescent="0.3">
      <c r="B8">
        <v>2017</v>
      </c>
      <c r="C8" s="13">
        <v>9.0096593087428984E-6</v>
      </c>
      <c r="F8">
        <v>2017</v>
      </c>
      <c r="G8" s="14">
        <v>0.58394420120573942</v>
      </c>
    </row>
    <row r="9" spans="2:18" x14ac:dyDescent="0.3">
      <c r="B9">
        <v>2018</v>
      </c>
      <c r="C9" s="13">
        <v>9.0614142013674424E-6</v>
      </c>
      <c r="F9">
        <v>2018</v>
      </c>
      <c r="G9" s="14">
        <v>0.58852985354652931</v>
      </c>
    </row>
    <row r="10" spans="2:18" x14ac:dyDescent="0.3">
      <c r="B10">
        <v>2019</v>
      </c>
      <c r="C10" s="13">
        <v>1.2395802278330494E-5</v>
      </c>
      <c r="F10">
        <v>2019</v>
      </c>
      <c r="G10" s="14">
        <v>0.59038528511499067</v>
      </c>
    </row>
    <row r="11" spans="2:18" x14ac:dyDescent="0.3">
      <c r="B11">
        <v>2020</v>
      </c>
      <c r="C11" s="13">
        <v>1.2268707471990191E-5</v>
      </c>
      <c r="F11">
        <v>2020</v>
      </c>
      <c r="G11" s="14">
        <v>0.58755201689800518</v>
      </c>
    </row>
    <row r="12" spans="2:18" x14ac:dyDescent="0.3">
      <c r="B12">
        <v>2021</v>
      </c>
      <c r="C12" s="13">
        <v>1.3759375173826898E-5</v>
      </c>
      <c r="F12">
        <v>2021</v>
      </c>
      <c r="G12" s="14">
        <v>0.59464236034392326</v>
      </c>
      <c r="M12" s="37"/>
      <c r="N12" s="37"/>
      <c r="O12" s="37"/>
      <c r="P12" s="37"/>
      <c r="Q12" s="37"/>
      <c r="R12" s="37"/>
    </row>
    <row r="13" spans="2:18" x14ac:dyDescent="0.3">
      <c r="B13">
        <v>2022</v>
      </c>
      <c r="C13" s="13">
        <v>1.2877115526122149E-5</v>
      </c>
      <c r="F13">
        <v>2022</v>
      </c>
      <c r="G13" s="14">
        <v>0.59698638908125079</v>
      </c>
    </row>
    <row r="14" spans="2:18" x14ac:dyDescent="0.3">
      <c r="B14">
        <v>2023</v>
      </c>
      <c r="C14" s="13">
        <f>B18*B14+C18</f>
        <v>1.4136026170815394E-5</v>
      </c>
      <c r="F14">
        <v>2023</v>
      </c>
      <c r="G14" s="14">
        <f>F14*$F$18+$G$18</f>
        <v>0.59478824657957441</v>
      </c>
    </row>
    <row r="15" spans="2:18" x14ac:dyDescent="0.3">
      <c r="G15" s="14"/>
    </row>
    <row r="16" spans="2:18" x14ac:dyDescent="0.3">
      <c r="G16" s="14"/>
    </row>
    <row r="17" spans="2:21" x14ac:dyDescent="0.3">
      <c r="M17" s="37"/>
      <c r="N17" s="37"/>
      <c r="O17" s="37"/>
      <c r="P17" s="37"/>
      <c r="Q17" s="37"/>
      <c r="R17" s="37"/>
      <c r="S17" s="37"/>
      <c r="T17" s="37"/>
      <c r="U17" s="37"/>
    </row>
    <row r="18" spans="2:21" x14ac:dyDescent="0.3">
      <c r="B18" cm="1">
        <f t="array" ref="B18:C22">LINEST(C3:C13,B3:B13,TRUE,TRUE)</f>
        <v>7.4866736776684542E-7</v>
      </c>
      <c r="C18">
        <v>-1.5004180588215129E-3</v>
      </c>
      <c r="F18" cm="1">
        <f t="array" ref="F18:G22">LINEST(G3:G13,F3:F13,TRUE,TRUE)</f>
        <v>1.167875683987042E-3</v>
      </c>
      <c r="G18">
        <v>-1.7678242621262115</v>
      </c>
    </row>
    <row r="19" spans="2:21" x14ac:dyDescent="0.3">
      <c r="B19">
        <v>9.3038313245189039E-8</v>
      </c>
      <c r="C19">
        <v>1.8765850845078692E-4</v>
      </c>
      <c r="F19">
        <v>2.5687007497617791E-4</v>
      </c>
      <c r="G19">
        <v>0.51810757798926399</v>
      </c>
    </row>
    <row r="20" spans="2:21" x14ac:dyDescent="0.3">
      <c r="B20">
        <v>0.87796964891903806</v>
      </c>
      <c r="C20">
        <v>9.757940615038046E-7</v>
      </c>
      <c r="F20">
        <v>0.6966758164877751</v>
      </c>
      <c r="G20">
        <v>2.6940760746514561E-3</v>
      </c>
    </row>
    <row r="21" spans="2:21" x14ac:dyDescent="0.3">
      <c r="B21">
        <v>64.752143792726429</v>
      </c>
      <c r="C21">
        <v>9</v>
      </c>
      <c r="F21">
        <v>20.671224680432612</v>
      </c>
      <c r="G21">
        <v>9</v>
      </c>
    </row>
    <row r="22" spans="2:21" x14ac:dyDescent="0.3">
      <c r="B22">
        <v>6.1655311031483074E-11</v>
      </c>
      <c r="C22">
        <v>8.569566454194818E-12</v>
      </c>
      <c r="F22">
        <v>1.5003269745730209E-4</v>
      </c>
      <c r="G22">
        <v>6.5322413064084574E-5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62"/>
  <sheetViews>
    <sheetView workbookViewId="0">
      <selection activeCell="B1" sqref="B1"/>
    </sheetView>
  </sheetViews>
  <sheetFormatPr defaultRowHeight="14.4" x14ac:dyDescent="0.3"/>
  <cols>
    <col min="1" max="1" width="17.5546875" bestFit="1" customWidth="1"/>
    <col min="7" max="7" width="13.33203125" customWidth="1"/>
    <col min="14" max="14" width="11.88671875" customWidth="1"/>
  </cols>
  <sheetData>
    <row r="1" spans="1:20" x14ac:dyDescent="0.3">
      <c r="A1" t="s">
        <v>97</v>
      </c>
      <c r="B1" t="s">
        <v>107</v>
      </c>
      <c r="C1" t="s">
        <v>129</v>
      </c>
      <c r="D1" t="s">
        <v>108</v>
      </c>
      <c r="E1" t="s">
        <v>105</v>
      </c>
      <c r="F1" t="s">
        <v>104</v>
      </c>
      <c r="G1" t="s">
        <v>109</v>
      </c>
      <c r="H1" t="s">
        <v>103</v>
      </c>
      <c r="L1" t="s">
        <v>74</v>
      </c>
    </row>
    <row r="2" spans="1:20" ht="15" thickBot="1" x14ac:dyDescent="0.35">
      <c r="A2">
        <v>2012</v>
      </c>
      <c r="B2" s="18">
        <v>0.47</v>
      </c>
      <c r="C2" s="14">
        <v>2.7999999999999997E-2</v>
      </c>
      <c r="D2" s="15">
        <v>2.5429706710245023E-4</v>
      </c>
      <c r="E2" s="14">
        <v>7.8E-2</v>
      </c>
      <c r="F2">
        <v>3.13</v>
      </c>
      <c r="G2" s="13">
        <v>6.7498604230897275E-6</v>
      </c>
      <c r="H2" s="14">
        <v>0.58470894520833749</v>
      </c>
    </row>
    <row r="3" spans="1:20" x14ac:dyDescent="0.3">
      <c r="A3">
        <v>2013</v>
      </c>
      <c r="B3" s="18">
        <v>0.48</v>
      </c>
      <c r="C3" s="14">
        <v>2.6000000000000002E-2</v>
      </c>
      <c r="D3" s="15">
        <v>2.1838945266299418E-4</v>
      </c>
      <c r="E3" s="14">
        <v>7.1999999999999995E-2</v>
      </c>
      <c r="F3">
        <v>3.03</v>
      </c>
      <c r="G3" s="13">
        <v>7.6124323499672257E-6</v>
      </c>
      <c r="H3" s="14">
        <v>0.58441066167975764</v>
      </c>
      <c r="L3" s="21" t="s">
        <v>75</v>
      </c>
      <c r="M3" s="21"/>
    </row>
    <row r="4" spans="1:20" x14ac:dyDescent="0.3">
      <c r="A4">
        <v>2014</v>
      </c>
      <c r="B4" s="18">
        <v>0.47</v>
      </c>
      <c r="C4" s="14">
        <v>1.4999999999999999E-2</v>
      </c>
      <c r="D4" s="15">
        <v>3.5450698821513503E-4</v>
      </c>
      <c r="E4" s="14">
        <v>5.7000000000000002E-2</v>
      </c>
      <c r="F4">
        <v>2.92</v>
      </c>
      <c r="G4" s="13">
        <v>6.8424492921873226E-6</v>
      </c>
      <c r="H4" s="14">
        <v>0.58202465541025217</v>
      </c>
      <c r="L4" t="s">
        <v>76</v>
      </c>
      <c r="M4">
        <v>0.95599717960834019</v>
      </c>
    </row>
    <row r="5" spans="1:20" x14ac:dyDescent="0.3">
      <c r="A5">
        <v>2015</v>
      </c>
      <c r="B5" s="18">
        <v>0.46</v>
      </c>
      <c r="C5" s="14">
        <v>0</v>
      </c>
      <c r="D5" s="15">
        <v>2.7645506826458923E-4</v>
      </c>
      <c r="E5" s="14">
        <v>5.0999999999999997E-2</v>
      </c>
      <c r="F5">
        <v>2.86</v>
      </c>
      <c r="G5" s="13">
        <v>7.4950040729510865E-6</v>
      </c>
      <c r="H5" s="14">
        <v>0.58732364827903227</v>
      </c>
      <c r="L5" t="s">
        <v>77</v>
      </c>
      <c r="M5">
        <v>0.91393060741910115</v>
      </c>
    </row>
    <row r="6" spans="1:20" x14ac:dyDescent="0.3">
      <c r="A6">
        <v>2016</v>
      </c>
      <c r="B6" s="18">
        <v>0.4</v>
      </c>
      <c r="C6" s="14">
        <v>6.9999999999999993E-3</v>
      </c>
      <c r="D6" s="15">
        <v>2.7875915131639285E-4</v>
      </c>
      <c r="E6" s="14">
        <v>4.8000000000000001E-2</v>
      </c>
      <c r="F6">
        <v>2.87</v>
      </c>
      <c r="G6" s="13">
        <v>8.0124215077826592E-6</v>
      </c>
      <c r="H6" s="14">
        <v>0.58508290046435951</v>
      </c>
      <c r="L6" t="s">
        <v>78</v>
      </c>
      <c r="M6">
        <v>0.81064733632202246</v>
      </c>
    </row>
    <row r="7" spans="1:20" x14ac:dyDescent="0.3">
      <c r="A7">
        <v>2017</v>
      </c>
      <c r="B7" s="18">
        <v>0.44</v>
      </c>
      <c r="C7" s="14">
        <v>2.7000000000000003E-2</v>
      </c>
      <c r="D7" s="15">
        <v>4.0732745446249408E-4</v>
      </c>
      <c r="E7" s="14">
        <v>4.3999999999999997E-2</v>
      </c>
      <c r="F7">
        <v>2.9</v>
      </c>
      <c r="G7" s="13">
        <v>9.0096593087428984E-6</v>
      </c>
      <c r="H7" s="14">
        <v>0.58394420120573942</v>
      </c>
      <c r="L7" t="s">
        <v>73</v>
      </c>
      <c r="M7">
        <v>3.2298003623761236E-2</v>
      </c>
    </row>
    <row r="8" spans="1:20" ht="15" thickBot="1" x14ac:dyDescent="0.35">
      <c r="A8">
        <v>2018</v>
      </c>
      <c r="B8" s="18">
        <v>0.45</v>
      </c>
      <c r="C8" s="14">
        <v>2.5000000000000001E-2</v>
      </c>
      <c r="D8" s="15">
        <v>3.7780979477462263E-4</v>
      </c>
      <c r="E8" s="14">
        <v>0.04</v>
      </c>
      <c r="F8">
        <v>2.89</v>
      </c>
      <c r="G8" s="13">
        <v>9.0614142013674424E-6</v>
      </c>
      <c r="H8" s="14">
        <v>0.58852985354652931</v>
      </c>
      <c r="L8" s="19" t="s">
        <v>79</v>
      </c>
      <c r="M8" s="19">
        <v>12</v>
      </c>
    </row>
    <row r="9" spans="1:20" x14ac:dyDescent="0.3">
      <c r="A9">
        <v>2019</v>
      </c>
      <c r="B9" s="18">
        <v>0.4</v>
      </c>
      <c r="C9" s="14">
        <v>1.8000000000000002E-2</v>
      </c>
      <c r="D9" s="15">
        <v>3.2636291022657582E-4</v>
      </c>
      <c r="E9" s="14">
        <v>0.04</v>
      </c>
      <c r="F9">
        <v>2.87</v>
      </c>
      <c r="G9" s="13">
        <v>1.2395802278330494E-5</v>
      </c>
      <c r="H9" s="14">
        <v>0.59038528511499067</v>
      </c>
    </row>
    <row r="10" spans="1:20" ht="15" thickBot="1" x14ac:dyDescent="0.35">
      <c r="A10">
        <v>2020</v>
      </c>
      <c r="B10" s="18">
        <v>0.41</v>
      </c>
      <c r="C10" s="14">
        <v>9.0000000000000011E-3</v>
      </c>
      <c r="D10" s="15">
        <v>4.2485803517827513E-4</v>
      </c>
      <c r="E10" s="14">
        <v>5.2999999999999999E-2</v>
      </c>
      <c r="F10">
        <v>3.05</v>
      </c>
      <c r="G10" s="13">
        <v>1.2268707471990191E-5</v>
      </c>
      <c r="H10" s="14">
        <v>0.58755201689800518</v>
      </c>
      <c r="L10" t="s">
        <v>80</v>
      </c>
    </row>
    <row r="11" spans="1:20" x14ac:dyDescent="0.3">
      <c r="A11">
        <v>2021</v>
      </c>
      <c r="B11" s="18">
        <v>0.59</v>
      </c>
      <c r="C11" s="14">
        <v>2.6000000000000002E-2</v>
      </c>
      <c r="D11" s="15">
        <v>3.8237213283939082E-4</v>
      </c>
      <c r="E11" s="14">
        <v>4.1000000000000002E-2</v>
      </c>
      <c r="F11">
        <v>3.31</v>
      </c>
      <c r="G11" s="13">
        <v>1.3759375173826898E-5</v>
      </c>
      <c r="H11" s="14">
        <v>0.59464236034392326</v>
      </c>
      <c r="L11" s="20"/>
      <c r="M11" s="20" t="s">
        <v>85</v>
      </c>
      <c r="N11" s="20" t="s">
        <v>86</v>
      </c>
      <c r="O11" s="20" t="s">
        <v>87</v>
      </c>
      <c r="P11" s="20" t="s">
        <v>88</v>
      </c>
      <c r="Q11" s="20" t="s">
        <v>89</v>
      </c>
    </row>
    <row r="12" spans="1:20" x14ac:dyDescent="0.3">
      <c r="A12">
        <v>2022</v>
      </c>
      <c r="B12" s="18">
        <v>0.62</v>
      </c>
      <c r="C12" s="14">
        <v>9.0999999999999998E-2</v>
      </c>
      <c r="D12" s="15">
        <v>3.9735099337748344E-4</v>
      </c>
      <c r="E12" s="14">
        <v>3.7999999999999999E-2</v>
      </c>
      <c r="F12">
        <v>3.12</v>
      </c>
      <c r="G12" s="13">
        <v>1.2877115526122149E-5</v>
      </c>
      <c r="H12" s="14">
        <v>0.59698638908125079</v>
      </c>
      <c r="L12" t="s">
        <v>81</v>
      </c>
      <c r="M12">
        <v>6</v>
      </c>
      <c r="N12">
        <v>5.5384194809597505E-2</v>
      </c>
      <c r="O12">
        <v>9.2306991349329175E-3</v>
      </c>
      <c r="P12">
        <v>8.8487767448813059</v>
      </c>
      <c r="Q12">
        <v>1.5080884394450279E-2</v>
      </c>
    </row>
    <row r="13" spans="1:20" x14ac:dyDescent="0.3">
      <c r="A13">
        <v>2023</v>
      </c>
      <c r="B13" s="18">
        <v>0.56999999999999995</v>
      </c>
      <c r="C13" s="14">
        <v>7.2999999999999995E-2</v>
      </c>
      <c r="D13" s="15">
        <v>4.2917826278013771E-4</v>
      </c>
      <c r="E13" s="14">
        <v>3.9E-2</v>
      </c>
      <c r="F13">
        <v>3.23</v>
      </c>
      <c r="G13" s="23">
        <v>1.4136026170815394E-5</v>
      </c>
      <c r="H13" s="22">
        <v>0.59478824657957441</v>
      </c>
      <c r="L13" t="s">
        <v>82</v>
      </c>
      <c r="M13">
        <v>5</v>
      </c>
      <c r="N13">
        <v>5.2158051904024703E-3</v>
      </c>
      <c r="O13">
        <v>1.043161038080494E-3</v>
      </c>
    </row>
    <row r="14" spans="1:20" ht="15" thickBot="1" x14ac:dyDescent="0.35">
      <c r="L14" s="19" t="s">
        <v>83</v>
      </c>
      <c r="M14" s="19">
        <v>11</v>
      </c>
      <c r="N14" s="19">
        <v>6.0599999999999973E-2</v>
      </c>
      <c r="O14" s="19"/>
      <c r="P14" s="19"/>
      <c r="Q14" s="19"/>
    </row>
    <row r="15" spans="1:20" ht="15" thickBot="1" x14ac:dyDescent="0.35">
      <c r="A15" t="s">
        <v>120</v>
      </c>
      <c r="D15" t="s">
        <v>114</v>
      </c>
    </row>
    <row r="16" spans="1:20" x14ac:dyDescent="0.3">
      <c r="A16">
        <f t="array" ref="A16:B20">LINEST(B2:B13,A2:A13,1,1)</f>
        <v>1.0349650349650351E-2</v>
      </c>
      <c r="B16">
        <v>-20.40041958041958</v>
      </c>
      <c r="D16" t="s">
        <v>121</v>
      </c>
      <c r="E16" t="s">
        <v>128</v>
      </c>
      <c r="G16" s="38"/>
      <c r="L16" s="20"/>
      <c r="M16" s="20" t="s">
        <v>90</v>
      </c>
      <c r="N16" s="20" t="s">
        <v>73</v>
      </c>
      <c r="O16" s="20" t="s">
        <v>91</v>
      </c>
      <c r="P16" s="20" t="s">
        <v>92</v>
      </c>
      <c r="Q16" s="20" t="s">
        <v>93</v>
      </c>
      <c r="R16" s="20" t="s">
        <v>94</v>
      </c>
      <c r="S16" s="20" t="s">
        <v>95</v>
      </c>
      <c r="T16" s="20" t="s">
        <v>96</v>
      </c>
    </row>
    <row r="17" spans="1:20" x14ac:dyDescent="0.3">
      <c r="A17">
        <v>5.6272636460024342E-3</v>
      </c>
      <c r="B17">
        <v>11.353021024936561</v>
      </c>
      <c r="L17" t="s">
        <v>84</v>
      </c>
      <c r="M17">
        <v>-4.8255316034822826</v>
      </c>
      <c r="N17">
        <v>4.3220914870224449</v>
      </c>
      <c r="O17">
        <v>-1.1164806709833588</v>
      </c>
      <c r="P17">
        <v>0.31497694252543723</v>
      </c>
      <c r="Q17">
        <v>-15.93582147198053</v>
      </c>
      <c r="R17">
        <v>6.2847582650159648</v>
      </c>
      <c r="S17">
        <v>-15.93582147198053</v>
      </c>
      <c r="T17">
        <v>6.2847582650159648</v>
      </c>
    </row>
    <row r="18" spans="1:20" x14ac:dyDescent="0.3">
      <c r="A18">
        <v>0.25276373791225271</v>
      </c>
      <c r="B18">
        <v>6.729228594907255E-2</v>
      </c>
      <c r="L18" t="s">
        <v>106</v>
      </c>
      <c r="M18">
        <v>0.88311446598282839</v>
      </c>
      <c r="N18">
        <v>0.61424780303024373</v>
      </c>
      <c r="O18">
        <v>1.4377169305713358</v>
      </c>
      <c r="P18">
        <v>0.21002626294353338</v>
      </c>
      <c r="Q18">
        <v>-0.6958597790662292</v>
      </c>
      <c r="R18">
        <v>2.4620887110318859</v>
      </c>
      <c r="S18">
        <v>-0.6958597790662292</v>
      </c>
      <c r="T18">
        <v>2.4620887110318859</v>
      </c>
    </row>
    <row r="19" spans="1:20" x14ac:dyDescent="0.3">
      <c r="A19">
        <v>3.382648176174444</v>
      </c>
      <c r="B19">
        <v>10</v>
      </c>
      <c r="L19" t="s">
        <v>108</v>
      </c>
      <c r="M19">
        <v>3.1453076581588251</v>
      </c>
      <c r="N19">
        <v>302.68261503839034</v>
      </c>
      <c r="O19">
        <v>1.0391438100136324E-2</v>
      </c>
      <c r="P19">
        <v>0.99211085153707135</v>
      </c>
      <c r="Q19">
        <v>-774.9251245224267</v>
      </c>
      <c r="R19">
        <v>781.2157398387443</v>
      </c>
      <c r="S19">
        <v>-774.9251245224267</v>
      </c>
      <c r="T19">
        <v>781.2157398387443</v>
      </c>
    </row>
    <row r="20" spans="1:20" x14ac:dyDescent="0.3">
      <c r="A20">
        <v>1.5317482517482509E-2</v>
      </c>
      <c r="B20">
        <v>4.5282517482517465E-2</v>
      </c>
      <c r="L20" t="s">
        <v>105</v>
      </c>
      <c r="M20">
        <v>-2.2852877139640175</v>
      </c>
      <c r="N20">
        <v>2.1977220219878197</v>
      </c>
      <c r="O20">
        <v>-1.0398438433523978</v>
      </c>
      <c r="P20">
        <v>0.34605881728808924</v>
      </c>
      <c r="Q20">
        <v>-7.9347120234638204</v>
      </c>
      <c r="R20">
        <v>3.3641365955357858</v>
      </c>
      <c r="S20">
        <v>-7.9347120234638204</v>
      </c>
      <c r="T20">
        <v>3.3641365955357858</v>
      </c>
    </row>
    <row r="21" spans="1:20" x14ac:dyDescent="0.3">
      <c r="L21" t="s">
        <v>104</v>
      </c>
      <c r="M21">
        <v>0.38107186522199943</v>
      </c>
      <c r="N21">
        <v>0.14199992817016249</v>
      </c>
      <c r="O21">
        <v>2.6836060421477841</v>
      </c>
      <c r="P21">
        <v>4.3631299857900596E-2</v>
      </c>
      <c r="Q21">
        <v>1.6049429206118238E-2</v>
      </c>
      <c r="R21">
        <v>0.74609430123788067</v>
      </c>
      <c r="S21">
        <v>1.6049429206118238E-2</v>
      </c>
      <c r="T21">
        <v>0.74609430123788067</v>
      </c>
    </row>
    <row r="22" spans="1:20" x14ac:dyDescent="0.3">
      <c r="D22" t="s">
        <v>115</v>
      </c>
      <c r="L22" t="s">
        <v>109</v>
      </c>
      <c r="M22">
        <v>-21999.566472594735</v>
      </c>
      <c r="N22">
        <v>9942.8311336354473</v>
      </c>
      <c r="O22">
        <v>-2.2126058641560098</v>
      </c>
      <c r="P22">
        <v>7.7848826556992656E-2</v>
      </c>
      <c r="Q22">
        <v>-47558.427579517243</v>
      </c>
      <c r="R22">
        <v>3559.2946343277763</v>
      </c>
      <c r="S22">
        <v>-47558.427579517243</v>
      </c>
      <c r="T22">
        <v>3559.2946343277763</v>
      </c>
    </row>
    <row r="23" spans="1:20" ht="15" thickBot="1" x14ac:dyDescent="0.35">
      <c r="A23">
        <f t="array" ref="A23:B27">LINEST(C2:C13,A2:A13,1,1)</f>
        <v>4.311188811188812E-3</v>
      </c>
      <c r="B23">
        <v>-8.6690734265734282</v>
      </c>
      <c r="D23" t="s">
        <v>121</v>
      </c>
      <c r="E23" t="s">
        <v>122</v>
      </c>
      <c r="L23" s="19" t="s">
        <v>103</v>
      </c>
      <c r="M23" s="19">
        <v>7.5887983249854178</v>
      </c>
      <c r="N23" s="19">
        <v>7.5878608056568329</v>
      </c>
      <c r="O23" s="19">
        <v>1.0001235551564001</v>
      </c>
      <c r="P23" s="19">
        <v>0.36316318585924234</v>
      </c>
      <c r="Q23" s="19">
        <v>-11.91641883337277</v>
      </c>
      <c r="R23" s="19">
        <v>27.094015483343608</v>
      </c>
      <c r="S23" s="19">
        <v>-11.91641883337277</v>
      </c>
      <c r="T23" s="19">
        <v>27.094015483343608</v>
      </c>
    </row>
    <row r="24" spans="1:20" x14ac:dyDescent="0.3">
      <c r="A24">
        <v>1.9073655719621142E-3</v>
      </c>
      <c r="B24">
        <v>3.8481156745000078</v>
      </c>
    </row>
    <row r="25" spans="1:20" x14ac:dyDescent="0.3">
      <c r="A25">
        <v>0.33813783303303363</v>
      </c>
      <c r="B25">
        <v>2.280877484193769E-2</v>
      </c>
    </row>
    <row r="26" spans="1:20" x14ac:dyDescent="0.3">
      <c r="A26">
        <v>5.10888595706529</v>
      </c>
      <c r="B26">
        <v>10</v>
      </c>
    </row>
    <row r="27" spans="1:20" x14ac:dyDescent="0.3">
      <c r="A27">
        <v>2.657847902097903E-3</v>
      </c>
      <c r="B27">
        <v>5.202402097902098E-3</v>
      </c>
      <c r="L27" t="s">
        <v>110</v>
      </c>
    </row>
    <row r="28" spans="1:20" ht="15" thickBot="1" x14ac:dyDescent="0.35"/>
    <row r="29" spans="1:20" x14ac:dyDescent="0.3">
      <c r="D29" t="s">
        <v>116</v>
      </c>
      <c r="L29" s="20" t="s">
        <v>111</v>
      </c>
      <c r="M29" s="20" t="s">
        <v>112</v>
      </c>
      <c r="N29" s="20" t="s">
        <v>113</v>
      </c>
    </row>
    <row r="30" spans="1:20" x14ac:dyDescent="0.3">
      <c r="A30" s="39">
        <f t="array" ref="A30:B34">LINEST(D2:D13,A2:A13,1,1)</f>
        <v>1.6030459730300219E-5</v>
      </c>
      <c r="B30">
        <v>-3.1997480229947313E-2</v>
      </c>
      <c r="D30" t="s">
        <v>121</v>
      </c>
      <c r="E30" t="s">
        <v>123</v>
      </c>
      <c r="L30">
        <v>1</v>
      </c>
      <c r="M30">
        <v>0.50324220147602849</v>
      </c>
      <c r="N30">
        <v>-3.3242201476028521E-2</v>
      </c>
    </row>
    <row r="31" spans="1:20" x14ac:dyDescent="0.3">
      <c r="A31">
        <v>3.7005788730070762E-6</v>
      </c>
      <c r="B31">
        <v>7.465928805296145E-3</v>
      </c>
      <c r="L31">
        <v>2</v>
      </c>
      <c r="M31">
        <v>0.45572774982617092</v>
      </c>
      <c r="N31">
        <v>2.4272250173829057E-2</v>
      </c>
    </row>
    <row r="32" spans="1:20" x14ac:dyDescent="0.3">
      <c r="A32">
        <v>0.65235741095467159</v>
      </c>
      <c r="B32">
        <v>4.4252487063830934E-5</v>
      </c>
      <c r="L32">
        <v>3</v>
      </c>
      <c r="M32">
        <v>0.43763540584335692</v>
      </c>
      <c r="N32">
        <v>3.2364594156643056E-2</v>
      </c>
    </row>
    <row r="33" spans="1:14" x14ac:dyDescent="0.3">
      <c r="A33">
        <v>18.765175255026413</v>
      </c>
      <c r="B33">
        <v>10</v>
      </c>
      <c r="L33">
        <v>4</v>
      </c>
      <c r="M33">
        <v>0.44084767185280871</v>
      </c>
      <c r="N33">
        <v>1.9152328147191311E-2</v>
      </c>
    </row>
    <row r="34" spans="1:14" x14ac:dyDescent="0.3">
      <c r="A34">
        <v>3.6747516400563122E-8</v>
      </c>
      <c r="B34">
        <v>1.9582826113345242E-8</v>
      </c>
      <c r="L34">
        <v>5</v>
      </c>
      <c r="M34">
        <v>0.42931575944450895</v>
      </c>
      <c r="N34">
        <v>-2.9315759444508926E-2</v>
      </c>
    </row>
    <row r="35" spans="1:14" x14ac:dyDescent="0.3">
      <c r="L35">
        <v>6</v>
      </c>
      <c r="M35">
        <v>0.43737558412747646</v>
      </c>
      <c r="N35">
        <v>2.6244158725235445E-3</v>
      </c>
    </row>
    <row r="36" spans="1:14" x14ac:dyDescent="0.3">
      <c r="D36" t="s">
        <v>117</v>
      </c>
      <c r="L36">
        <v>7</v>
      </c>
      <c r="M36">
        <v>0.47450795088025588</v>
      </c>
      <c r="N36">
        <v>-2.4507950880255869E-2</v>
      </c>
    </row>
    <row r="37" spans="1:14" x14ac:dyDescent="0.3">
      <c r="A37">
        <f t="array" ref="A37:B41">LINEST(E2:E13,A2:A13,1,1)</f>
        <v>-3.0244755244755251E-3</v>
      </c>
      <c r="B37">
        <v>6.1519627039627052</v>
      </c>
      <c r="D37" t="s">
        <v>121</v>
      </c>
      <c r="E37" s="38" t="s">
        <v>124</v>
      </c>
      <c r="L37">
        <v>8</v>
      </c>
      <c r="M37">
        <v>0.40126829986826706</v>
      </c>
      <c r="N37">
        <v>-1.2682998682670421E-3</v>
      </c>
    </row>
    <row r="38" spans="1:14" x14ac:dyDescent="0.3">
      <c r="A38">
        <v>6.5035278340975296E-4</v>
      </c>
      <c r="B38">
        <v>1.3120886612309519</v>
      </c>
      <c r="L38">
        <v>9</v>
      </c>
      <c r="M38">
        <v>0.41380919214476286</v>
      </c>
      <c r="N38">
        <v>-3.8091921447628851E-3</v>
      </c>
    </row>
    <row r="39" spans="1:14" x14ac:dyDescent="0.3">
      <c r="A39">
        <v>0.68381738061546371</v>
      </c>
      <c r="B39">
        <v>7.7770881590155747E-3</v>
      </c>
      <c r="L39">
        <v>10</v>
      </c>
      <c r="M39">
        <v>0.57620378762861568</v>
      </c>
      <c r="N39">
        <v>1.3796212371384287E-2</v>
      </c>
    </row>
    <row r="40" spans="1:14" x14ac:dyDescent="0.3">
      <c r="A40">
        <v>21.627291909547242</v>
      </c>
      <c r="B40">
        <v>10</v>
      </c>
      <c r="L40">
        <v>11</v>
      </c>
      <c r="M40">
        <v>0.60530324091329124</v>
      </c>
      <c r="N40">
        <v>1.4696759086708755E-2</v>
      </c>
    </row>
    <row r="41" spans="1:14" ht="15" thickBot="1" x14ac:dyDescent="0.35">
      <c r="A41">
        <v>1.3080856643356642E-3</v>
      </c>
      <c r="B41">
        <v>6.0483100233100259E-4</v>
      </c>
      <c r="L41" s="19">
        <v>12</v>
      </c>
      <c r="M41" s="19">
        <v>0.58476315599445838</v>
      </c>
      <c r="N41" s="19">
        <v>-1.4763155994458432E-2</v>
      </c>
    </row>
    <row r="43" spans="1:14" x14ac:dyDescent="0.3">
      <c r="D43" t="s">
        <v>104</v>
      </c>
    </row>
    <row r="44" spans="1:14" x14ac:dyDescent="0.3">
      <c r="A44">
        <f t="array" ref="A44:B48">LINEST(F2:F13,A2:A13,1,1)</f>
        <v>1.9510489510489528E-2</v>
      </c>
      <c r="B44">
        <v>-36.34741258741262</v>
      </c>
      <c r="D44" t="s">
        <v>121</v>
      </c>
      <c r="E44" t="s">
        <v>125</v>
      </c>
    </row>
    <row r="45" spans="1:14" x14ac:dyDescent="0.3">
      <c r="A45">
        <v>1.2073948556800367E-2</v>
      </c>
      <c r="B45">
        <v>24.359226871613636</v>
      </c>
    </row>
    <row r="46" spans="1:14" x14ac:dyDescent="0.3">
      <c r="A46">
        <v>0.20705312184962285</v>
      </c>
      <c r="B46">
        <v>0.14438342504101159</v>
      </c>
    </row>
    <row r="47" spans="1:14" x14ac:dyDescent="0.3">
      <c r="A47">
        <v>2.6111852830872309</v>
      </c>
      <c r="B47">
        <v>10</v>
      </c>
    </row>
    <row r="48" spans="1:14" x14ac:dyDescent="0.3">
      <c r="A48">
        <v>5.4434265734265852E-2</v>
      </c>
      <c r="B48">
        <v>0.20846573426573417</v>
      </c>
    </row>
    <row r="50" spans="1:5" x14ac:dyDescent="0.3">
      <c r="D50" t="s">
        <v>118</v>
      </c>
    </row>
    <row r="51" spans="1:5" x14ac:dyDescent="0.3">
      <c r="A51" s="40">
        <f t="array" ref="A51:B55">LINEST(G2:G13,A2:A13,1,1)</f>
        <v>7.4866736776684362E-7</v>
      </c>
      <c r="B51">
        <v>-1.5004180588215092E-3</v>
      </c>
      <c r="D51" t="s">
        <v>121</v>
      </c>
      <c r="E51" t="s">
        <v>126</v>
      </c>
    </row>
    <row r="52" spans="1:5" x14ac:dyDescent="0.3">
      <c r="A52">
        <v>7.7412555920356057E-8</v>
      </c>
      <c r="B52">
        <v>1.5618006019359331E-4</v>
      </c>
    </row>
    <row r="53" spans="1:5" x14ac:dyDescent="0.3">
      <c r="A53">
        <v>0.90341045546929843</v>
      </c>
      <c r="B53">
        <v>9.2571952848553547E-7</v>
      </c>
    </row>
    <row r="54" spans="1:5" x14ac:dyDescent="0.3">
      <c r="A54">
        <v>93.530874367270997</v>
      </c>
      <c r="B54">
        <v>10</v>
      </c>
    </row>
    <row r="55" spans="1:5" x14ac:dyDescent="0.3">
      <c r="A55">
        <v>8.0151904340927585E-11</v>
      </c>
      <c r="B55">
        <v>8.5695664541948213E-12</v>
      </c>
    </row>
    <row r="57" spans="1:5" x14ac:dyDescent="0.3">
      <c r="D57" t="s">
        <v>119</v>
      </c>
    </row>
    <row r="58" spans="1:5" x14ac:dyDescent="0.3">
      <c r="A58">
        <f t="array" ref="A58:B62">LINEST(H2:H13,A2:A13,1,1)</f>
        <v>1.1678756839870279E-3</v>
      </c>
      <c r="B58">
        <v>-1.767824262126183</v>
      </c>
      <c r="D58" t="s">
        <v>121</v>
      </c>
      <c r="E58" t="s">
        <v>127</v>
      </c>
    </row>
    <row r="59" spans="1:5" x14ac:dyDescent="0.3">
      <c r="A59">
        <v>2.1372882149051279E-4</v>
      </c>
      <c r="B59">
        <v>0.43119852856733476</v>
      </c>
    </row>
    <row r="60" spans="1:5" x14ac:dyDescent="0.3">
      <c r="A60">
        <v>0.74911208036529742</v>
      </c>
      <c r="B60">
        <v>2.5558249756993255E-3</v>
      </c>
    </row>
    <row r="61" spans="1:5" x14ac:dyDescent="0.3">
      <c r="A61">
        <v>29.858435649513066</v>
      </c>
      <c r="B61">
        <v>10</v>
      </c>
    </row>
    <row r="62" spans="1:5" x14ac:dyDescent="0.3">
      <c r="A62">
        <v>1.9504250669448808E-4</v>
      </c>
      <c r="B62">
        <v>6.5322413064084574E-5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workbookViewId="0">
      <selection activeCell="H1" sqref="H1"/>
    </sheetView>
  </sheetViews>
  <sheetFormatPr defaultRowHeight="14.4" x14ac:dyDescent="0.3"/>
  <cols>
    <col min="7" max="7" width="13.33203125" customWidth="1"/>
    <col min="14" max="14" width="11.88671875" customWidth="1"/>
  </cols>
  <sheetData>
    <row r="1" spans="1:8" x14ac:dyDescent="0.3">
      <c r="A1" t="s">
        <v>97</v>
      </c>
      <c r="B1" t="s">
        <v>107</v>
      </c>
      <c r="C1" t="s">
        <v>106</v>
      </c>
      <c r="D1" t="s">
        <v>108</v>
      </c>
      <c r="E1" t="s">
        <v>105</v>
      </c>
      <c r="F1" t="s">
        <v>104</v>
      </c>
      <c r="G1" t="s">
        <v>109</v>
      </c>
      <c r="H1" t="s">
        <v>103</v>
      </c>
    </row>
    <row r="2" spans="1:8" x14ac:dyDescent="0.3">
      <c r="A2">
        <v>2012</v>
      </c>
      <c r="B2" s="18">
        <v>0.47</v>
      </c>
      <c r="C2" s="14">
        <v>2.7999999999999997E-2</v>
      </c>
      <c r="D2" s="15">
        <v>2.5429706710245023E-4</v>
      </c>
      <c r="E2" s="14">
        <v>7.8E-2</v>
      </c>
      <c r="F2">
        <v>3.13</v>
      </c>
      <c r="G2" s="13">
        <v>6.7498604230897275E-6</v>
      </c>
      <c r="H2" s="14">
        <v>0.58470894520833749</v>
      </c>
    </row>
    <row r="3" spans="1:8" x14ac:dyDescent="0.3">
      <c r="A3">
        <v>2013</v>
      </c>
      <c r="B3" s="18">
        <v>0.48</v>
      </c>
      <c r="C3" s="14">
        <v>2.6000000000000002E-2</v>
      </c>
      <c r="D3" s="15">
        <v>2.1838945266299418E-4</v>
      </c>
      <c r="E3" s="14">
        <v>7.1999999999999995E-2</v>
      </c>
      <c r="F3">
        <v>3.03</v>
      </c>
      <c r="G3" s="13">
        <v>7.6124323499672257E-6</v>
      </c>
      <c r="H3" s="14">
        <v>0.58441066167975764</v>
      </c>
    </row>
    <row r="4" spans="1:8" x14ac:dyDescent="0.3">
      <c r="A4">
        <v>2014</v>
      </c>
      <c r="B4" s="18">
        <v>0.47</v>
      </c>
      <c r="C4" s="14">
        <v>1.4999999999999999E-2</v>
      </c>
      <c r="D4" s="15">
        <v>3.5450698821513503E-4</v>
      </c>
      <c r="E4" s="14">
        <v>5.7000000000000002E-2</v>
      </c>
      <c r="F4">
        <v>2.92</v>
      </c>
      <c r="G4" s="13">
        <v>6.8424492921873226E-6</v>
      </c>
      <c r="H4" s="14">
        <v>0.58202465541025217</v>
      </c>
    </row>
    <row r="5" spans="1:8" x14ac:dyDescent="0.3">
      <c r="A5">
        <v>2015</v>
      </c>
      <c r="B5" s="18">
        <v>0.46</v>
      </c>
      <c r="C5" s="14">
        <v>0</v>
      </c>
      <c r="D5" s="15">
        <v>2.7645506826458923E-4</v>
      </c>
      <c r="E5" s="14">
        <v>5.0999999999999997E-2</v>
      </c>
      <c r="F5">
        <v>2.86</v>
      </c>
      <c r="G5" s="13">
        <v>7.4950040729510865E-6</v>
      </c>
      <c r="H5" s="14">
        <v>0.58732364827903227</v>
      </c>
    </row>
    <row r="6" spans="1:8" x14ac:dyDescent="0.3">
      <c r="A6">
        <v>2016</v>
      </c>
      <c r="B6" s="18">
        <v>0.4</v>
      </c>
      <c r="C6" s="14">
        <v>6.9999999999999993E-3</v>
      </c>
      <c r="D6" s="15">
        <v>2.7875915131639285E-4</v>
      </c>
      <c r="E6" s="14">
        <v>4.8000000000000001E-2</v>
      </c>
      <c r="F6">
        <v>2.87</v>
      </c>
      <c r="G6" s="13">
        <v>8.0124215077826592E-6</v>
      </c>
      <c r="H6" s="14">
        <v>0.58508290046435951</v>
      </c>
    </row>
    <row r="7" spans="1:8" x14ac:dyDescent="0.3">
      <c r="A7">
        <v>2017</v>
      </c>
      <c r="B7" s="18">
        <v>0.44</v>
      </c>
      <c r="C7" s="14">
        <v>2.7000000000000003E-2</v>
      </c>
      <c r="D7" s="15">
        <v>4.0732745446249408E-4</v>
      </c>
      <c r="E7" s="14">
        <v>4.3999999999999997E-2</v>
      </c>
      <c r="F7">
        <v>2.9</v>
      </c>
      <c r="G7" s="13">
        <v>9.0096593087428984E-6</v>
      </c>
      <c r="H7" s="14">
        <v>0.58394420120573942</v>
      </c>
    </row>
    <row r="8" spans="1:8" x14ac:dyDescent="0.3">
      <c r="A8">
        <v>2018</v>
      </c>
      <c r="B8" s="18">
        <v>0.45</v>
      </c>
      <c r="C8" s="14">
        <v>2.5000000000000001E-2</v>
      </c>
      <c r="D8" s="15">
        <v>3.7780979477462263E-4</v>
      </c>
      <c r="E8" s="14">
        <v>0.04</v>
      </c>
      <c r="F8">
        <v>2.89</v>
      </c>
      <c r="G8" s="13">
        <v>9.0614142013674424E-6</v>
      </c>
      <c r="H8" s="14">
        <v>0.58852985354652931</v>
      </c>
    </row>
    <row r="9" spans="1:8" x14ac:dyDescent="0.3">
      <c r="A9">
        <v>2019</v>
      </c>
      <c r="B9" s="18">
        <v>0.4</v>
      </c>
      <c r="C9" s="14">
        <v>1.8000000000000002E-2</v>
      </c>
      <c r="D9" s="15">
        <v>3.2636291022657582E-4</v>
      </c>
      <c r="E9" s="14">
        <v>0.04</v>
      </c>
      <c r="F9">
        <v>2.87</v>
      </c>
      <c r="G9" s="13">
        <v>1.2395802278330494E-5</v>
      </c>
      <c r="H9" s="14">
        <v>0.59038528511499067</v>
      </c>
    </row>
    <row r="10" spans="1:8" x14ac:dyDescent="0.3">
      <c r="A10">
        <v>2020</v>
      </c>
      <c r="B10" s="18">
        <v>0.41</v>
      </c>
      <c r="C10" s="14">
        <v>9.0000000000000011E-3</v>
      </c>
      <c r="D10" s="15">
        <v>4.2485803517827513E-4</v>
      </c>
      <c r="E10" s="14">
        <v>5.2999999999999999E-2</v>
      </c>
      <c r="F10">
        <v>3.05</v>
      </c>
      <c r="G10" s="13">
        <v>1.2268707471990191E-5</v>
      </c>
      <c r="H10" s="14">
        <v>0.58755201689800518</v>
      </c>
    </row>
    <row r="11" spans="1:8" x14ac:dyDescent="0.3">
      <c r="A11">
        <v>2021</v>
      </c>
      <c r="B11" s="18">
        <v>0.59</v>
      </c>
      <c r="C11" s="14">
        <v>2.6000000000000002E-2</v>
      </c>
      <c r="D11" s="15">
        <v>3.8237213283939082E-4</v>
      </c>
      <c r="E11" s="14">
        <v>4.1000000000000002E-2</v>
      </c>
      <c r="F11">
        <v>3.31</v>
      </c>
      <c r="G11" s="13">
        <v>1.3759375173826898E-5</v>
      </c>
      <c r="H11" s="14">
        <v>0.59464236034392326</v>
      </c>
    </row>
    <row r="12" spans="1:8" x14ac:dyDescent="0.3">
      <c r="A12">
        <v>2022</v>
      </c>
      <c r="B12" s="18">
        <v>0.62</v>
      </c>
      <c r="C12" s="14">
        <v>9.0999999999999998E-2</v>
      </c>
      <c r="D12" s="15">
        <v>3.9735099337748344E-4</v>
      </c>
      <c r="E12" s="14">
        <v>3.7999999999999999E-2</v>
      </c>
      <c r="F12">
        <v>3.12</v>
      </c>
      <c r="G12" s="13">
        <v>1.2877115526122149E-5</v>
      </c>
      <c r="H12" s="14">
        <v>0.59698638908125079</v>
      </c>
    </row>
    <row r="13" spans="1:8" x14ac:dyDescent="0.3">
      <c r="A13">
        <v>2023</v>
      </c>
      <c r="B13" s="18">
        <v>0.56999999999999995</v>
      </c>
      <c r="C13" s="14">
        <v>7.2999999999999995E-2</v>
      </c>
      <c r="D13" s="15">
        <v>4.2917826278013771E-4</v>
      </c>
      <c r="E13" s="14">
        <v>3.9E-2</v>
      </c>
      <c r="F13">
        <v>3.23</v>
      </c>
      <c r="G13" s="23">
        <v>1.4136026170815394E-5</v>
      </c>
      <c r="H13" s="22">
        <v>0.59478824657957441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O13" sqref="O1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3"/>
  <sheetViews>
    <sheetView workbookViewId="0">
      <selection activeCell="B1" sqref="B1"/>
    </sheetView>
  </sheetViews>
  <sheetFormatPr defaultRowHeight="14.4" x14ac:dyDescent="0.3"/>
  <sheetData>
    <row r="1" spans="1:10" x14ac:dyDescent="0.3">
      <c r="A1" t="s">
        <v>97</v>
      </c>
      <c r="B1" t="s">
        <v>107</v>
      </c>
      <c r="C1" t="s">
        <v>129</v>
      </c>
      <c r="D1" t="s">
        <v>104</v>
      </c>
    </row>
    <row r="2" spans="1:10" x14ac:dyDescent="0.3">
      <c r="A2">
        <v>2012</v>
      </c>
      <c r="B2" s="18">
        <v>0.47</v>
      </c>
      <c r="C2" s="14">
        <v>2.7999999999999997E-2</v>
      </c>
      <c r="D2">
        <v>3.13</v>
      </c>
    </row>
    <row r="3" spans="1:10" x14ac:dyDescent="0.3">
      <c r="A3">
        <v>2013</v>
      </c>
      <c r="B3" s="18">
        <v>0.48</v>
      </c>
      <c r="C3" s="14">
        <v>2.6000000000000002E-2</v>
      </c>
      <c r="D3">
        <v>3.03</v>
      </c>
      <c r="H3">
        <f t="array" ref="H3:J7">LINEST(B2:B13,C2:D13,1,1)</f>
        <v>0.23531294534148253</v>
      </c>
      <c r="I3">
        <v>1.4330618685595238</v>
      </c>
      <c r="J3">
        <v>-0.27066905892565596</v>
      </c>
    </row>
    <row r="4" spans="1:10" x14ac:dyDescent="0.3">
      <c r="A4">
        <v>2014</v>
      </c>
      <c r="B4" s="18">
        <v>0.47</v>
      </c>
      <c r="C4" s="14">
        <v>1.4999999999999999E-2</v>
      </c>
      <c r="D4">
        <v>2.92</v>
      </c>
      <c r="H4">
        <v>8.8456854753680286E-2</v>
      </c>
      <c r="I4">
        <v>0.5115741679826683</v>
      </c>
      <c r="J4">
        <v>0.25893844430232082</v>
      </c>
    </row>
    <row r="5" spans="1:10" x14ac:dyDescent="0.3">
      <c r="A5">
        <v>2015</v>
      </c>
      <c r="B5" s="18">
        <v>0.46</v>
      </c>
      <c r="C5" s="14">
        <v>0</v>
      </c>
      <c r="D5">
        <v>2.86</v>
      </c>
      <c r="H5">
        <v>0.79111607598753475</v>
      </c>
      <c r="I5">
        <v>3.7503134380350113E-2</v>
      </c>
      <c r="J5" t="e">
        <v>#N/A</v>
      </c>
    </row>
    <row r="6" spans="1:10" x14ac:dyDescent="0.3">
      <c r="A6">
        <v>2016</v>
      </c>
      <c r="B6" s="18">
        <v>0.4</v>
      </c>
      <c r="C6" s="14">
        <v>6.9999999999999993E-3</v>
      </c>
      <c r="D6">
        <v>2.87</v>
      </c>
      <c r="H6">
        <v>17.043065227611578</v>
      </c>
      <c r="I6">
        <v>9</v>
      </c>
      <c r="J6" t="e">
        <v>#N/A</v>
      </c>
    </row>
    <row r="7" spans="1:10" x14ac:dyDescent="0.3">
      <c r="A7">
        <v>2017</v>
      </c>
      <c r="B7" s="18">
        <v>0.44</v>
      </c>
      <c r="C7" s="14">
        <v>2.7000000000000003E-2</v>
      </c>
      <c r="D7">
        <v>2.9</v>
      </c>
      <c r="H7">
        <v>4.7941634204844583E-2</v>
      </c>
      <c r="I7">
        <v>1.2658365795155389E-2</v>
      </c>
      <c r="J7" t="e">
        <v>#N/A</v>
      </c>
    </row>
    <row r="8" spans="1:10" x14ac:dyDescent="0.3">
      <c r="A8">
        <v>2018</v>
      </c>
      <c r="B8" s="18">
        <v>0.45</v>
      </c>
      <c r="C8" s="14">
        <v>2.5000000000000001E-2</v>
      </c>
      <c r="D8">
        <v>2.89</v>
      </c>
    </row>
    <row r="9" spans="1:10" x14ac:dyDescent="0.3">
      <c r="A9">
        <v>2019</v>
      </c>
      <c r="B9" s="18">
        <v>0.4</v>
      </c>
      <c r="C9" s="14">
        <v>1.8000000000000002E-2</v>
      </c>
      <c r="D9">
        <v>2.87</v>
      </c>
      <c r="G9" t="s">
        <v>182</v>
      </c>
    </row>
    <row r="10" spans="1:10" x14ac:dyDescent="0.3">
      <c r="A10">
        <v>2020</v>
      </c>
      <c r="B10" s="18">
        <v>0.41</v>
      </c>
      <c r="C10" s="14">
        <v>9.0000000000000011E-3</v>
      </c>
      <c r="D10">
        <v>3.05</v>
      </c>
    </row>
    <row r="11" spans="1:10" x14ac:dyDescent="0.3">
      <c r="A11">
        <v>2021</v>
      </c>
      <c r="B11" s="18">
        <v>0.59</v>
      </c>
      <c r="C11" s="14">
        <v>2.6000000000000002E-2</v>
      </c>
      <c r="D11">
        <v>3.31</v>
      </c>
    </row>
    <row r="12" spans="1:10" x14ac:dyDescent="0.3">
      <c r="A12">
        <v>2022</v>
      </c>
      <c r="B12" s="18">
        <v>0.62</v>
      </c>
      <c r="C12" s="14">
        <v>9.0999999999999998E-2</v>
      </c>
      <c r="D12">
        <v>3.12</v>
      </c>
    </row>
    <row r="13" spans="1:10" x14ac:dyDescent="0.3">
      <c r="A13">
        <v>2023</v>
      </c>
      <c r="B13" s="18">
        <v>0.56999999999999995</v>
      </c>
      <c r="C13" s="14">
        <v>7.2999999999999995E-2</v>
      </c>
      <c r="D13">
        <v>3.23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285ED-1E6B-44E9-A6F1-F975D3D4428D}">
  <dimension ref="A1:O20"/>
  <sheetViews>
    <sheetView workbookViewId="0">
      <selection activeCell="B21" sqref="B21"/>
    </sheetView>
  </sheetViews>
  <sheetFormatPr defaultRowHeight="14.4" x14ac:dyDescent="0.3"/>
  <sheetData>
    <row r="1" spans="1:15" x14ac:dyDescent="0.3">
      <c r="A1" t="s">
        <v>97</v>
      </c>
      <c r="B1" t="s">
        <v>107</v>
      </c>
      <c r="C1" t="s">
        <v>129</v>
      </c>
      <c r="D1" t="s">
        <v>104</v>
      </c>
      <c r="E1" t="s">
        <v>131</v>
      </c>
      <c r="F1" t="s">
        <v>132</v>
      </c>
      <c r="G1" t="s">
        <v>130</v>
      </c>
    </row>
    <row r="2" spans="1:15" x14ac:dyDescent="0.3">
      <c r="A2">
        <v>2012</v>
      </c>
      <c r="B2" s="18">
        <v>0.47</v>
      </c>
      <c r="C2" s="14">
        <v>2.7999999999999997E-2</v>
      </c>
      <c r="D2">
        <v>3.13</v>
      </c>
      <c r="E2">
        <f>G2^2</f>
        <v>0.25602202681125746</v>
      </c>
      <c r="F2">
        <f>G2^3</f>
        <v>0.12954361049444682</v>
      </c>
      <c r="G2" cm="1">
        <f t="array" ref="G2:G13">TREND(B2:B13,C2:D13,,1)</f>
        <v>0.50598619231285102</v>
      </c>
      <c r="K2" cm="1">
        <f t="array" ref="K2:O6">LINEST(B2:B13,C2:F13,1,1)</f>
        <v>-147.70436894303148</v>
      </c>
      <c r="L2">
        <v>221.59099054352166</v>
      </c>
      <c r="M2">
        <v>-25.68832609250175</v>
      </c>
      <c r="N2">
        <v>-155.28297710958245</v>
      </c>
      <c r="O2">
        <v>47.667066972283713</v>
      </c>
    </row>
    <row r="3" spans="1:15" x14ac:dyDescent="0.3">
      <c r="A3">
        <v>2013</v>
      </c>
      <c r="B3" s="18">
        <v>0.48</v>
      </c>
      <c r="C3" s="14">
        <v>2.6000000000000002E-2</v>
      </c>
      <c r="D3">
        <v>3.03</v>
      </c>
      <c r="E3">
        <f t="shared" ref="E3:E13" si="0">G3^2</f>
        <v>0.23000539218670926</v>
      </c>
      <c r="F3">
        <f t="shared" ref="F3:F13" si="1">G3^3</f>
        <v>0.11030800406177756</v>
      </c>
      <c r="G3">
        <v>0.47958877404158373</v>
      </c>
      <c r="K3">
        <v>94.056592826486337</v>
      </c>
      <c r="L3">
        <v>138.15858552741736</v>
      </c>
      <c r="M3">
        <v>15.854734910132297</v>
      </c>
      <c r="N3">
        <v>95.418171021547295</v>
      </c>
      <c r="O3">
        <v>29.119675404008404</v>
      </c>
    </row>
    <row r="4" spans="1:15" x14ac:dyDescent="0.3">
      <c r="A4">
        <v>2014</v>
      </c>
      <c r="B4" s="18">
        <v>0.47</v>
      </c>
      <c r="C4" s="14">
        <v>1.4999999999999999E-2</v>
      </c>
      <c r="D4">
        <v>2.92</v>
      </c>
      <c r="E4">
        <f t="shared" si="0"/>
        <v>0.19179203000199074</v>
      </c>
      <c r="F4">
        <f t="shared" si="1"/>
        <v>8.3993530023810187E-2</v>
      </c>
      <c r="G4">
        <v>0.43794066949986588</v>
      </c>
      <c r="K4">
        <v>0.87057991392764578</v>
      </c>
      <c r="L4">
        <v>3.3472498767078841E-2</v>
      </c>
      <c r="M4" t="e">
        <v>#N/A</v>
      </c>
      <c r="N4" t="e">
        <v>#N/A</v>
      </c>
      <c r="O4" t="e">
        <v>#N/A</v>
      </c>
    </row>
    <row r="5" spans="1:15" x14ac:dyDescent="0.3">
      <c r="A5">
        <v>2015</v>
      </c>
      <c r="B5" s="18">
        <v>0.46</v>
      </c>
      <c r="C5" s="14">
        <v>0</v>
      </c>
      <c r="D5">
        <v>2.86</v>
      </c>
      <c r="E5">
        <f t="shared" si="0"/>
        <v>0.16186618191281005</v>
      </c>
      <c r="F5">
        <f t="shared" si="1"/>
        <v>6.5122967798629583E-2</v>
      </c>
      <c r="G5">
        <v>0.40232596475098403</v>
      </c>
      <c r="K5">
        <v>11.771857797418221</v>
      </c>
      <c r="L5">
        <v>7</v>
      </c>
      <c r="M5" t="e">
        <v>#N/A</v>
      </c>
      <c r="N5" t="e">
        <v>#N/A</v>
      </c>
      <c r="O5" t="e">
        <v>#N/A</v>
      </c>
    </row>
    <row r="6" spans="1:15" x14ac:dyDescent="0.3">
      <c r="A6">
        <v>2016</v>
      </c>
      <c r="B6" s="18">
        <v>0.4</v>
      </c>
      <c r="C6" s="14">
        <v>6.9999999999999993E-3</v>
      </c>
      <c r="D6">
        <v>2.87</v>
      </c>
      <c r="E6">
        <f t="shared" si="0"/>
        <v>0.17198482144043514</v>
      </c>
      <c r="F6">
        <f t="shared" si="1"/>
        <v>7.1323915984461736E-2</v>
      </c>
      <c r="G6">
        <v>0.41471052728431568</v>
      </c>
      <c r="K6">
        <v>5.2757142784015311E-2</v>
      </c>
      <c r="L6">
        <v>7.8428572159846607E-3</v>
      </c>
      <c r="M6" t="e">
        <v>#N/A</v>
      </c>
      <c r="N6" t="e">
        <v>#N/A</v>
      </c>
      <c r="O6" t="e">
        <v>#N/A</v>
      </c>
    </row>
    <row r="7" spans="1:15" x14ac:dyDescent="0.3">
      <c r="A7">
        <v>2017</v>
      </c>
      <c r="B7" s="18">
        <v>0.44</v>
      </c>
      <c r="C7" s="14">
        <v>2.7000000000000003E-2</v>
      </c>
      <c r="D7">
        <v>2.9</v>
      </c>
      <c r="E7">
        <f t="shared" si="0"/>
        <v>0.20288822360709849</v>
      </c>
      <c r="F7">
        <f t="shared" si="1"/>
        <v>9.1387176492662786E-2</v>
      </c>
      <c r="G7">
        <v>0.45043115301575054</v>
      </c>
    </row>
    <row r="8" spans="1:15" x14ac:dyDescent="0.3">
      <c r="A8">
        <v>2018</v>
      </c>
      <c r="B8" s="18">
        <v>0.45</v>
      </c>
      <c r="C8" s="14">
        <v>2.5000000000000001E-2</v>
      </c>
      <c r="D8">
        <v>2.89</v>
      </c>
      <c r="E8">
        <f t="shared" si="0"/>
        <v>0.19821363574597878</v>
      </c>
      <c r="F8">
        <f t="shared" si="1"/>
        <v>8.8247069341730697E-2</v>
      </c>
      <c r="G8">
        <v>0.44521189982521669</v>
      </c>
    </row>
    <row r="9" spans="1:15" x14ac:dyDescent="0.3">
      <c r="A9">
        <v>2019</v>
      </c>
      <c r="B9" s="18">
        <v>0.4</v>
      </c>
      <c r="C9" s="14">
        <v>1.8000000000000002E-2</v>
      </c>
      <c r="D9">
        <v>2.87</v>
      </c>
      <c r="E9">
        <f t="shared" si="0"/>
        <v>0.18530804361415856</v>
      </c>
      <c r="F9">
        <f t="shared" si="1"/>
        <v>7.977033328090162E-2</v>
      </c>
      <c r="G9">
        <v>0.43047420783847035</v>
      </c>
      <c r="K9" cm="1">
        <f t="array" ref="K9:M13">LINEST(B2:B13,C2:D13,1,1)</f>
        <v>0.23531294534148253</v>
      </c>
      <c r="L9">
        <v>1.4330618685595238</v>
      </c>
      <c r="M9">
        <v>-0.27066905892565596</v>
      </c>
    </row>
    <row r="10" spans="1:15" x14ac:dyDescent="0.3">
      <c r="A10">
        <v>2020</v>
      </c>
      <c r="B10" s="18">
        <v>0.41</v>
      </c>
      <c r="C10" s="14">
        <v>9.0000000000000011E-3</v>
      </c>
      <c r="D10">
        <v>3.05</v>
      </c>
      <c r="E10">
        <f t="shared" si="0"/>
        <v>0.21153834717979123</v>
      </c>
      <c r="F10">
        <f t="shared" si="1"/>
        <v>9.7293462652905005E-2</v>
      </c>
      <c r="G10">
        <v>0.45993298118290149</v>
      </c>
      <c r="K10">
        <v>8.8456854753680286E-2</v>
      </c>
      <c r="L10">
        <v>0.5115741679826683</v>
      </c>
      <c r="M10">
        <v>0.25893844430232082</v>
      </c>
    </row>
    <row r="11" spans="1:15" x14ac:dyDescent="0.3">
      <c r="A11">
        <v>2021</v>
      </c>
      <c r="B11" s="18">
        <v>0.59</v>
      </c>
      <c r="C11" s="14">
        <v>2.6000000000000002E-2</v>
      </c>
      <c r="D11">
        <v>3.31</v>
      </c>
      <c r="E11">
        <f t="shared" si="0"/>
        <v>0.29754450157930357</v>
      </c>
      <c r="F11">
        <f t="shared" si="1"/>
        <v>0.1623035031855333</v>
      </c>
      <c r="G11">
        <v>0.54547639873719889</v>
      </c>
      <c r="K11">
        <v>0.79111607598753475</v>
      </c>
      <c r="L11">
        <v>3.7503134380350113E-2</v>
      </c>
      <c r="M11" t="e">
        <v>#N/A</v>
      </c>
    </row>
    <row r="12" spans="1:15" x14ac:dyDescent="0.3">
      <c r="A12">
        <v>2022</v>
      </c>
      <c r="B12" s="18">
        <v>0.62</v>
      </c>
      <c r="C12" s="14">
        <v>9.0999999999999998E-2</v>
      </c>
      <c r="D12">
        <v>3.12</v>
      </c>
      <c r="E12">
        <f t="shared" si="0"/>
        <v>0.35273616823010356</v>
      </c>
      <c r="F12">
        <f t="shared" si="1"/>
        <v>0.20949564018522701</v>
      </c>
      <c r="G12">
        <v>0.59391596057868623</v>
      </c>
      <c r="K12">
        <v>17.043065227611578</v>
      </c>
      <c r="L12">
        <v>9</v>
      </c>
      <c r="M12" t="e">
        <v>#N/A</v>
      </c>
    </row>
    <row r="13" spans="1:15" x14ac:dyDescent="0.3">
      <c r="A13">
        <v>2023</v>
      </c>
      <c r="B13" s="18">
        <v>0.56999999999999995</v>
      </c>
      <c r="C13" s="14">
        <v>7.2999999999999995E-2</v>
      </c>
      <c r="D13">
        <v>3.23</v>
      </c>
      <c r="E13">
        <f t="shared" si="0"/>
        <v>0.35284226189521012</v>
      </c>
      <c r="F13">
        <f t="shared" si="1"/>
        <v>0.20959016337338676</v>
      </c>
      <c r="G13">
        <v>0.59400527093217792</v>
      </c>
      <c r="K13">
        <v>4.7941634204844583E-2</v>
      </c>
      <c r="L13">
        <v>1.2658365795155389E-2</v>
      </c>
      <c r="M13" t="e">
        <v>#N/A</v>
      </c>
    </row>
    <row r="14" spans="1:15" x14ac:dyDescent="0.3">
      <c r="B14">
        <f>(L13-L6)/2</f>
        <v>2.4077542895853642E-3</v>
      </c>
      <c r="C14">
        <f>L6/H15</f>
        <v>1.1204081737120944E-3</v>
      </c>
    </row>
    <row r="15" spans="1:15" x14ac:dyDescent="0.3">
      <c r="A15" t="s">
        <v>133</v>
      </c>
      <c r="B15">
        <f>B14/C14</f>
        <v>2.1489974333265374</v>
      </c>
      <c r="F15" t="s">
        <v>134</v>
      </c>
      <c r="G15" t="s">
        <v>136</v>
      </c>
      <c r="H15">
        <f>12-5</f>
        <v>7</v>
      </c>
    </row>
    <row r="16" spans="1:15" x14ac:dyDescent="0.3">
      <c r="F16" t="s">
        <v>135</v>
      </c>
    </row>
    <row r="17" spans="1:4" x14ac:dyDescent="0.3">
      <c r="A17" t="s">
        <v>137</v>
      </c>
      <c r="B17">
        <f>_xlfn.F.INV.RT(0.05,2,H15)</f>
        <v>4.7374141277758826</v>
      </c>
    </row>
    <row r="18" spans="1:4" x14ac:dyDescent="0.3">
      <c r="A18" t="s">
        <v>138</v>
      </c>
      <c r="B18">
        <f>_xlfn.F.DIST.RT(B15,2,H15)</f>
        <v>0.18721400509214622</v>
      </c>
      <c r="C18" t="s">
        <v>139</v>
      </c>
      <c r="D18" t="s">
        <v>140</v>
      </c>
    </row>
    <row r="20" spans="1:4" x14ac:dyDescent="0.3">
      <c r="A20" t="s">
        <v>178</v>
      </c>
      <c r="B20" t="s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5D53-71C6-4620-B9C3-3EA793391B42}">
  <dimension ref="A1:AC37"/>
  <sheetViews>
    <sheetView workbookViewId="0">
      <selection activeCell="E18" sqref="E18"/>
    </sheetView>
  </sheetViews>
  <sheetFormatPr defaultRowHeight="14.4" x14ac:dyDescent="0.3"/>
  <sheetData>
    <row r="1" spans="1:29" ht="15.6" x14ac:dyDescent="0.35">
      <c r="A1" t="s">
        <v>97</v>
      </c>
      <c r="B1" t="s">
        <v>107</v>
      </c>
      <c r="C1" t="s">
        <v>129</v>
      </c>
      <c r="D1" t="s">
        <v>104</v>
      </c>
      <c r="E1" s="41" t="s">
        <v>141</v>
      </c>
      <c r="F1" s="41" t="s">
        <v>142</v>
      </c>
      <c r="G1" s="41" t="s">
        <v>143</v>
      </c>
      <c r="H1" s="41" t="s">
        <v>144</v>
      </c>
      <c r="K1" t="s">
        <v>74</v>
      </c>
      <c r="U1" t="s">
        <v>74</v>
      </c>
    </row>
    <row r="2" spans="1:29" ht="15" thickBot="1" x14ac:dyDescent="0.35">
      <c r="A2">
        <v>2012</v>
      </c>
      <c r="B2" s="18">
        <v>0.47</v>
      </c>
      <c r="C2" s="14">
        <v>2.7999999999999997E-2</v>
      </c>
      <c r="D2">
        <v>3.13</v>
      </c>
      <c r="E2">
        <f>C2^2</f>
        <v>7.8399999999999987E-4</v>
      </c>
      <c r="F2">
        <f>D2^2</f>
        <v>9.7968999999999991</v>
      </c>
      <c r="G2">
        <f>C2*D2</f>
        <v>8.7639999999999982E-2</v>
      </c>
      <c r="H2">
        <f>M26^2</f>
        <v>1.2950060371775E-3</v>
      </c>
    </row>
    <row r="3" spans="1:29" x14ac:dyDescent="0.3">
      <c r="A3">
        <v>2013</v>
      </c>
      <c r="B3" s="18">
        <v>0.48</v>
      </c>
      <c r="C3" s="14">
        <v>2.6000000000000002E-2</v>
      </c>
      <c r="D3">
        <v>3.03</v>
      </c>
      <c r="E3">
        <f t="shared" ref="E3:E13" si="0">C3^2</f>
        <v>6.7600000000000017E-4</v>
      </c>
      <c r="F3">
        <f t="shared" ref="F3:F13" si="1">D3^2</f>
        <v>9.1808999999999994</v>
      </c>
      <c r="G3">
        <f t="shared" ref="G3:G13" si="2">C3*D3</f>
        <v>7.8780000000000003E-2</v>
      </c>
      <c r="H3">
        <f t="shared" ref="H3:H13" si="3">M27^2</f>
        <v>1.6910678887536364E-7</v>
      </c>
      <c r="K3" s="21" t="s">
        <v>75</v>
      </c>
      <c r="L3" s="21"/>
      <c r="U3" s="21" t="s">
        <v>75</v>
      </c>
      <c r="V3" s="21"/>
    </row>
    <row r="4" spans="1:29" x14ac:dyDescent="0.3">
      <c r="A4">
        <v>2014</v>
      </c>
      <c r="B4" s="18">
        <v>0.47</v>
      </c>
      <c r="C4" s="14">
        <v>1.4999999999999999E-2</v>
      </c>
      <c r="D4">
        <v>2.92</v>
      </c>
      <c r="E4">
        <f t="shared" si="0"/>
        <v>2.2499999999999999E-4</v>
      </c>
      <c r="F4">
        <f t="shared" si="1"/>
        <v>8.5263999999999989</v>
      </c>
      <c r="G4">
        <f t="shared" si="2"/>
        <v>4.3799999999999999E-2</v>
      </c>
      <c r="H4">
        <f t="shared" si="3"/>
        <v>1.0278006721168285E-3</v>
      </c>
      <c r="K4" t="s">
        <v>76</v>
      </c>
      <c r="L4">
        <v>0.88944706193653522</v>
      </c>
      <c r="U4" t="s">
        <v>76</v>
      </c>
      <c r="V4">
        <v>0.84418030368736185</v>
      </c>
    </row>
    <row r="5" spans="1:29" x14ac:dyDescent="0.3">
      <c r="A5">
        <v>2015</v>
      </c>
      <c r="B5" s="18">
        <v>0.46</v>
      </c>
      <c r="C5" s="14">
        <v>0</v>
      </c>
      <c r="D5">
        <v>2.86</v>
      </c>
      <c r="E5">
        <f t="shared" si="0"/>
        <v>0</v>
      </c>
      <c r="F5">
        <f t="shared" si="1"/>
        <v>8.1795999999999989</v>
      </c>
      <c r="G5">
        <f t="shared" si="2"/>
        <v>0</v>
      </c>
      <c r="H5">
        <f t="shared" si="3"/>
        <v>3.3262943419047385E-3</v>
      </c>
      <c r="K5" t="s">
        <v>77</v>
      </c>
      <c r="L5">
        <v>0.79111607598753475</v>
      </c>
      <c r="U5" t="s">
        <v>77</v>
      </c>
      <c r="V5">
        <v>0.71264038513368655</v>
      </c>
    </row>
    <row r="6" spans="1:29" x14ac:dyDescent="0.3">
      <c r="A6">
        <v>2016</v>
      </c>
      <c r="B6" s="18">
        <v>0.4</v>
      </c>
      <c r="C6" s="14">
        <v>6.9999999999999993E-3</v>
      </c>
      <c r="D6">
        <v>2.87</v>
      </c>
      <c r="E6">
        <f t="shared" si="0"/>
        <v>4.8999999999999992E-5</v>
      </c>
      <c r="F6">
        <f t="shared" si="1"/>
        <v>8.2369000000000003</v>
      </c>
      <c r="G6">
        <f t="shared" si="2"/>
        <v>2.009E-2</v>
      </c>
      <c r="H6">
        <f t="shared" si="3"/>
        <v>2.1639961298259371E-4</v>
      </c>
      <c r="K6" t="s">
        <v>78</v>
      </c>
      <c r="L6">
        <v>0.74469742620698698</v>
      </c>
      <c r="U6" t="s">
        <v>78</v>
      </c>
      <c r="V6">
        <v>0.47317403941175867</v>
      </c>
    </row>
    <row r="7" spans="1:29" x14ac:dyDescent="0.3">
      <c r="A7">
        <v>2017</v>
      </c>
      <c r="B7" s="18">
        <v>0.44</v>
      </c>
      <c r="C7" s="14">
        <v>2.7000000000000003E-2</v>
      </c>
      <c r="D7">
        <v>2.9</v>
      </c>
      <c r="E7">
        <f t="shared" si="0"/>
        <v>7.2900000000000016E-4</v>
      </c>
      <c r="F7">
        <f t="shared" si="1"/>
        <v>8.41</v>
      </c>
      <c r="G7">
        <f t="shared" si="2"/>
        <v>7.8300000000000008E-2</v>
      </c>
      <c r="H7">
        <f t="shared" si="3"/>
        <v>1.0880895323800155E-4</v>
      </c>
      <c r="K7" t="s">
        <v>73</v>
      </c>
      <c r="L7">
        <v>3.7503134380350113E-2</v>
      </c>
      <c r="U7" t="s">
        <v>73</v>
      </c>
      <c r="V7">
        <v>7.6775995114766998E-4</v>
      </c>
    </row>
    <row r="8" spans="1:29" ht="15" thickBot="1" x14ac:dyDescent="0.35">
      <c r="A8">
        <v>2018</v>
      </c>
      <c r="B8" s="18">
        <v>0.45</v>
      </c>
      <c r="C8" s="14">
        <v>2.5000000000000001E-2</v>
      </c>
      <c r="D8">
        <v>2.89</v>
      </c>
      <c r="E8">
        <f t="shared" si="0"/>
        <v>6.2500000000000012E-4</v>
      </c>
      <c r="F8">
        <f t="shared" si="1"/>
        <v>8.3521000000000001</v>
      </c>
      <c r="G8">
        <f t="shared" si="2"/>
        <v>7.2250000000000009E-2</v>
      </c>
      <c r="H8">
        <f t="shared" si="3"/>
        <v>2.2925903283760024E-5</v>
      </c>
      <c r="K8" s="19" t="s">
        <v>79</v>
      </c>
      <c r="L8" s="19">
        <v>12</v>
      </c>
      <c r="U8" s="19" t="s">
        <v>79</v>
      </c>
      <c r="V8" s="19">
        <v>12</v>
      </c>
    </row>
    <row r="9" spans="1:29" x14ac:dyDescent="0.3">
      <c r="A9">
        <v>2019</v>
      </c>
      <c r="B9" s="18">
        <v>0.4</v>
      </c>
      <c r="C9" s="14">
        <v>1.8000000000000002E-2</v>
      </c>
      <c r="D9">
        <v>2.87</v>
      </c>
      <c r="E9">
        <f t="shared" si="0"/>
        <v>3.2400000000000007E-4</v>
      </c>
      <c r="F9">
        <f t="shared" si="1"/>
        <v>8.2369000000000003</v>
      </c>
      <c r="G9">
        <f t="shared" si="2"/>
        <v>5.1660000000000005E-2</v>
      </c>
      <c r="H9">
        <f t="shared" si="3"/>
        <v>9.2867734338228955E-4</v>
      </c>
    </row>
    <row r="10" spans="1:29" ht="15" thickBot="1" x14ac:dyDescent="0.35">
      <c r="A10">
        <v>2020</v>
      </c>
      <c r="B10" s="18">
        <v>0.41</v>
      </c>
      <c r="C10" s="14">
        <v>9.0000000000000011E-3</v>
      </c>
      <c r="D10">
        <v>3.05</v>
      </c>
      <c r="E10">
        <f t="shared" si="0"/>
        <v>8.1000000000000017E-5</v>
      </c>
      <c r="F10">
        <f t="shared" si="1"/>
        <v>9.3024999999999984</v>
      </c>
      <c r="G10">
        <f t="shared" si="2"/>
        <v>2.7450000000000002E-2</v>
      </c>
      <c r="H10">
        <f t="shared" si="3"/>
        <v>2.493302609811991E-3</v>
      </c>
      <c r="K10" t="s">
        <v>80</v>
      </c>
      <c r="U10" t="s">
        <v>80</v>
      </c>
    </row>
    <row r="11" spans="1:29" x14ac:dyDescent="0.3">
      <c r="A11">
        <v>2021</v>
      </c>
      <c r="B11" s="18">
        <v>0.59</v>
      </c>
      <c r="C11" s="14">
        <v>2.6000000000000002E-2</v>
      </c>
      <c r="D11">
        <v>3.31</v>
      </c>
      <c r="E11">
        <f t="shared" si="0"/>
        <v>6.7600000000000017E-4</v>
      </c>
      <c r="F11">
        <f t="shared" si="1"/>
        <v>10.956100000000001</v>
      </c>
      <c r="G11">
        <f t="shared" si="2"/>
        <v>8.6060000000000011E-2</v>
      </c>
      <c r="H11">
        <f t="shared" si="3"/>
        <v>1.9823510694089021E-3</v>
      </c>
      <c r="K11" s="20"/>
      <c r="L11" s="20" t="s">
        <v>85</v>
      </c>
      <c r="M11" s="20" t="s">
        <v>86</v>
      </c>
      <c r="N11" s="20" t="s">
        <v>87</v>
      </c>
      <c r="O11" s="20" t="s">
        <v>88</v>
      </c>
      <c r="P11" s="20" t="s">
        <v>89</v>
      </c>
      <c r="U11" s="20"/>
      <c r="V11" s="20" t="s">
        <v>85</v>
      </c>
      <c r="W11" s="20" t="s">
        <v>86</v>
      </c>
      <c r="X11" s="20" t="s">
        <v>87</v>
      </c>
      <c r="Y11" s="20" t="s">
        <v>88</v>
      </c>
      <c r="Z11" s="20" t="s">
        <v>89</v>
      </c>
    </row>
    <row r="12" spans="1:29" x14ac:dyDescent="0.3">
      <c r="A12">
        <v>2022</v>
      </c>
      <c r="B12" s="18">
        <v>0.62</v>
      </c>
      <c r="C12" s="14">
        <v>9.0999999999999998E-2</v>
      </c>
      <c r="D12">
        <v>3.12</v>
      </c>
      <c r="E12">
        <f t="shared" si="0"/>
        <v>8.2810000000000002E-3</v>
      </c>
      <c r="F12">
        <f t="shared" si="1"/>
        <v>9.7344000000000008</v>
      </c>
      <c r="G12">
        <f t="shared" si="2"/>
        <v>0.28392000000000001</v>
      </c>
      <c r="H12">
        <f t="shared" si="3"/>
        <v>6.8037711253265054E-4</v>
      </c>
      <c r="K12" t="s">
        <v>81</v>
      </c>
      <c r="L12">
        <v>2</v>
      </c>
      <c r="M12">
        <v>4.7941634204844583E-2</v>
      </c>
      <c r="N12">
        <v>2.3970817102422291E-2</v>
      </c>
      <c r="O12">
        <v>17.043065227611578</v>
      </c>
      <c r="P12">
        <v>8.7010683099235028E-4</v>
      </c>
      <c r="U12" t="s">
        <v>81</v>
      </c>
      <c r="V12">
        <v>5</v>
      </c>
      <c r="W12">
        <v>8.7709544548606826E-6</v>
      </c>
      <c r="X12">
        <v>1.7541908909721366E-6</v>
      </c>
      <c r="Y12">
        <v>2.9759521446960053</v>
      </c>
      <c r="Z12">
        <v>0.10840035196839573</v>
      </c>
    </row>
    <row r="13" spans="1:29" x14ac:dyDescent="0.3">
      <c r="A13">
        <v>2023</v>
      </c>
      <c r="B13" s="18">
        <v>0.56999999999999995</v>
      </c>
      <c r="C13" s="14">
        <v>7.2999999999999995E-2</v>
      </c>
      <c r="D13">
        <v>3.23</v>
      </c>
      <c r="E13">
        <f t="shared" si="0"/>
        <v>5.3289999999999995E-3</v>
      </c>
      <c r="F13">
        <f t="shared" si="1"/>
        <v>10.4329</v>
      </c>
      <c r="G13">
        <f t="shared" si="2"/>
        <v>0.23578999999999997</v>
      </c>
      <c r="H13">
        <f t="shared" si="3"/>
        <v>5.7625303252726852E-4</v>
      </c>
      <c r="K13" t="s">
        <v>82</v>
      </c>
      <c r="L13">
        <v>9</v>
      </c>
      <c r="M13">
        <v>1.2658365795155389E-2</v>
      </c>
      <c r="N13">
        <v>1.4064850883505988E-3</v>
      </c>
      <c r="U13" t="s">
        <v>82</v>
      </c>
      <c r="V13">
        <v>6</v>
      </c>
      <c r="W13">
        <v>3.5367320555176357E-6</v>
      </c>
      <c r="X13">
        <v>5.8945534258627261E-7</v>
      </c>
    </row>
    <row r="14" spans="1:29" ht="15" thickBot="1" x14ac:dyDescent="0.35">
      <c r="D14" s="51" t="s">
        <v>148</v>
      </c>
      <c r="E14">
        <f>X12/X13</f>
        <v>2.9759521446960053</v>
      </c>
      <c r="G14" t="s">
        <v>149</v>
      </c>
      <c r="H14">
        <v>12</v>
      </c>
      <c r="K14" s="19" t="s">
        <v>83</v>
      </c>
      <c r="L14" s="19">
        <v>11</v>
      </c>
      <c r="M14" s="19">
        <v>6.0599999999999973E-2</v>
      </c>
      <c r="N14" s="19"/>
      <c r="O14" s="19"/>
      <c r="P14" s="19"/>
      <c r="U14" s="19" t="s">
        <v>83</v>
      </c>
      <c r="V14" s="19">
        <v>11</v>
      </c>
      <c r="W14" s="19">
        <v>1.2307686510378319E-5</v>
      </c>
      <c r="X14" s="19"/>
      <c r="Y14" s="19"/>
      <c r="Z14" s="19"/>
    </row>
    <row r="15" spans="1:29" ht="15" thickBot="1" x14ac:dyDescent="0.35">
      <c r="D15" s="51" t="s">
        <v>138</v>
      </c>
      <c r="E15">
        <f>_xlfn.F.DIST.RT(E14,H15,H14-H15-1)</f>
        <v>0.10840035196839573</v>
      </c>
      <c r="G15" t="s">
        <v>150</v>
      </c>
      <c r="H15">
        <f>V12</f>
        <v>5</v>
      </c>
    </row>
    <row r="16" spans="1:29" x14ac:dyDescent="0.3">
      <c r="D16" s="51" t="s">
        <v>151</v>
      </c>
      <c r="K16" s="20"/>
      <c r="L16" s="20" t="s">
        <v>90</v>
      </c>
      <c r="M16" s="20" t="s">
        <v>73</v>
      </c>
      <c r="N16" s="20" t="s">
        <v>91</v>
      </c>
      <c r="O16" s="20" t="s">
        <v>92</v>
      </c>
      <c r="P16" s="20" t="s">
        <v>93</v>
      </c>
      <c r="Q16" s="20" t="s">
        <v>94</v>
      </c>
      <c r="R16" s="20" t="s">
        <v>95</v>
      </c>
      <c r="S16" s="20" t="s">
        <v>96</v>
      </c>
      <c r="U16" s="20"/>
      <c r="V16" s="20" t="s">
        <v>90</v>
      </c>
      <c r="W16" s="20" t="s">
        <v>73</v>
      </c>
      <c r="X16" s="20" t="s">
        <v>91</v>
      </c>
      <c r="Y16" s="20" t="s">
        <v>92</v>
      </c>
      <c r="Z16" s="20" t="s">
        <v>93</v>
      </c>
      <c r="AA16" s="20" t="s">
        <v>94</v>
      </c>
      <c r="AB16" s="20" t="s">
        <v>95</v>
      </c>
      <c r="AC16" s="20" t="s">
        <v>96</v>
      </c>
    </row>
    <row r="17" spans="4:29" x14ac:dyDescent="0.3">
      <c r="D17" s="51" t="s">
        <v>178</v>
      </c>
      <c r="E17" t="s">
        <v>181</v>
      </c>
      <c r="K17" t="s">
        <v>84</v>
      </c>
      <c r="L17">
        <v>-0.27066905892565596</v>
      </c>
      <c r="M17">
        <v>0.25893844430232082</v>
      </c>
      <c r="N17">
        <v>-1.0453027153034069</v>
      </c>
      <c r="O17">
        <v>0.32314458874502344</v>
      </c>
      <c r="P17">
        <v>-0.85642851542797516</v>
      </c>
      <c r="Q17">
        <v>0.31509039757666324</v>
      </c>
      <c r="R17">
        <v>-0.85642851542797516</v>
      </c>
      <c r="S17">
        <v>0.31509039757666324</v>
      </c>
      <c r="U17" t="s">
        <v>84</v>
      </c>
      <c r="V17">
        <v>1.842435358229752E-3</v>
      </c>
      <c r="W17">
        <v>0.13019548069270481</v>
      </c>
      <c r="X17">
        <v>1.4151300401727296E-2</v>
      </c>
      <c r="Y17">
        <v>0.98916808891546526</v>
      </c>
      <c r="Z17">
        <v>-0.31673442931426576</v>
      </c>
      <c r="AA17">
        <v>0.32041930003072527</v>
      </c>
      <c r="AB17">
        <v>-0.31673442931426576</v>
      </c>
      <c r="AC17">
        <v>0.32041930003072527</v>
      </c>
    </row>
    <row r="18" spans="4:29" x14ac:dyDescent="0.3">
      <c r="K18" t="s">
        <v>129</v>
      </c>
      <c r="L18">
        <v>1.4330618685595238</v>
      </c>
      <c r="M18">
        <v>0.5115741679826683</v>
      </c>
      <c r="N18">
        <v>2.8012787944524882</v>
      </c>
      <c r="O18">
        <v>2.066940925614856E-2</v>
      </c>
      <c r="P18">
        <v>0.27580070015499825</v>
      </c>
      <c r="Q18">
        <v>2.5903230369640493</v>
      </c>
      <c r="R18">
        <v>0.27580070015499825</v>
      </c>
      <c r="S18">
        <v>2.5903230369640493</v>
      </c>
      <c r="U18" t="s">
        <v>129</v>
      </c>
      <c r="V18">
        <v>-0.14650151708660744</v>
      </c>
      <c r="W18">
        <v>0.38811636207880407</v>
      </c>
      <c r="X18">
        <v>-0.37746802608868479</v>
      </c>
      <c r="Y18">
        <v>0.71881735787449208</v>
      </c>
      <c r="Z18">
        <v>-1.0961880430805053</v>
      </c>
      <c r="AA18">
        <v>0.80318500890729039</v>
      </c>
      <c r="AB18">
        <v>-1.0961880430805053</v>
      </c>
      <c r="AC18">
        <v>0.80318500890729039</v>
      </c>
    </row>
    <row r="19" spans="4:29" ht="15" thickBot="1" x14ac:dyDescent="0.35">
      <c r="K19" s="19" t="s">
        <v>104</v>
      </c>
      <c r="L19" s="19">
        <v>0.23531294534148253</v>
      </c>
      <c r="M19" s="19">
        <v>8.8456854753680286E-2</v>
      </c>
      <c r="N19" s="19">
        <v>2.660200229781426</v>
      </c>
      <c r="O19" s="19">
        <v>2.6037250311283636E-2</v>
      </c>
      <c r="P19" s="19">
        <v>3.5209637761844187E-2</v>
      </c>
      <c r="Q19" s="19">
        <v>0.43541625292112085</v>
      </c>
      <c r="R19" s="19">
        <v>3.5209637761844187E-2</v>
      </c>
      <c r="S19" s="19">
        <v>0.43541625292112085</v>
      </c>
      <c r="U19" t="s">
        <v>104</v>
      </c>
      <c r="V19">
        <v>-3.9796850589572698E-3</v>
      </c>
      <c r="W19">
        <v>8.6161990280788039E-2</v>
      </c>
      <c r="X19">
        <v>-4.6188406813585867E-2</v>
      </c>
      <c r="Y19">
        <v>0.96465902527209813</v>
      </c>
      <c r="Z19">
        <v>-0.21481048019525523</v>
      </c>
      <c r="AA19">
        <v>0.20685111007734069</v>
      </c>
      <c r="AB19">
        <v>-0.21481048019525523</v>
      </c>
      <c r="AC19">
        <v>0.20685111007734069</v>
      </c>
    </row>
    <row r="20" spans="4:29" x14ac:dyDescent="0.3">
      <c r="U20" t="s">
        <v>145</v>
      </c>
      <c r="V20">
        <v>1.113207186406977</v>
      </c>
      <c r="W20">
        <v>0.46712514998475613</v>
      </c>
      <c r="X20">
        <v>2.383102657699558</v>
      </c>
      <c r="Y20">
        <v>5.4536814997712416E-2</v>
      </c>
      <c r="Z20">
        <v>-2.9806879058594138E-2</v>
      </c>
      <c r="AA20">
        <v>2.2562212518725482</v>
      </c>
      <c r="AB20">
        <v>-2.9806879058594138E-2</v>
      </c>
      <c r="AC20">
        <v>2.2562212518725482</v>
      </c>
    </row>
    <row r="21" spans="4:29" x14ac:dyDescent="0.3">
      <c r="U21" t="s">
        <v>146</v>
      </c>
      <c r="V21">
        <v>1.4746666147294929E-3</v>
      </c>
      <c r="W21">
        <v>1.4243969966313771E-2</v>
      </c>
      <c r="X21">
        <v>0.10352918590933573</v>
      </c>
      <c r="Y21">
        <v>0.92091673973753818</v>
      </c>
      <c r="Z21">
        <v>-3.3379072303196686E-2</v>
      </c>
      <c r="AA21">
        <v>3.6328405532655678E-2</v>
      </c>
      <c r="AB21">
        <v>-3.3379072303196686E-2</v>
      </c>
      <c r="AC21">
        <v>3.6328405532655678E-2</v>
      </c>
    </row>
    <row r="22" spans="4:29" ht="15" thickBot="1" x14ac:dyDescent="0.35">
      <c r="U22" s="19" t="s">
        <v>147</v>
      </c>
      <c r="V22" s="19">
        <v>3.7881227782170152E-3</v>
      </c>
      <c r="W22" s="19">
        <v>0.13229834132188387</v>
      </c>
      <c r="X22" s="19">
        <v>2.8633184213553028E-2</v>
      </c>
      <c r="Y22" s="19">
        <v>0.97808577746549474</v>
      </c>
      <c r="Z22" s="19">
        <v>-0.31993425648912288</v>
      </c>
      <c r="AA22" s="19">
        <v>0.32751050204555687</v>
      </c>
      <c r="AB22" s="19">
        <v>-0.31993425648912288</v>
      </c>
      <c r="AC22" s="19">
        <v>0.32751050204555687</v>
      </c>
    </row>
    <row r="23" spans="4:29" x14ac:dyDescent="0.3">
      <c r="K23" t="s">
        <v>110</v>
      </c>
    </row>
    <row r="24" spans="4:29" ht="15" thickBot="1" x14ac:dyDescent="0.35"/>
    <row r="25" spans="4:29" x14ac:dyDescent="0.3">
      <c r="K25" s="20" t="s">
        <v>111</v>
      </c>
      <c r="L25" s="20" t="s">
        <v>112</v>
      </c>
      <c r="M25" s="20" t="s">
        <v>113</v>
      </c>
    </row>
    <row r="26" spans="4:29" x14ac:dyDescent="0.3">
      <c r="K26">
        <v>1</v>
      </c>
      <c r="L26">
        <v>0.50598619231285102</v>
      </c>
      <c r="M26">
        <v>-3.5986192312851051E-2</v>
      </c>
    </row>
    <row r="27" spans="4:29" x14ac:dyDescent="0.3">
      <c r="K27">
        <v>2</v>
      </c>
      <c r="L27">
        <v>0.47958877404158373</v>
      </c>
      <c r="M27">
        <v>4.1122595841625031E-4</v>
      </c>
    </row>
    <row r="28" spans="4:29" x14ac:dyDescent="0.3">
      <c r="K28">
        <v>3</v>
      </c>
      <c r="L28">
        <v>0.43794066949986588</v>
      </c>
      <c r="M28">
        <v>3.2059330500134098E-2</v>
      </c>
    </row>
    <row r="29" spans="4:29" x14ac:dyDescent="0.3">
      <c r="K29">
        <v>4</v>
      </c>
      <c r="L29">
        <v>0.40232596475098403</v>
      </c>
      <c r="M29">
        <v>5.7674035249015987E-2</v>
      </c>
    </row>
    <row r="30" spans="4:29" x14ac:dyDescent="0.3">
      <c r="K30">
        <v>5</v>
      </c>
      <c r="L30">
        <v>0.41471052728431562</v>
      </c>
      <c r="M30">
        <v>-1.47105272843156E-2</v>
      </c>
    </row>
    <row r="31" spans="4:29" x14ac:dyDescent="0.3">
      <c r="K31">
        <v>6</v>
      </c>
      <c r="L31">
        <v>0.45043115301575054</v>
      </c>
      <c r="M31">
        <v>-1.0431153015750538E-2</v>
      </c>
    </row>
    <row r="32" spans="4:29" x14ac:dyDescent="0.3">
      <c r="K32">
        <v>7</v>
      </c>
      <c r="L32">
        <v>0.44521189982521669</v>
      </c>
      <c r="M32">
        <v>4.7881001747833163E-3</v>
      </c>
    </row>
    <row r="33" spans="11:13" x14ac:dyDescent="0.3">
      <c r="K33">
        <v>8</v>
      </c>
      <c r="L33">
        <v>0.4304742078384704</v>
      </c>
      <c r="M33">
        <v>-3.047420783847038E-2</v>
      </c>
    </row>
    <row r="34" spans="11:13" x14ac:dyDescent="0.3">
      <c r="K34">
        <v>9</v>
      </c>
      <c r="L34">
        <v>0.45993298118290143</v>
      </c>
      <c r="M34">
        <v>-4.9932981182901459E-2</v>
      </c>
    </row>
    <row r="35" spans="11:13" x14ac:dyDescent="0.3">
      <c r="K35">
        <v>10</v>
      </c>
      <c r="L35">
        <v>0.54547639873719889</v>
      </c>
      <c r="M35">
        <v>4.4523601262801082E-2</v>
      </c>
    </row>
    <row r="36" spans="11:13" x14ac:dyDescent="0.3">
      <c r="K36">
        <v>11</v>
      </c>
      <c r="L36">
        <v>0.59391596057868623</v>
      </c>
      <c r="M36">
        <v>2.6084039421313765E-2</v>
      </c>
    </row>
    <row r="37" spans="11:13" ht="15" thickBot="1" x14ac:dyDescent="0.35">
      <c r="K37" s="19">
        <v>12</v>
      </c>
      <c r="L37" s="19">
        <v>0.59400527093217792</v>
      </c>
      <c r="M37" s="19">
        <v>-2.4005270932177969E-2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9174B-1FA9-42A4-8989-859BA43738C1}">
  <dimension ref="A1:H23"/>
  <sheetViews>
    <sheetView workbookViewId="0">
      <selection sqref="A1:D13"/>
    </sheetView>
  </sheetViews>
  <sheetFormatPr defaultRowHeight="14.4" x14ac:dyDescent="0.3"/>
  <sheetData>
    <row r="1" spans="1:8" ht="15.6" x14ac:dyDescent="0.35">
      <c r="A1" t="s">
        <v>97</v>
      </c>
      <c r="B1" t="s">
        <v>107</v>
      </c>
      <c r="C1" t="s">
        <v>129</v>
      </c>
      <c r="D1" t="s">
        <v>104</v>
      </c>
      <c r="E1" s="42" t="s">
        <v>152</v>
      </c>
      <c r="F1" s="42" t="s">
        <v>153</v>
      </c>
      <c r="G1" s="42" t="s">
        <v>154</v>
      </c>
      <c r="H1" s="44" t="s">
        <v>155</v>
      </c>
    </row>
    <row r="2" spans="1:8" x14ac:dyDescent="0.3">
      <c r="A2">
        <v>2012</v>
      </c>
      <c r="B2" s="18">
        <v>0.47</v>
      </c>
      <c r="C2" s="14">
        <v>2.7999999999999997E-2</v>
      </c>
      <c r="D2">
        <v>3.13</v>
      </c>
      <c r="E2" cm="1">
        <f t="array" ref="E2:E13">TREND(B2:B13,C2:D13,,1)</f>
        <v>0.50598619231285102</v>
      </c>
      <c r="F2" s="43">
        <f>B2-E2</f>
        <v>-3.5986192312851051E-2</v>
      </c>
      <c r="G2">
        <v>0</v>
      </c>
      <c r="H2">
        <f>F2^2</f>
        <v>1.2950060371775E-3</v>
      </c>
    </row>
    <row r="3" spans="1:8" x14ac:dyDescent="0.3">
      <c r="A3">
        <v>2013</v>
      </c>
      <c r="B3" s="18">
        <v>0.48</v>
      </c>
      <c r="C3" s="14">
        <v>2.6000000000000002E-2</v>
      </c>
      <c r="D3">
        <v>3.03</v>
      </c>
      <c r="E3">
        <v>0.47958877404158373</v>
      </c>
      <c r="F3" s="43">
        <f t="shared" ref="F3:F13" si="0">B3-E3</f>
        <v>4.1122595841625031E-4</v>
      </c>
      <c r="G3">
        <f>(F3-F2)^2</f>
        <v>1.3247720568135828E-3</v>
      </c>
      <c r="H3">
        <f t="shared" ref="H3:H13" si="1">F3^2</f>
        <v>1.6910678887536364E-7</v>
      </c>
    </row>
    <row r="4" spans="1:8" x14ac:dyDescent="0.3">
      <c r="A4">
        <v>2014</v>
      </c>
      <c r="B4" s="18">
        <v>0.47</v>
      </c>
      <c r="C4" s="14">
        <v>1.4999999999999999E-2</v>
      </c>
      <c r="D4">
        <v>2.92</v>
      </c>
      <c r="E4">
        <v>0.43794066949986588</v>
      </c>
      <c r="F4" s="43">
        <f t="shared" si="0"/>
        <v>3.2059330500134098E-2</v>
      </c>
      <c r="G4">
        <f t="shared" ref="G4:G13" si="2">(F4-F3)^2</f>
        <v>1.0016025210835017E-3</v>
      </c>
      <c r="H4">
        <f t="shared" si="1"/>
        <v>1.0278006721168285E-3</v>
      </c>
    </row>
    <row r="5" spans="1:8" x14ac:dyDescent="0.3">
      <c r="A5">
        <v>2015</v>
      </c>
      <c r="B5" s="18">
        <v>0.46</v>
      </c>
      <c r="C5" s="14">
        <v>0</v>
      </c>
      <c r="D5">
        <v>2.86</v>
      </c>
      <c r="E5">
        <v>0.40232596475098403</v>
      </c>
      <c r="F5" s="43">
        <f t="shared" si="0"/>
        <v>5.7674035249015987E-2</v>
      </c>
      <c r="G5">
        <f t="shared" si="2"/>
        <v>6.5611309937239242E-4</v>
      </c>
      <c r="H5">
        <f t="shared" si="1"/>
        <v>3.3262943419047385E-3</v>
      </c>
    </row>
    <row r="6" spans="1:8" x14ac:dyDescent="0.3">
      <c r="A6">
        <v>2016</v>
      </c>
      <c r="B6" s="18">
        <v>0.4</v>
      </c>
      <c r="C6" s="14">
        <v>6.9999999999999993E-3</v>
      </c>
      <c r="D6">
        <v>2.87</v>
      </c>
      <c r="E6">
        <v>0.41471052728431568</v>
      </c>
      <c r="F6" s="43">
        <f t="shared" si="0"/>
        <v>-1.4710527284315655E-2</v>
      </c>
      <c r="G6">
        <f t="shared" si="2"/>
        <v>5.239524893141799E-3</v>
      </c>
      <c r="H6">
        <f t="shared" si="1"/>
        <v>2.1639961298259533E-4</v>
      </c>
    </row>
    <row r="7" spans="1:8" x14ac:dyDescent="0.3">
      <c r="A7">
        <v>2017</v>
      </c>
      <c r="B7" s="18">
        <v>0.44</v>
      </c>
      <c r="C7" s="14">
        <v>2.7000000000000003E-2</v>
      </c>
      <c r="D7">
        <v>2.9</v>
      </c>
      <c r="E7">
        <v>0.45043115301575054</v>
      </c>
      <c r="F7" s="43">
        <f t="shared" si="0"/>
        <v>-1.0431153015750538E-2</v>
      </c>
      <c r="G7">
        <f t="shared" si="2"/>
        <v>1.8313044130457229E-5</v>
      </c>
      <c r="H7">
        <f t="shared" si="1"/>
        <v>1.0880895323800155E-4</v>
      </c>
    </row>
    <row r="8" spans="1:8" x14ac:dyDescent="0.3">
      <c r="A8">
        <v>2018</v>
      </c>
      <c r="B8" s="18">
        <v>0.45</v>
      </c>
      <c r="C8" s="14">
        <v>2.5000000000000001E-2</v>
      </c>
      <c r="D8">
        <v>2.89</v>
      </c>
      <c r="E8">
        <v>0.44521189982521669</v>
      </c>
      <c r="F8" s="43">
        <f t="shared" si="0"/>
        <v>4.7881001747833163E-3</v>
      </c>
      <c r="G8">
        <f t="shared" si="2"/>
        <v>2.3162566767757491E-4</v>
      </c>
      <c r="H8">
        <f t="shared" si="1"/>
        <v>2.2925903283760024E-5</v>
      </c>
    </row>
    <row r="9" spans="1:8" x14ac:dyDescent="0.3">
      <c r="A9">
        <v>2019</v>
      </c>
      <c r="B9" s="18">
        <v>0.4</v>
      </c>
      <c r="C9" s="14">
        <v>1.8000000000000002E-2</v>
      </c>
      <c r="D9">
        <v>2.87</v>
      </c>
      <c r="E9">
        <v>0.43047420783847035</v>
      </c>
      <c r="F9" s="43">
        <f t="shared" si="0"/>
        <v>-3.0474207838470324E-2</v>
      </c>
      <c r="G9">
        <f t="shared" si="2"/>
        <v>1.2434303664215719E-3</v>
      </c>
      <c r="H9">
        <f t="shared" si="1"/>
        <v>9.2867734338228619E-4</v>
      </c>
    </row>
    <row r="10" spans="1:8" x14ac:dyDescent="0.3">
      <c r="A10">
        <v>2020</v>
      </c>
      <c r="B10" s="18">
        <v>0.41</v>
      </c>
      <c r="C10" s="14">
        <v>9.0000000000000011E-3</v>
      </c>
      <c r="D10">
        <v>3.05</v>
      </c>
      <c r="E10">
        <v>0.45993298118290149</v>
      </c>
      <c r="F10" s="43">
        <f t="shared" si="0"/>
        <v>-4.9932981182901515E-2</v>
      </c>
      <c r="G10">
        <f t="shared" si="2"/>
        <v>3.7864386006994583E-4</v>
      </c>
      <c r="H10">
        <f t="shared" si="1"/>
        <v>2.4933026098119967E-3</v>
      </c>
    </row>
    <row r="11" spans="1:8" x14ac:dyDescent="0.3">
      <c r="A11">
        <v>2021</v>
      </c>
      <c r="B11" s="18">
        <v>0.59</v>
      </c>
      <c r="C11" s="14">
        <v>2.6000000000000002E-2</v>
      </c>
      <c r="D11">
        <v>3.31</v>
      </c>
      <c r="E11">
        <v>0.54547639873719889</v>
      </c>
      <c r="F11" s="43">
        <f t="shared" si="0"/>
        <v>4.4523601262801082E-2</v>
      </c>
      <c r="G11">
        <f t="shared" si="2"/>
        <v>8.9220459673218112E-3</v>
      </c>
      <c r="H11">
        <f t="shared" si="1"/>
        <v>1.9823510694089021E-3</v>
      </c>
    </row>
    <row r="12" spans="1:8" x14ac:dyDescent="0.3">
      <c r="A12">
        <v>2022</v>
      </c>
      <c r="B12" s="18">
        <v>0.62</v>
      </c>
      <c r="C12" s="14">
        <v>9.0999999999999998E-2</v>
      </c>
      <c r="D12">
        <v>3.12</v>
      </c>
      <c r="E12">
        <v>0.59391596057868623</v>
      </c>
      <c r="F12" s="43">
        <f t="shared" si="0"/>
        <v>2.6084039421313765E-2</v>
      </c>
      <c r="G12">
        <f t="shared" si="2"/>
        <v>3.4001744090603517E-4</v>
      </c>
      <c r="H12">
        <f t="shared" si="1"/>
        <v>6.8037711253265054E-4</v>
      </c>
    </row>
    <row r="13" spans="1:8" x14ac:dyDescent="0.3">
      <c r="A13">
        <v>2023</v>
      </c>
      <c r="B13" s="18">
        <v>0.56999999999999995</v>
      </c>
      <c r="C13" s="14">
        <v>7.2999999999999995E-2</v>
      </c>
      <c r="D13">
        <v>3.23</v>
      </c>
      <c r="E13">
        <v>0.59400527093217792</v>
      </c>
      <c r="F13" s="43">
        <f t="shared" si="0"/>
        <v>-2.4005270932177969E-2</v>
      </c>
      <c r="G13">
        <f t="shared" si="2"/>
        <v>2.5089390116884141E-3</v>
      </c>
      <c r="H13">
        <f t="shared" si="1"/>
        <v>5.7625303252726852E-4</v>
      </c>
    </row>
    <row r="14" spans="1:8" x14ac:dyDescent="0.3">
      <c r="F14" s="43"/>
      <c r="G14">
        <f>SUM(G3:G13)</f>
        <v>2.1865027928627087E-2</v>
      </c>
      <c r="H14">
        <f>SUM(H2:H13)</f>
        <v>1.2658365795155405E-2</v>
      </c>
    </row>
    <row r="16" spans="1:8" x14ac:dyDescent="0.3">
      <c r="A16" t="s">
        <v>156</v>
      </c>
      <c r="B16">
        <f>G14/H14</f>
        <v>1.7273183823614298</v>
      </c>
      <c r="D16" t="s">
        <v>164</v>
      </c>
      <c r="E16" t="s">
        <v>163</v>
      </c>
    </row>
    <row r="17" spans="1:5" x14ac:dyDescent="0.3">
      <c r="A17" s="45" t="s">
        <v>157</v>
      </c>
      <c r="B17" s="44">
        <v>0.05</v>
      </c>
      <c r="D17" t="s">
        <v>165</v>
      </c>
      <c r="E17" t="s">
        <v>166</v>
      </c>
    </row>
    <row r="18" spans="1:5" x14ac:dyDescent="0.3">
      <c r="A18" s="45" t="s">
        <v>158</v>
      </c>
      <c r="B18" s="44">
        <v>12</v>
      </c>
    </row>
    <row r="19" spans="1:5" x14ac:dyDescent="0.3">
      <c r="A19" s="45" t="s">
        <v>159</v>
      </c>
      <c r="B19" s="44">
        <v>3</v>
      </c>
    </row>
    <row r="20" spans="1:5" x14ac:dyDescent="0.3">
      <c r="A20" s="45" t="s">
        <v>160</v>
      </c>
      <c r="B20" s="46">
        <v>0.81200000000000006</v>
      </c>
    </row>
    <row r="21" spans="1:5" x14ac:dyDescent="0.3">
      <c r="A21" s="45" t="s">
        <v>161</v>
      </c>
      <c r="B21" s="46">
        <v>1.579</v>
      </c>
    </row>
    <row r="22" spans="1:5" x14ac:dyDescent="0.3">
      <c r="A22" s="45" t="s">
        <v>162</v>
      </c>
    </row>
    <row r="23" spans="1:5" x14ac:dyDescent="0.3">
      <c r="A23" s="45" t="s">
        <v>167</v>
      </c>
      <c r="B23" t="s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5BB1-872E-401A-898B-07AD987E09C8}">
  <dimension ref="A1:I29"/>
  <sheetViews>
    <sheetView topLeftCell="A5" workbookViewId="0">
      <selection activeCell="B30" sqref="B30"/>
    </sheetView>
  </sheetViews>
  <sheetFormatPr defaultRowHeight="14.4" x14ac:dyDescent="0.3"/>
  <cols>
    <col min="8" max="8" width="12.6640625" bestFit="1" customWidth="1"/>
    <col min="9" max="9" width="12" bestFit="1" customWidth="1"/>
  </cols>
  <sheetData>
    <row r="1" spans="1:9" x14ac:dyDescent="0.3">
      <c r="A1" t="s">
        <v>97</v>
      </c>
      <c r="B1" t="s">
        <v>107</v>
      </c>
      <c r="C1" t="s">
        <v>129</v>
      </c>
      <c r="D1" t="s">
        <v>104</v>
      </c>
      <c r="E1" t="s">
        <v>130</v>
      </c>
      <c r="F1" t="s">
        <v>175</v>
      </c>
      <c r="G1" t="s">
        <v>155</v>
      </c>
      <c r="H1" t="s">
        <v>176</v>
      </c>
      <c r="I1" t="s">
        <v>177</v>
      </c>
    </row>
    <row r="2" spans="1:9" x14ac:dyDescent="0.3">
      <c r="A2">
        <v>2012</v>
      </c>
      <c r="B2" s="18">
        <v>0.47</v>
      </c>
      <c r="C2" s="14">
        <v>2.7999999999999997E-2</v>
      </c>
      <c r="D2">
        <v>3.13</v>
      </c>
      <c r="E2" cm="1">
        <f t="array" ref="E2:E13">TREND(B2:B13,C2:D13,,1)</f>
        <v>0.50598619231285102</v>
      </c>
      <c r="F2" s="43">
        <f>B2-E2</f>
        <v>-3.5986192312851051E-2</v>
      </c>
      <c r="G2">
        <f>F2^2</f>
        <v>1.2950060371775E-3</v>
      </c>
      <c r="H2">
        <f>F2^3</f>
        <v>-4.6602336300172652E-5</v>
      </c>
      <c r="I2">
        <f>F2^4</f>
        <v>1.6770406363261725E-6</v>
      </c>
    </row>
    <row r="3" spans="1:9" x14ac:dyDescent="0.3">
      <c r="A3">
        <v>2013</v>
      </c>
      <c r="B3" s="18">
        <v>0.48</v>
      </c>
      <c r="C3" s="14">
        <v>2.6000000000000002E-2</v>
      </c>
      <c r="D3">
        <v>3.03</v>
      </c>
      <c r="E3">
        <v>0.47958877404158373</v>
      </c>
      <c r="F3" s="43">
        <f t="shared" ref="F3:F13" si="0">B3-E3</f>
        <v>4.1122595841625031E-4</v>
      </c>
      <c r="G3">
        <f t="shared" ref="G3:G13" si="1">F3^2</f>
        <v>1.6910678887536364E-7</v>
      </c>
      <c r="H3">
        <f t="shared" ref="H3:H12" si="2">F3^3</f>
        <v>6.9541101329965909E-11</v>
      </c>
      <c r="I3">
        <f t="shared" ref="I3:I13" si="3">F3^4</f>
        <v>2.8597106043736812E-14</v>
      </c>
    </row>
    <row r="4" spans="1:9" x14ac:dyDescent="0.3">
      <c r="A4">
        <v>2014</v>
      </c>
      <c r="B4" s="18">
        <v>0.47</v>
      </c>
      <c r="C4" s="14">
        <v>1.4999999999999999E-2</v>
      </c>
      <c r="D4">
        <v>2.92</v>
      </c>
      <c r="E4">
        <v>0.43794066949986588</v>
      </c>
      <c r="F4" s="43">
        <f t="shared" si="0"/>
        <v>3.2059330500134098E-2</v>
      </c>
      <c r="G4">
        <f t="shared" si="1"/>
        <v>1.0278006721168285E-3</v>
      </c>
      <c r="H4">
        <f t="shared" si="2"/>
        <v>3.2950601435653363E-5</v>
      </c>
      <c r="I4">
        <f t="shared" si="3"/>
        <v>1.0563742216038044E-6</v>
      </c>
    </row>
    <row r="5" spans="1:9" x14ac:dyDescent="0.3">
      <c r="A5">
        <v>2015</v>
      </c>
      <c r="B5" s="18">
        <v>0.46</v>
      </c>
      <c r="C5" s="14">
        <v>0</v>
      </c>
      <c r="D5">
        <v>2.86</v>
      </c>
      <c r="E5">
        <v>0.40232596475098403</v>
      </c>
      <c r="F5" s="43">
        <f t="shared" si="0"/>
        <v>5.7674035249015987E-2</v>
      </c>
      <c r="G5">
        <f t="shared" si="1"/>
        <v>3.3262943419047385E-3</v>
      </c>
      <c r="H5">
        <f t="shared" si="2"/>
        <v>1.9184081712361634E-4</v>
      </c>
      <c r="I5">
        <f t="shared" si="3"/>
        <v>1.1064234048987478E-5</v>
      </c>
    </row>
    <row r="6" spans="1:9" x14ac:dyDescent="0.3">
      <c r="A6">
        <v>2016</v>
      </c>
      <c r="B6" s="18">
        <v>0.4</v>
      </c>
      <c r="C6" s="14">
        <v>6.9999999999999993E-3</v>
      </c>
      <c r="D6">
        <v>2.87</v>
      </c>
      <c r="E6">
        <v>0.41471052728431568</v>
      </c>
      <c r="F6" s="43">
        <f t="shared" si="0"/>
        <v>-1.4710527284315655E-2</v>
      </c>
      <c r="G6">
        <f t="shared" si="1"/>
        <v>2.1639961298259533E-4</v>
      </c>
      <c r="H6">
        <f t="shared" si="2"/>
        <v>-3.1833524110958169E-6</v>
      </c>
      <c r="I6">
        <f t="shared" si="3"/>
        <v>4.6828792499017042E-8</v>
      </c>
    </row>
    <row r="7" spans="1:9" x14ac:dyDescent="0.3">
      <c r="A7">
        <v>2017</v>
      </c>
      <c r="B7" s="18">
        <v>0.44</v>
      </c>
      <c r="C7" s="14">
        <v>2.7000000000000003E-2</v>
      </c>
      <c r="D7">
        <v>2.9</v>
      </c>
      <c r="E7">
        <v>0.45043115301575054</v>
      </c>
      <c r="F7" s="43">
        <f t="shared" si="0"/>
        <v>-1.0431153015750538E-2</v>
      </c>
      <c r="G7">
        <f t="shared" si="1"/>
        <v>1.0880895323800155E-4</v>
      </c>
      <c r="H7">
        <f t="shared" si="2"/>
        <v>-1.1350028407092392E-6</v>
      </c>
      <c r="I7">
        <f t="shared" si="3"/>
        <v>1.1839388304749607E-8</v>
      </c>
    </row>
    <row r="8" spans="1:9" x14ac:dyDescent="0.3">
      <c r="A8">
        <v>2018</v>
      </c>
      <c r="B8" s="18">
        <v>0.45</v>
      </c>
      <c r="C8" s="14">
        <v>2.5000000000000001E-2</v>
      </c>
      <c r="D8">
        <v>2.89</v>
      </c>
      <c r="E8">
        <v>0.44521189982521669</v>
      </c>
      <c r="F8" s="43">
        <f t="shared" si="0"/>
        <v>4.7881001747833163E-3</v>
      </c>
      <c r="G8">
        <f t="shared" si="1"/>
        <v>2.2925903283760024E-5</v>
      </c>
      <c r="H8">
        <f t="shared" si="2"/>
        <v>1.0977152152003677E-7</v>
      </c>
      <c r="I8">
        <f t="shared" si="3"/>
        <v>5.255970413763186E-10</v>
      </c>
    </row>
    <row r="9" spans="1:9" x14ac:dyDescent="0.3">
      <c r="A9">
        <v>2019</v>
      </c>
      <c r="B9" s="18">
        <v>0.4</v>
      </c>
      <c r="C9" s="14">
        <v>1.8000000000000002E-2</v>
      </c>
      <c r="D9">
        <v>2.87</v>
      </c>
      <c r="E9">
        <v>0.43047420783847035</v>
      </c>
      <c r="F9" s="43">
        <f t="shared" si="0"/>
        <v>-3.0474207838470324E-2</v>
      </c>
      <c r="G9">
        <f t="shared" si="1"/>
        <v>9.2867734338228619E-4</v>
      </c>
      <c r="H9">
        <f t="shared" si="2"/>
        <v>-2.8300706377110264E-5</v>
      </c>
      <c r="I9">
        <f t="shared" si="3"/>
        <v>8.6244160811158065E-7</v>
      </c>
    </row>
    <row r="10" spans="1:9" x14ac:dyDescent="0.3">
      <c r="A10">
        <v>2020</v>
      </c>
      <c r="B10" s="18">
        <v>0.41</v>
      </c>
      <c r="C10" s="14">
        <v>9.0000000000000011E-3</v>
      </c>
      <c r="D10">
        <v>3.05</v>
      </c>
      <c r="E10">
        <v>0.45993298118290149</v>
      </c>
      <c r="F10" s="43">
        <f t="shared" si="0"/>
        <v>-4.9932981182901515E-2</v>
      </c>
      <c r="G10">
        <f t="shared" si="1"/>
        <v>2.4933026098119967E-3</v>
      </c>
      <c r="H10">
        <f t="shared" si="2"/>
        <v>-1.2449803229902168E-4</v>
      </c>
      <c r="I10">
        <f t="shared" si="3"/>
        <v>6.2165579040953137E-6</v>
      </c>
    </row>
    <row r="11" spans="1:9" x14ac:dyDescent="0.3">
      <c r="A11">
        <v>2021</v>
      </c>
      <c r="B11" s="18">
        <v>0.59</v>
      </c>
      <c r="C11" s="14">
        <v>2.6000000000000002E-2</v>
      </c>
      <c r="D11">
        <v>3.31</v>
      </c>
      <c r="E11">
        <v>0.54547639873719889</v>
      </c>
      <c r="F11" s="43">
        <f t="shared" si="0"/>
        <v>4.4523601262801082E-2</v>
      </c>
      <c r="G11">
        <f t="shared" si="1"/>
        <v>1.9823510694089021E-3</v>
      </c>
      <c r="H11">
        <f t="shared" si="2"/>
        <v>8.8261408577249264E-5</v>
      </c>
      <c r="I11">
        <f t="shared" si="3"/>
        <v>3.9297157623866172E-6</v>
      </c>
    </row>
    <row r="12" spans="1:9" x14ac:dyDescent="0.3">
      <c r="A12">
        <v>2022</v>
      </c>
      <c r="B12" s="18">
        <v>0.62</v>
      </c>
      <c r="C12" s="14">
        <v>9.0999999999999998E-2</v>
      </c>
      <c r="D12">
        <v>3.12</v>
      </c>
      <c r="E12">
        <v>0.59391596057868623</v>
      </c>
      <c r="F12" s="43">
        <f t="shared" si="0"/>
        <v>2.6084039421313765E-2</v>
      </c>
      <c r="G12">
        <f t="shared" si="1"/>
        <v>6.8037711253265054E-4</v>
      </c>
      <c r="H12">
        <f t="shared" si="2"/>
        <v>1.7746983424661288E-5</v>
      </c>
      <c r="I12">
        <f t="shared" si="3"/>
        <v>4.62913015258267E-7</v>
      </c>
    </row>
    <row r="13" spans="1:9" x14ac:dyDescent="0.3">
      <c r="A13">
        <v>2023</v>
      </c>
      <c r="B13" s="18">
        <v>0.56999999999999995</v>
      </c>
      <c r="C13" s="14">
        <v>7.2999999999999995E-2</v>
      </c>
      <c r="D13">
        <v>3.23</v>
      </c>
      <c r="E13">
        <v>0.59400527093217792</v>
      </c>
      <c r="F13" s="43">
        <f t="shared" si="0"/>
        <v>-2.4005270932177969E-2</v>
      </c>
      <c r="G13">
        <f t="shared" si="1"/>
        <v>5.7625303252726852E-4</v>
      </c>
      <c r="H13">
        <f>F13^3</f>
        <v>-1.3833110171306244E-5</v>
      </c>
      <c r="I13">
        <f t="shared" si="3"/>
        <v>3.3206755749687319E-7</v>
      </c>
    </row>
    <row r="14" spans="1:9" x14ac:dyDescent="0.3">
      <c r="F14" s="47">
        <f>SUM(F2:F13)</f>
        <v>-2.55351295663786E-15</v>
      </c>
      <c r="G14">
        <f>SUM(G2:G13)</f>
        <v>1.2658365795155405E-2</v>
      </c>
      <c r="H14">
        <f t="shared" ref="H14:I14" si="4">SUM(H2:H13)</f>
        <v>1.1335711122438572E-4</v>
      </c>
      <c r="I14">
        <f t="shared" si="4"/>
        <v>2.5660538560708357E-5</v>
      </c>
    </row>
    <row r="20" spans="2:4" x14ac:dyDescent="0.3">
      <c r="B20" s="45" t="s">
        <v>149</v>
      </c>
      <c r="C20">
        <v>12</v>
      </c>
    </row>
    <row r="21" spans="2:4" x14ac:dyDescent="0.3">
      <c r="B21" s="45" t="s">
        <v>169</v>
      </c>
      <c r="C21" s="47">
        <f>(G14/C20)^0.5</f>
        <v>3.2478667094924793E-2</v>
      </c>
    </row>
    <row r="22" spans="2:4" x14ac:dyDescent="0.3">
      <c r="B22" s="45" t="s">
        <v>170</v>
      </c>
      <c r="C22" s="47">
        <f>(H14/C20)/C21^3</f>
        <v>0.27572295899198479</v>
      </c>
    </row>
    <row r="23" spans="2:4" x14ac:dyDescent="0.3">
      <c r="B23" s="45" t="s">
        <v>171</v>
      </c>
      <c r="C23" s="47">
        <f>(I14/C20)/C21^4</f>
        <v>1.9217271683972663</v>
      </c>
    </row>
    <row r="24" spans="2:4" x14ac:dyDescent="0.3">
      <c r="B24" s="45" t="s">
        <v>172</v>
      </c>
      <c r="C24" s="48">
        <f>(C20/6)*(C22^2+(C23-3)^2/4)</f>
        <v>0.73338244991688017</v>
      </c>
    </row>
    <row r="25" spans="2:4" x14ac:dyDescent="0.3">
      <c r="B25" s="45"/>
    </row>
    <row r="26" spans="2:4" x14ac:dyDescent="0.3">
      <c r="B26" s="45" t="s">
        <v>173</v>
      </c>
      <c r="C26" s="49">
        <f>_xlfn.CHISQ.INV.RT(0.05,2)</f>
        <v>5.9914645471079817</v>
      </c>
    </row>
    <row r="27" spans="2:4" x14ac:dyDescent="0.3">
      <c r="B27" s="45" t="s">
        <v>174</v>
      </c>
      <c r="C27" s="49">
        <f>_xlfn.CHISQ.DIST.RT(C24,2)</f>
        <v>0.69302360040167066</v>
      </c>
      <c r="D27" t="s">
        <v>139</v>
      </c>
    </row>
    <row r="29" spans="2:4" x14ac:dyDescent="0.3">
      <c r="B29" s="50" t="s">
        <v>178</v>
      </c>
      <c r="C29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12</vt:i4>
      </vt:variant>
    </vt:vector>
  </HeadingPairs>
  <TitlesOfParts>
    <vt:vector size="12" baseType="lpstr">
      <vt:lpstr>Raw_data</vt:lpstr>
      <vt:lpstr>Data changed to population-base</vt:lpstr>
      <vt:lpstr>Data format changed to %</vt:lpstr>
      <vt:lpstr>Data prognosed</vt:lpstr>
      <vt:lpstr>Model</vt:lpstr>
      <vt:lpstr>Gretl dane</vt:lpstr>
      <vt:lpstr>Gretl wynik</vt:lpstr>
      <vt:lpstr>Model with important variables</vt:lpstr>
      <vt:lpstr>RESET</vt:lpstr>
      <vt:lpstr>White</vt:lpstr>
      <vt:lpstr>Durbin-Watson</vt:lpstr>
      <vt:lpstr>Test JBT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Pawlak</dc:creator>
  <cp:lastModifiedBy>Sara Piosik (273682)</cp:lastModifiedBy>
  <dcterms:created xsi:type="dcterms:W3CDTF">2024-03-16T13:22:22Z</dcterms:created>
  <dcterms:modified xsi:type="dcterms:W3CDTF">2024-05-14T15:02:52Z</dcterms:modified>
</cp:coreProperties>
</file>