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Grzesiek\Desktop\ekonometria gotowe\"/>
    </mc:Choice>
  </mc:AlternateContent>
  <xr:revisionPtr revIDLastSave="0" documentId="13_ncr:1_{F116E58F-DEF7-4134-8662-4CFBE79BB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owe dane" sheetId="1" r:id="rId1"/>
    <sheet name="Zmiana danych na wskaźniki" sheetId="7" r:id="rId2"/>
    <sheet name="Zmiana formatu danych na %" sheetId="3" r:id="rId3"/>
    <sheet name="Prognozowanie brakujących danyc" sheetId="4" r:id="rId4"/>
    <sheet name="Zmiana nazw zmiennych na polski" sheetId="20" r:id="rId5"/>
    <sheet name="Przeskalowanie zmiennej X5" sheetId="19" r:id="rId6"/>
    <sheet name="Model" sheetId="5" r:id="rId7"/>
    <sheet name="Wizualizacje modelów" sheetId="14" r:id="rId8"/>
    <sheet name="Modele nieliniowe Y" sheetId="17" r:id="rId9"/>
    <sheet name="CPI modele nieliniowe" sheetId="15" r:id="rId10"/>
    <sheet name="Niepokój modele nieliniowe" sheetId="16" r:id="rId11"/>
    <sheet name="Gretl dane" sheetId="8" r:id="rId12"/>
    <sheet name="Regresja krokowa - Gretl" sheetId="6" r:id="rId13"/>
    <sheet name="Model po regresji krokowej" sheetId="9" r:id="rId14"/>
    <sheet name="RESET" sheetId="10" r:id="rId15"/>
    <sheet name="White" sheetId="11" r:id="rId16"/>
    <sheet name="Durbin-Watson" sheetId="12" r:id="rId17"/>
    <sheet name="Test JBT" sheetId="13" r:id="rId18"/>
    <sheet name="Prognoza na rok 2024" sheetId="22" r:id="rId19"/>
  </sheets>
  <definedNames>
    <definedName name="_xlnm.Print_Area" localSheetId="9">'CPI modele nieliniowe'!$B$1:$AB$19</definedName>
    <definedName name="_xlnm.Print_Area" localSheetId="8">'Modele nieliniowe Y'!$B$1:$AB$19</definedName>
    <definedName name="_xlnm.Print_Area" localSheetId="10">'Niepokój modele nieliniowe'!$B$1:$AB$19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'Prognozowanie brakujących danyc'!$J$3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2" l="1"/>
  <c r="D14" i="22"/>
  <c r="O7" i="9"/>
  <c r="O7" i="5" l="1"/>
  <c r="P6" i="7" l="1"/>
  <c r="P7" i="7"/>
  <c r="E8" i="7"/>
  <c r="P8" i="7"/>
  <c r="Q8" i="7" s="1"/>
  <c r="E9" i="7"/>
  <c r="P9" i="7"/>
  <c r="Q9" i="7" s="1"/>
  <c r="E10" i="7"/>
  <c r="P10" i="7"/>
  <c r="Q10" i="7" s="1"/>
  <c r="E11" i="7"/>
  <c r="P11" i="7"/>
  <c r="Q11" i="7" s="1"/>
  <c r="E12" i="7"/>
  <c r="P12" i="7"/>
  <c r="Q12" i="7" s="1"/>
  <c r="E13" i="7"/>
  <c r="P13" i="7"/>
  <c r="Q13" i="7" s="1"/>
  <c r="E14" i="7"/>
  <c r="P14" i="7"/>
  <c r="Q14" i="7" s="1"/>
  <c r="E15" i="7"/>
  <c r="P15" i="7"/>
  <c r="Q15" i="7" s="1"/>
  <c r="E16" i="7"/>
  <c r="P16" i="7"/>
  <c r="Q16" i="7" s="1"/>
  <c r="E17" i="7"/>
  <c r="P17" i="7"/>
  <c r="Q17" i="7"/>
  <c r="E18" i="7"/>
  <c r="M18" i="7"/>
  <c r="P18" i="7"/>
  <c r="M19" i="7"/>
  <c r="P19" i="7"/>
  <c r="Q19" i="7" s="1"/>
  <c r="H34" i="7"/>
  <c r="I34" i="7"/>
  <c r="H35" i="7"/>
  <c r="I35" i="7"/>
  <c r="H36" i="7"/>
  <c r="J36" i="7" s="1"/>
  <c r="I36" i="7"/>
  <c r="H37" i="7"/>
  <c r="I37" i="7"/>
  <c r="H38" i="7"/>
  <c r="I38" i="7"/>
  <c r="H39" i="7"/>
  <c r="I39" i="7"/>
  <c r="J39" i="7" s="1"/>
  <c r="H40" i="7"/>
  <c r="I40" i="7"/>
  <c r="H41" i="7"/>
  <c r="I41" i="7"/>
  <c r="H42" i="7"/>
  <c r="I42" i="7"/>
  <c r="H43" i="7"/>
  <c r="I43" i="7"/>
  <c r="H44" i="7"/>
  <c r="I44" i="7"/>
  <c r="J130" i="16"/>
  <c r="B14" i="22"/>
  <c r="X14" i="22"/>
  <c r="V14" i="22" s="1"/>
  <c r="X3" i="22"/>
  <c r="X4" i="22"/>
  <c r="X5" i="22"/>
  <c r="X6" i="22"/>
  <c r="X7" i="22"/>
  <c r="X8" i="22"/>
  <c r="X9" i="22"/>
  <c r="X10" i="22"/>
  <c r="X11" i="22"/>
  <c r="X12" i="22"/>
  <c r="X13" i="22"/>
  <c r="X2" i="22"/>
  <c r="N2" i="22"/>
  <c r="N3" i="22"/>
  <c r="N4" i="22"/>
  <c r="N5" i="22"/>
  <c r="N6" i="22"/>
  <c r="N7" i="22"/>
  <c r="N8" i="22"/>
  <c r="N9" i="22"/>
  <c r="N10" i="22"/>
  <c r="N11" i="22"/>
  <c r="N12" i="22"/>
  <c r="N13" i="22"/>
  <c r="N14" i="22"/>
  <c r="L14" i="22" s="1"/>
  <c r="K130" i="15"/>
  <c r="J42" i="7" l="1"/>
  <c r="J38" i="7"/>
  <c r="J44" i="7"/>
  <c r="J40" i="7"/>
  <c r="J34" i="7"/>
  <c r="J37" i="7"/>
  <c r="J43" i="7"/>
  <c r="J41" i="7"/>
  <c r="Q18" i="7"/>
  <c r="J35" i="7"/>
  <c r="G17" i="19" l="1"/>
  <c r="G18" i="19"/>
  <c r="G19" i="19"/>
  <c r="G20" i="19"/>
  <c r="G21" i="19"/>
  <c r="G22" i="19"/>
  <c r="G23" i="19"/>
  <c r="G24" i="19"/>
  <c r="G25" i="19"/>
  <c r="G26" i="19"/>
  <c r="G27" i="19"/>
  <c r="G16" i="19"/>
  <c r="H117" i="17" l="1"/>
  <c r="H86" i="17" l="1"/>
  <c r="H56" i="17" l="1"/>
  <c r="H57" i="17" s="1"/>
  <c r="K22" i="17"/>
  <c r="D108" i="17" l="1"/>
  <c r="F108" i="17" s="1"/>
  <c r="C108" i="17"/>
  <c r="E108" i="17" s="1"/>
  <c r="D107" i="17"/>
  <c r="F107" i="17" s="1"/>
  <c r="C107" i="17"/>
  <c r="E107" i="17" s="1"/>
  <c r="D106" i="17"/>
  <c r="F106" i="17" s="1"/>
  <c r="C106" i="17"/>
  <c r="E106" i="17" s="1"/>
  <c r="D105" i="17"/>
  <c r="F105" i="17" s="1"/>
  <c r="C105" i="17"/>
  <c r="E105" i="17" s="1"/>
  <c r="D104" i="17"/>
  <c r="F104" i="17" s="1"/>
  <c r="C104" i="17"/>
  <c r="E104" i="17" s="1"/>
  <c r="D103" i="17"/>
  <c r="F103" i="17" s="1"/>
  <c r="C103" i="17"/>
  <c r="E103" i="17" s="1"/>
  <c r="D102" i="17"/>
  <c r="F102" i="17" s="1"/>
  <c r="C102" i="17"/>
  <c r="E102" i="17" s="1"/>
  <c r="E101" i="17"/>
  <c r="D101" i="17"/>
  <c r="F101" i="17" s="1"/>
  <c r="C101" i="17"/>
  <c r="D100" i="17"/>
  <c r="F100" i="17" s="1"/>
  <c r="C100" i="17"/>
  <c r="E100" i="17" s="1"/>
  <c r="D99" i="17"/>
  <c r="F99" i="17" s="1"/>
  <c r="C99" i="17"/>
  <c r="E99" i="17" s="1"/>
  <c r="D98" i="17"/>
  <c r="F98" i="17" s="1"/>
  <c r="C98" i="17"/>
  <c r="E98" i="17" s="1"/>
  <c r="D97" i="17"/>
  <c r="F97" i="17" s="1"/>
  <c r="C97" i="17"/>
  <c r="D96" i="17"/>
  <c r="C96" i="17"/>
  <c r="H87" i="17"/>
  <c r="G93" i="17" s="1"/>
  <c r="H88" i="17"/>
  <c r="G92" i="17" s="1"/>
  <c r="D78" i="17"/>
  <c r="C78" i="17"/>
  <c r="E78" i="17" s="1"/>
  <c r="D77" i="17"/>
  <c r="C77" i="17"/>
  <c r="E77" i="17" s="1"/>
  <c r="D76" i="17"/>
  <c r="C76" i="17"/>
  <c r="E76" i="17" s="1"/>
  <c r="D75" i="17"/>
  <c r="C75" i="17"/>
  <c r="E75" i="17" s="1"/>
  <c r="D74" i="17"/>
  <c r="C74" i="17"/>
  <c r="E74" i="17" s="1"/>
  <c r="D73" i="17"/>
  <c r="C73" i="17"/>
  <c r="E73" i="17" s="1"/>
  <c r="D72" i="17"/>
  <c r="C72" i="17"/>
  <c r="E72" i="17" s="1"/>
  <c r="D71" i="17"/>
  <c r="C71" i="17"/>
  <c r="E71" i="17" s="1"/>
  <c r="D70" i="17"/>
  <c r="C70" i="17"/>
  <c r="E70" i="17" s="1"/>
  <c r="D69" i="17"/>
  <c r="C69" i="17"/>
  <c r="E69" i="17" s="1"/>
  <c r="D68" i="17"/>
  <c r="C68" i="17"/>
  <c r="E68" i="17" s="1"/>
  <c r="D67" i="17"/>
  <c r="C67" i="17"/>
  <c r="D66" i="17"/>
  <c r="C66" i="17"/>
  <c r="H58" i="17"/>
  <c r="D48" i="17"/>
  <c r="E48" i="17" s="1"/>
  <c r="C48" i="17"/>
  <c r="D47" i="17"/>
  <c r="E47" i="17" s="1"/>
  <c r="C47" i="17"/>
  <c r="D46" i="17"/>
  <c r="E46" i="17" s="1"/>
  <c r="C46" i="17"/>
  <c r="D45" i="17"/>
  <c r="E45" i="17" s="1"/>
  <c r="C45" i="17"/>
  <c r="D44" i="17"/>
  <c r="E44" i="17" s="1"/>
  <c r="C44" i="17"/>
  <c r="D43" i="17"/>
  <c r="E43" i="17" s="1"/>
  <c r="C43" i="17"/>
  <c r="D42" i="17"/>
  <c r="E42" i="17" s="1"/>
  <c r="C42" i="17"/>
  <c r="D41" i="17"/>
  <c r="E41" i="17" s="1"/>
  <c r="C41" i="17"/>
  <c r="D40" i="17"/>
  <c r="E40" i="17" s="1"/>
  <c r="C40" i="17"/>
  <c r="D39" i="17"/>
  <c r="E39" i="17" s="1"/>
  <c r="C39" i="17"/>
  <c r="D38" i="17"/>
  <c r="E38" i="17" s="1"/>
  <c r="C38" i="17"/>
  <c r="D37" i="17"/>
  <c r="E37" i="17" s="1"/>
  <c r="C37" i="17"/>
  <c r="D36" i="17"/>
  <c r="C36" i="17"/>
  <c r="E13" i="17"/>
  <c r="E12" i="17"/>
  <c r="E11" i="17"/>
  <c r="E10" i="17"/>
  <c r="E9" i="17"/>
  <c r="E8" i="17"/>
  <c r="E7" i="17"/>
  <c r="E6" i="17"/>
  <c r="E5" i="17"/>
  <c r="E4" i="17"/>
  <c r="E3" i="17"/>
  <c r="E2" i="17"/>
  <c r="D97" i="16"/>
  <c r="F97" i="16" s="1"/>
  <c r="D98" i="16"/>
  <c r="F98" i="16" s="1"/>
  <c r="D99" i="16"/>
  <c r="F99" i="16" s="1"/>
  <c r="D100" i="16"/>
  <c r="D101" i="16"/>
  <c r="D102" i="16"/>
  <c r="D103" i="16"/>
  <c r="D104" i="16"/>
  <c r="F104" i="16" s="1"/>
  <c r="D105" i="16"/>
  <c r="F105" i="16" s="1"/>
  <c r="D106" i="16"/>
  <c r="F106" i="16" s="1"/>
  <c r="D107" i="16"/>
  <c r="F107" i="16" s="1"/>
  <c r="D108" i="16"/>
  <c r="D96" i="16"/>
  <c r="H86" i="16"/>
  <c r="H56" i="16"/>
  <c r="H57" i="16" s="1"/>
  <c r="H56" i="15"/>
  <c r="H57" i="15" s="1"/>
  <c r="K22" i="16"/>
  <c r="C98" i="15"/>
  <c r="C99" i="15"/>
  <c r="E99" i="15" s="1"/>
  <c r="C100" i="15"/>
  <c r="E100" i="15" s="1"/>
  <c r="C101" i="15"/>
  <c r="E101" i="15" s="1"/>
  <c r="C102" i="15"/>
  <c r="C103" i="15"/>
  <c r="C104" i="15"/>
  <c r="E104" i="15" s="1"/>
  <c r="C105" i="15"/>
  <c r="E105" i="15" s="1"/>
  <c r="C106" i="15"/>
  <c r="E106" i="15" s="1"/>
  <c r="C107" i="15"/>
  <c r="E107" i="15" s="1"/>
  <c r="C108" i="15"/>
  <c r="E108" i="15" s="1"/>
  <c r="C97" i="15"/>
  <c r="E97" i="15" s="1"/>
  <c r="D97" i="15"/>
  <c r="F97" i="15" s="1"/>
  <c r="D98" i="15"/>
  <c r="D99" i="15"/>
  <c r="D100" i="15"/>
  <c r="F100" i="15" s="1"/>
  <c r="D101" i="15"/>
  <c r="F101" i="15" s="1"/>
  <c r="D102" i="15"/>
  <c r="D103" i="15"/>
  <c r="D104" i="15"/>
  <c r="F104" i="15" s="1"/>
  <c r="D105" i="15"/>
  <c r="D106" i="15"/>
  <c r="D107" i="15"/>
  <c r="F107" i="15" s="1"/>
  <c r="D108" i="15"/>
  <c r="F108" i="15" s="1"/>
  <c r="D96" i="15"/>
  <c r="C9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66" i="15"/>
  <c r="C67" i="15"/>
  <c r="C68" i="15"/>
  <c r="E68" i="15" s="1"/>
  <c r="C69" i="15"/>
  <c r="C70" i="15"/>
  <c r="E70" i="15" s="1"/>
  <c r="C71" i="15"/>
  <c r="E71" i="15" s="1"/>
  <c r="C72" i="15"/>
  <c r="E72" i="15" s="1"/>
  <c r="C73" i="15"/>
  <c r="C74" i="15"/>
  <c r="E74" i="15" s="1"/>
  <c r="C75" i="15"/>
  <c r="E75" i="15" s="1"/>
  <c r="C76" i="15"/>
  <c r="C77" i="15"/>
  <c r="C78" i="15"/>
  <c r="E78" i="15" s="1"/>
  <c r="C66" i="15"/>
  <c r="D36" i="15"/>
  <c r="D37" i="15"/>
  <c r="D38" i="15"/>
  <c r="E38" i="15" s="1"/>
  <c r="D39" i="15"/>
  <c r="E39" i="15" s="1"/>
  <c r="D40" i="15"/>
  <c r="E40" i="15" s="1"/>
  <c r="D41" i="15"/>
  <c r="D42" i="15"/>
  <c r="E42" i="15" s="1"/>
  <c r="D43" i="15"/>
  <c r="E43" i="15" s="1"/>
  <c r="D44" i="15"/>
  <c r="D45" i="15"/>
  <c r="D46" i="15"/>
  <c r="E46" i="15" s="1"/>
  <c r="D47" i="15"/>
  <c r="D48" i="15"/>
  <c r="E48" i="15" s="1"/>
  <c r="C37" i="15"/>
  <c r="C38" i="15"/>
  <c r="C39" i="15"/>
  <c r="C40" i="15"/>
  <c r="C41" i="15"/>
  <c r="C42" i="15"/>
  <c r="C43" i="15"/>
  <c r="C44" i="15"/>
  <c r="C45" i="15"/>
  <c r="C46" i="15"/>
  <c r="C47" i="15"/>
  <c r="C48" i="15"/>
  <c r="C36" i="15"/>
  <c r="C97" i="16"/>
  <c r="K102" i="16" s="1"/>
  <c r="C98" i="16"/>
  <c r="C99" i="16"/>
  <c r="C100" i="16"/>
  <c r="C101" i="16"/>
  <c r="C102" i="16"/>
  <c r="E102" i="16" s="1"/>
  <c r="C103" i="16"/>
  <c r="C104" i="16"/>
  <c r="E104" i="16" s="1"/>
  <c r="C105" i="16"/>
  <c r="E105" i="16" s="1"/>
  <c r="C106" i="16"/>
  <c r="E106" i="16" s="1"/>
  <c r="C107" i="16"/>
  <c r="E107" i="16" s="1"/>
  <c r="C108" i="16"/>
  <c r="C96" i="16"/>
  <c r="C67" i="16"/>
  <c r="E67" i="16" s="1"/>
  <c r="C68" i="16"/>
  <c r="E68" i="16" s="1"/>
  <c r="C69" i="16"/>
  <c r="E69" i="16" s="1"/>
  <c r="C70" i="16"/>
  <c r="E70" i="16" s="1"/>
  <c r="C71" i="16"/>
  <c r="E71" i="16" s="1"/>
  <c r="C72" i="16"/>
  <c r="E72" i="16" s="1"/>
  <c r="C73" i="16"/>
  <c r="E73" i="16" s="1"/>
  <c r="C74" i="16"/>
  <c r="E74" i="16" s="1"/>
  <c r="C75" i="16"/>
  <c r="E75" i="16" s="1"/>
  <c r="C76" i="16"/>
  <c r="C77" i="16"/>
  <c r="E77" i="16" s="1"/>
  <c r="C78" i="16"/>
  <c r="E78" i="16" s="1"/>
  <c r="C6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36" i="16"/>
  <c r="H117" i="16"/>
  <c r="F108" i="16"/>
  <c r="E108" i="16"/>
  <c r="F103" i="16"/>
  <c r="E103" i="16"/>
  <c r="F102" i="16"/>
  <c r="F101" i="16"/>
  <c r="E101" i="16"/>
  <c r="F100" i="16"/>
  <c r="E100" i="16"/>
  <c r="E99" i="16"/>
  <c r="H88" i="16"/>
  <c r="G92" i="16" s="1"/>
  <c r="H87" i="16"/>
  <c r="G93" i="16" s="1"/>
  <c r="E76" i="16"/>
  <c r="H58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13" i="16"/>
  <c r="E12" i="16"/>
  <c r="E11" i="16"/>
  <c r="E10" i="16"/>
  <c r="E9" i="16"/>
  <c r="E8" i="16"/>
  <c r="E7" i="16"/>
  <c r="E6" i="16"/>
  <c r="E5" i="16"/>
  <c r="E4" i="16"/>
  <c r="E3" i="16"/>
  <c r="E2" i="16"/>
  <c r="H117" i="15"/>
  <c r="F98" i="15"/>
  <c r="F99" i="15"/>
  <c r="F102" i="15"/>
  <c r="F103" i="15"/>
  <c r="F105" i="15"/>
  <c r="F106" i="15"/>
  <c r="E103" i="15"/>
  <c r="E102" i="15"/>
  <c r="E98" i="15"/>
  <c r="H87" i="15"/>
  <c r="G93" i="15" s="1"/>
  <c r="H86" i="15"/>
  <c r="H88" i="15" s="1"/>
  <c r="G92" i="15" s="1"/>
  <c r="E69" i="15"/>
  <c r="E73" i="15"/>
  <c r="E76" i="15"/>
  <c r="E77" i="15"/>
  <c r="E67" i="15"/>
  <c r="H58" i="15"/>
  <c r="E41" i="15"/>
  <c r="E44" i="15"/>
  <c r="E45" i="15"/>
  <c r="E47" i="15"/>
  <c r="E37" i="15"/>
  <c r="K22" i="15"/>
  <c r="E97" i="16" l="1"/>
  <c r="K42" i="16"/>
  <c r="K42" i="15"/>
  <c r="K42" i="17"/>
  <c r="K72" i="16"/>
  <c r="E67" i="17"/>
  <c r="K72" i="17"/>
  <c r="K102" i="17"/>
  <c r="E97" i="17"/>
  <c r="K102" i="15"/>
  <c r="E98" i="16"/>
  <c r="E13" i="15" l="1"/>
  <c r="E12" i="15"/>
  <c r="E11" i="15"/>
  <c r="E10" i="15"/>
  <c r="E9" i="15"/>
  <c r="E8" i="15"/>
  <c r="E7" i="15"/>
  <c r="E6" i="15"/>
  <c r="E5" i="15"/>
  <c r="E4" i="15"/>
  <c r="E3" i="15"/>
  <c r="E2" i="15"/>
  <c r="E2" i="13" l="1" a="1"/>
  <c r="E2" i="13" s="1"/>
  <c r="F2" i="13" s="1"/>
  <c r="C26" i="13"/>
  <c r="H2" i="13" l="1"/>
  <c r="I2" i="13"/>
  <c r="G2" i="13"/>
  <c r="F7" i="13"/>
  <c r="F13" i="13"/>
  <c r="F12" i="13"/>
  <c r="F11" i="13"/>
  <c r="F3" i="13"/>
  <c r="F14" i="13" s="1"/>
  <c r="F8" i="13"/>
  <c r="F6" i="13"/>
  <c r="F5" i="13"/>
  <c r="F4" i="13"/>
  <c r="F10" i="13"/>
  <c r="F9" i="13"/>
  <c r="H11" i="13" l="1"/>
  <c r="G11" i="13"/>
  <c r="I11" i="13"/>
  <c r="I9" i="13"/>
  <c r="H9" i="13"/>
  <c r="G9" i="13"/>
  <c r="H12" i="13"/>
  <c r="I12" i="13"/>
  <c r="G12" i="13"/>
  <c r="H8" i="13"/>
  <c r="I8" i="13"/>
  <c r="G8" i="13"/>
  <c r="I10" i="13"/>
  <c r="H10" i="13"/>
  <c r="G10" i="13"/>
  <c r="I4" i="13"/>
  <c r="H4" i="13"/>
  <c r="G4" i="13"/>
  <c r="I5" i="13"/>
  <c r="G5" i="13"/>
  <c r="H5" i="13"/>
  <c r="H3" i="13"/>
  <c r="H14" i="13" s="1"/>
  <c r="G3" i="13"/>
  <c r="G14" i="13" s="1"/>
  <c r="C21" i="13" s="1"/>
  <c r="C22" i="13" s="1"/>
  <c r="I3" i="13"/>
  <c r="I14" i="13" s="1"/>
  <c r="I13" i="13"/>
  <c r="H13" i="13"/>
  <c r="G13" i="13"/>
  <c r="G7" i="13"/>
  <c r="I7" i="13"/>
  <c r="H7" i="13"/>
  <c r="G6" i="13"/>
  <c r="I6" i="13"/>
  <c r="H6" i="13"/>
  <c r="E2" i="12" a="1"/>
  <c r="E2" i="12" s="1"/>
  <c r="F2" i="12" s="1"/>
  <c r="H2" i="12" s="1"/>
  <c r="C23" i="13" l="1"/>
  <c r="C24" i="13" s="1"/>
  <c r="C27" i="13" s="1"/>
  <c r="F13" i="12"/>
  <c r="F12" i="12"/>
  <c r="F11" i="12"/>
  <c r="F3" i="12"/>
  <c r="F9" i="12"/>
  <c r="F5" i="12"/>
  <c r="F4" i="12"/>
  <c r="F10" i="12"/>
  <c r="F8" i="12"/>
  <c r="F7" i="12"/>
  <c r="F6" i="12"/>
  <c r="H15" i="11"/>
  <c r="E14" i="11"/>
  <c r="E15" i="11" s="1"/>
  <c r="H5" i="12" l="1"/>
  <c r="G5" i="12"/>
  <c r="G3" i="12"/>
  <c r="H3" i="12"/>
  <c r="H8" i="12"/>
  <c r="G8" i="12"/>
  <c r="G10" i="12"/>
  <c r="H10" i="12"/>
  <c r="G4" i="12"/>
  <c r="H4" i="12"/>
  <c r="H9" i="12"/>
  <c r="G9" i="12"/>
  <c r="H6" i="12"/>
  <c r="G6" i="12"/>
  <c r="G11" i="12"/>
  <c r="H11" i="12"/>
  <c r="H7" i="12"/>
  <c r="G7" i="12"/>
  <c r="G12" i="12"/>
  <c r="H12" i="12"/>
  <c r="H13" i="12"/>
  <c r="G13" i="12"/>
  <c r="H3" i="11"/>
  <c r="H4" i="11"/>
  <c r="H5" i="11"/>
  <c r="H6" i="11"/>
  <c r="H7" i="11"/>
  <c r="H8" i="11"/>
  <c r="H9" i="11"/>
  <c r="H10" i="11"/>
  <c r="H11" i="11"/>
  <c r="H12" i="11"/>
  <c r="H13" i="11"/>
  <c r="H2" i="11"/>
  <c r="G14" i="12" l="1"/>
  <c r="H14" i="12"/>
  <c r="G3" i="11"/>
  <c r="G4" i="11"/>
  <c r="G5" i="11"/>
  <c r="G6" i="11"/>
  <c r="G7" i="11"/>
  <c r="G8" i="11"/>
  <c r="G9" i="11"/>
  <c r="G10" i="11"/>
  <c r="G11" i="11"/>
  <c r="G12" i="11"/>
  <c r="G13" i="11"/>
  <c r="F3" i="11"/>
  <c r="F4" i="11"/>
  <c r="F5" i="11"/>
  <c r="F6" i="11"/>
  <c r="F7" i="11"/>
  <c r="F8" i="11"/>
  <c r="F9" i="11"/>
  <c r="F10" i="11"/>
  <c r="F11" i="11"/>
  <c r="F12" i="11"/>
  <c r="F13" i="11"/>
  <c r="E3" i="11"/>
  <c r="E4" i="11"/>
  <c r="E5" i="11"/>
  <c r="E6" i="11"/>
  <c r="E7" i="11"/>
  <c r="E8" i="11"/>
  <c r="E9" i="11"/>
  <c r="E10" i="11"/>
  <c r="E11" i="11"/>
  <c r="E12" i="11"/>
  <c r="E13" i="11"/>
  <c r="G2" i="11"/>
  <c r="F2" i="11"/>
  <c r="E2" i="11"/>
  <c r="H15" i="10"/>
  <c r="B17" i="10" s="1"/>
  <c r="B16" i="12" l="1"/>
  <c r="K9" i="10" l="1" a="1"/>
  <c r="G2" i="10" a="1"/>
  <c r="G2" i="10" s="1"/>
  <c r="F2" i="10" s="1"/>
  <c r="H3" i="9" a="1"/>
  <c r="H3" i="9" s="1"/>
  <c r="E13" i="10" l="1"/>
  <c r="E5" i="10"/>
  <c r="F9" i="10"/>
  <c r="E12" i="10"/>
  <c r="E4" i="10"/>
  <c r="F8" i="10"/>
  <c r="E11" i="10"/>
  <c r="E3" i="10"/>
  <c r="F7" i="10"/>
  <c r="E2" i="10"/>
  <c r="E6" i="10"/>
  <c r="F10" i="10"/>
  <c r="E10" i="10"/>
  <c r="F6" i="10"/>
  <c r="E9" i="10"/>
  <c r="F13" i="10"/>
  <c r="F5" i="10"/>
  <c r="E8" i="10"/>
  <c r="F12" i="10"/>
  <c r="F4" i="10"/>
  <c r="E7" i="10"/>
  <c r="F11" i="10"/>
  <c r="F3" i="10"/>
  <c r="K9" i="10"/>
  <c r="I4" i="9"/>
  <c r="J7" i="9"/>
  <c r="J5" i="9"/>
  <c r="I7" i="9"/>
  <c r="I5" i="9"/>
  <c r="H7" i="9"/>
  <c r="H5" i="9"/>
  <c r="J6" i="9"/>
  <c r="J4" i="9"/>
  <c r="I6" i="9"/>
  <c r="H6" i="9"/>
  <c r="H4" i="9"/>
  <c r="J3" i="9"/>
  <c r="I3" i="9"/>
  <c r="A58" i="5" a="1"/>
  <c r="A58" i="5" s="1"/>
  <c r="A51" i="5" a="1"/>
  <c r="B51" i="5" s="1"/>
  <c r="A44" i="5" a="1"/>
  <c r="B46" i="5" s="1"/>
  <c r="A37" i="5" a="1"/>
  <c r="A37" i="5" s="1"/>
  <c r="A30" i="5" a="1"/>
  <c r="B32" i="5" s="1"/>
  <c r="A23" i="5" a="1"/>
  <c r="A23" i="5" s="1"/>
  <c r="A16" i="5" a="1"/>
  <c r="A16" i="5" s="1"/>
  <c r="K2" i="10" l="1" a="1"/>
  <c r="A45" i="5"/>
  <c r="A44" i="5"/>
  <c r="B60" i="5"/>
  <c r="A60" i="5"/>
  <c r="B62" i="5"/>
  <c r="B59" i="5"/>
  <c r="A62" i="5"/>
  <c r="A59" i="5"/>
  <c r="B61" i="5"/>
  <c r="B58" i="5"/>
  <c r="A61" i="5"/>
  <c r="A54" i="5"/>
  <c r="A51" i="5"/>
  <c r="B53" i="5"/>
  <c r="A53" i="5"/>
  <c r="B55" i="5"/>
  <c r="B52" i="5"/>
  <c r="A55" i="5"/>
  <c r="A52" i="5"/>
  <c r="B54" i="5"/>
  <c r="A46" i="5"/>
  <c r="B48" i="5"/>
  <c r="B45" i="5"/>
  <c r="A48" i="5"/>
  <c r="B47" i="5"/>
  <c r="B44" i="5"/>
  <c r="A47" i="5"/>
  <c r="B39" i="5"/>
  <c r="A39" i="5"/>
  <c r="B41" i="5"/>
  <c r="B38" i="5"/>
  <c r="A41" i="5"/>
  <c r="A38" i="5"/>
  <c r="B40" i="5"/>
  <c r="B37" i="5"/>
  <c r="A40" i="5"/>
  <c r="A32" i="5"/>
  <c r="B34" i="5"/>
  <c r="B31" i="5"/>
  <c r="A34" i="5"/>
  <c r="A31" i="5"/>
  <c r="B33" i="5"/>
  <c r="B30" i="5"/>
  <c r="A33" i="5"/>
  <c r="A30" i="5"/>
  <c r="B25" i="5"/>
  <c r="A25" i="5"/>
  <c r="B27" i="5"/>
  <c r="B24" i="5"/>
  <c r="A27" i="5"/>
  <c r="A24" i="5"/>
  <c r="B26" i="5"/>
  <c r="B23" i="5"/>
  <c r="A26" i="5"/>
  <c r="B18" i="5"/>
  <c r="A18" i="5"/>
  <c r="B20" i="5"/>
  <c r="B17" i="5"/>
  <c r="A20" i="5"/>
  <c r="A17" i="5"/>
  <c r="B19" i="5"/>
  <c r="B16" i="5"/>
  <c r="A19" i="5"/>
  <c r="K2" i="10" l="1"/>
  <c r="C14" i="10"/>
  <c r="B14" i="10"/>
  <c r="B15" i="10" s="1"/>
  <c r="B18" i="10" s="1"/>
  <c r="T33" i="7"/>
  <c r="T32" i="7"/>
  <c r="T31" i="7"/>
  <c r="T30" i="7"/>
  <c r="T29" i="7"/>
  <c r="T28" i="7"/>
  <c r="T27" i="7"/>
  <c r="T26" i="7"/>
  <c r="T25" i="7"/>
  <c r="U24" i="7"/>
  <c r="T24" i="7"/>
  <c r="F18" i="4" l="1" a="1"/>
  <c r="F18" i="4" s="1"/>
  <c r="G14" i="4" s="1"/>
  <c r="B18" i="4" a="1"/>
  <c r="B18" i="4" s="1"/>
  <c r="C14" i="4" s="1"/>
  <c r="C18" i="3" l="1"/>
  <c r="C19" i="3"/>
  <c r="C20" i="3"/>
  <c r="C21" i="3"/>
  <c r="C22" i="3"/>
  <c r="C23" i="3"/>
  <c r="C24" i="3"/>
  <c r="C25" i="3"/>
  <c r="C26" i="3"/>
  <c r="C27" i="3"/>
  <c r="C28" i="3"/>
  <c r="C17" i="3"/>
  <c r="F28" i="3"/>
  <c r="F18" i="3"/>
  <c r="F19" i="3"/>
  <c r="F20" i="3"/>
  <c r="F21" i="3"/>
  <c r="F22" i="3"/>
  <c r="F23" i="3"/>
  <c r="F24" i="3"/>
  <c r="F25" i="3"/>
  <c r="F26" i="3"/>
  <c r="F27" i="3"/>
  <c r="F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<sst xmlns="http://schemas.openxmlformats.org/spreadsheetml/2006/main" count="1163" uniqueCount="328">
  <si>
    <t>Pet ownership in the United Kingdom (UK) 2012-2023</t>
  </si>
  <si>
    <t>Share of households owning a pet in the United Kingdom (UK) from 2012 to 2023*</t>
  </si>
  <si>
    <t>in %</t>
  </si>
  <si>
    <t>Number of veterinarians in the United Kingdom (UK) 2010-2023</t>
  </si>
  <si>
    <t>Annual number of veterinarians in the United Kingdom (UK) from 2010 to 2023 (in 1,000)</t>
  </si>
  <si>
    <t>CPI annual inflation rate UK 2000-2028</t>
  </si>
  <si>
    <t>Annual inflation rate of the Consumer Price Index in the United Kingdom from 2000 to 2028</t>
  </si>
  <si>
    <t>2023*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</si>
  <si>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</si>
  <si>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</si>
  <si>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</si>
  <si>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</si>
  <si>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</si>
  <si>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</si>
  <si>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</si>
  <si>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</si>
  <si>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</si>
  <si>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</si>
  <si>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</si>
  <si>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</si>
  <si>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Unemployment rate of the UK 1971-2024</t>
  </si>
  <si>
    <t>Unemployment rate in the United Kingdom from March 1971 to January 2024</t>
  </si>
  <si>
    <t>Anxiety levels in the UK 2011-2023</t>
  </si>
  <si>
    <t>Anxiety levels of people in the United Kingdom from 2011/12 to 2022/23 (average score 0-10)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</si>
  <si>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</si>
  <si>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</si>
  <si>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</si>
  <si>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</si>
  <si>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</si>
  <si>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</si>
  <si>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</si>
  <si>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</si>
  <si>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</si>
  <si>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</si>
  <si>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</si>
  <si>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</si>
  <si>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Number of workers reporting work-related stress in Britain 2008-2023</t>
  </si>
  <si>
    <t>Number of workers reporting work-related stress, depression or anxiety in Great Britain from 2008/09 to 2022/23 (in 1,000s)</t>
  </si>
  <si>
    <t>2008/09</t>
  </si>
  <si>
    <t>2009/10</t>
  </si>
  <si>
    <t>2010/11</t>
  </si>
  <si>
    <t>Marital status of people in England and Wales 2002-2022</t>
  </si>
  <si>
    <t>Marital status of the adult population in England and Wales from 2002 to 2022</t>
  </si>
  <si>
    <t>Single</t>
  </si>
  <si>
    <t>Married</t>
  </si>
  <si>
    <t>Divorced</t>
  </si>
  <si>
    <t>Widowed</t>
  </si>
  <si>
    <t>In civil partnership</t>
  </si>
  <si>
    <t>-</t>
  </si>
  <si>
    <t>Population of the UK 1990-2021, by generation</t>
  </si>
  <si>
    <t>Population of the United Kingdom from 1990 to 2021, by generation</t>
  </si>
  <si>
    <t>Greatest Generation*</t>
  </si>
  <si>
    <t>Silent Generation*</t>
  </si>
  <si>
    <t>Baby Boomers</t>
  </si>
  <si>
    <t>Generation X</t>
  </si>
  <si>
    <t>Millennials</t>
  </si>
  <si>
    <t>Generation Z</t>
  </si>
  <si>
    <t>Generation Alpha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</si>
  <si>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</si>
  <si>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</si>
  <si>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</si>
  <si>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</si>
  <si>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</si>
  <si>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</si>
  <si>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</si>
  <si>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</si>
  <si>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</si>
  <si>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</si>
  <si>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Population of the United Kingdom (UK) 2015 to 2025</t>
  </si>
  <si>
    <t>Total population of the United Kingdom (UK) from 2015 to 2025 (in millions)</t>
  </si>
  <si>
    <t>Annual number of veterinarians in the United Kingdom (UK) from 2010 to 2023 (per population)</t>
  </si>
  <si>
    <t>Błąd standardowy</t>
  </si>
  <si>
    <t>PODSUMOWANIE - WYJŚCIE</t>
  </si>
  <si>
    <t>Statystyki regresji</t>
  </si>
  <si>
    <t>Wielokrotność R</t>
  </si>
  <si>
    <t>R kwadrat</t>
  </si>
  <si>
    <t>Dopasowany R kwadrat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</si>
  <si>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</si>
  <si>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</si>
  <si>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</si>
  <si>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</si>
  <si>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</si>
  <si>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</si>
  <si>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</si>
  <si>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</si>
  <si>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</si>
  <si>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</si>
  <si>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</si>
  <si>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</si>
  <si>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</si>
  <si>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</si>
  <si>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</si>
  <si>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</si>
  <si>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</si>
  <si>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</si>
  <si>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UK Populaton</t>
  </si>
  <si>
    <t>Unmarried population of UK 2012-2022</t>
  </si>
  <si>
    <t>Percentage of unmarried individuals relative to the population in UK 2012-2022</t>
  </si>
  <si>
    <t>Percentage of unmarried individuals relative to the population in UK</t>
  </si>
  <si>
    <t>Anxiety levels in the UK</t>
  </si>
  <si>
    <t>SKŁADNIKI RESZTOWE - WYJŚCIE</t>
  </si>
  <si>
    <t>Obserwacja</t>
  </si>
  <si>
    <t>Przewidywane Share of households owning a pet in the UK</t>
  </si>
  <si>
    <t>Składniki resztowe</t>
  </si>
  <si>
    <t>Model zmiennej "Share of households owning a pet in the UK"</t>
  </si>
  <si>
    <t>Model zmiennej "CPI annual inflation rate UK relative to the population"</t>
  </si>
  <si>
    <t>Model zmiennej "Annual number of veterinarians in the UK relative to the population"</t>
  </si>
  <si>
    <t>Model zmiennej "Unemployment rate of the UK"</t>
  </si>
  <si>
    <t>Model zmiennej "Number of workers reporting work-related stress in UK relative to the population"</t>
  </si>
  <si>
    <t>Model zmiennej "Percentage of unmarried individuals relative to the population in UK"</t>
  </si>
  <si>
    <t>Funkcje reglinP zmiennych w kolejności występowania</t>
  </si>
  <si>
    <t>Y=</t>
  </si>
  <si>
    <t>0,0043x-8,67</t>
  </si>
  <si>
    <t>0,000016x-0,032</t>
  </si>
  <si>
    <t>-0,003x+6,152</t>
  </si>
  <si>
    <t>0,020x-36,347</t>
  </si>
  <si>
    <t>0,00000075x-0,0015</t>
  </si>
  <si>
    <t>0,0012x-1,768</t>
  </si>
  <si>
    <t>0,01x-20,4</t>
  </si>
  <si>
    <t>CPI annual inflation rate UK</t>
  </si>
  <si>
    <t>Yt</t>
  </si>
  <si>
    <t>Yt^2</t>
  </si>
  <si>
    <t>Yt^3</t>
  </si>
  <si>
    <t>F=</t>
  </si>
  <si>
    <t>T=12</t>
  </si>
  <si>
    <t>K=3</t>
  </si>
  <si>
    <t>T-k-2=</t>
  </si>
  <si>
    <t>Fkryt=</t>
  </si>
  <si>
    <t>Fist=</t>
  </si>
  <si>
    <t>&gt;0,05</t>
  </si>
  <si>
    <t>Model jest liniowy</t>
  </si>
  <si>
    <r>
      <t>X</t>
    </r>
    <r>
      <rPr>
        <vertAlign val="subscript"/>
        <sz val="10"/>
        <rFont val="Calibri"/>
        <family val="2"/>
        <charset val="238"/>
        <scheme val="minor"/>
      </rPr>
      <t>1</t>
    </r>
    <r>
      <rPr>
        <vertAlign val="superscript"/>
        <sz val="1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</si>
  <si>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r>
      <t>X</t>
    </r>
    <r>
      <rPr>
        <vertAlign val="subscript"/>
        <sz val="10"/>
        <rFont val="Calibri"/>
        <family val="2"/>
        <charset val="238"/>
        <scheme val="minor"/>
      </rPr>
      <t>2</t>
    </r>
    <r>
      <rPr>
        <vertAlign val="superscript"/>
        <sz val="10"/>
        <rFont val="Calibri"/>
        <family val="2"/>
        <charset val="238"/>
        <scheme val="minor"/>
      </rPr>
      <t>2</t>
    </r>
  </si>
  <si>
    <r>
      <t>X</t>
    </r>
    <r>
      <rPr>
        <vertAlign val="subscript"/>
        <sz val="10"/>
        <rFont val="Calibri"/>
        <family val="2"/>
        <charset val="238"/>
        <scheme val="minor"/>
      </rPr>
      <t>2</t>
    </r>
    <r>
      <rPr>
        <sz val="10"/>
        <rFont val="Calibri"/>
        <family val="2"/>
        <charset val="238"/>
        <scheme val="minor"/>
      </rPr>
      <t>X</t>
    </r>
    <r>
      <rPr>
        <vertAlign val="subscript"/>
        <sz val="10"/>
        <rFont val="Calibri"/>
        <family val="2"/>
        <charset val="238"/>
        <scheme val="minor"/>
      </rPr>
      <t>1</t>
    </r>
  </si>
  <si>
    <r>
      <t>e</t>
    </r>
    <r>
      <rPr>
        <vertAlign val="subscript"/>
        <sz val="10"/>
        <rFont val="Calibri"/>
        <family val="2"/>
        <charset val="238"/>
        <scheme val="minor"/>
      </rPr>
      <t>t</t>
    </r>
    <r>
      <rPr>
        <vertAlign val="superscript"/>
        <sz val="10"/>
        <rFont val="Calibri"/>
        <family val="2"/>
        <charset val="238"/>
        <scheme val="minor"/>
      </rPr>
      <t>2</t>
    </r>
  </si>
  <si>
    <t>X12</t>
  </si>
  <si>
    <t>X22</t>
  </si>
  <si>
    <t>X2X1</t>
  </si>
  <si>
    <t>Femp=</t>
  </si>
  <si>
    <t>T=</t>
  </si>
  <si>
    <t>P=</t>
  </si>
  <si>
    <t>Fist&gt;0,05</t>
  </si>
  <si>
    <r>
      <t>Y</t>
    </r>
    <r>
      <rPr>
        <vertAlign val="subscript"/>
        <sz val="10"/>
        <rFont val="Calibri"/>
        <family val="2"/>
        <charset val="238"/>
        <scheme val="minor"/>
      </rPr>
      <t>t</t>
    </r>
  </si>
  <si>
    <r>
      <t>e</t>
    </r>
    <r>
      <rPr>
        <vertAlign val="subscript"/>
        <sz val="10"/>
        <rFont val="Calibri"/>
        <family val="2"/>
        <charset val="238"/>
        <scheme val="minor"/>
      </rPr>
      <t>t</t>
    </r>
  </si>
  <si>
    <r>
      <t>(e</t>
    </r>
    <r>
      <rPr>
        <vertAlign val="subscript"/>
        <sz val="10"/>
        <rFont val="Calibri"/>
        <family val="2"/>
        <charset val="238"/>
        <scheme val="minor"/>
      </rPr>
      <t>t</t>
    </r>
    <r>
      <rPr>
        <sz val="10"/>
        <rFont val="Calibri"/>
        <family val="2"/>
        <charset val="238"/>
        <scheme val="minor"/>
      </rPr>
      <t>-e</t>
    </r>
    <r>
      <rPr>
        <vertAlign val="subscript"/>
        <sz val="10"/>
        <rFont val="Calibri"/>
        <family val="2"/>
        <charset val="238"/>
        <scheme val="minor"/>
      </rPr>
      <t>t-1</t>
    </r>
    <r>
      <rPr>
        <sz val="10"/>
        <rFont val="Calibri"/>
        <family val="2"/>
        <charset val="238"/>
        <scheme val="minor"/>
      </rPr>
      <t>)</t>
    </r>
    <r>
      <rPr>
        <vertAlign val="superscript"/>
        <sz val="10"/>
        <rFont val="Calibri"/>
        <family val="2"/>
        <charset val="238"/>
        <scheme val="minor"/>
      </rPr>
      <t>2</t>
    </r>
  </si>
  <si>
    <t>et^2</t>
  </si>
  <si>
    <t>DW=</t>
  </si>
  <si>
    <t>alfa</t>
  </si>
  <si>
    <t>T</t>
  </si>
  <si>
    <t>K</t>
  </si>
  <si>
    <t>dL</t>
  </si>
  <si>
    <t>dU</t>
  </si>
  <si>
    <t>DW&gt;dU</t>
  </si>
  <si>
    <t>Brak autokorelacji</t>
  </si>
  <si>
    <t>H0=</t>
  </si>
  <si>
    <t>H1=</t>
  </si>
  <si>
    <t>Autokorelacja dodatnia</t>
  </si>
  <si>
    <t>Decyzja=</t>
  </si>
  <si>
    <t>Ponieważ statystyka DW jest większa od górnej granicy dU nie ma podstaw do odrzucenia H0 o braku autokorelacji</t>
  </si>
  <si>
    <t>odch std</t>
  </si>
  <si>
    <t>S=</t>
  </si>
  <si>
    <t>K=</t>
  </si>
  <si>
    <t>JBT=</t>
  </si>
  <si>
    <t>Chikwadrat=</t>
  </si>
  <si>
    <t>IstotnoscChi=</t>
  </si>
  <si>
    <t>et</t>
  </si>
  <si>
    <t>et^3</t>
  </si>
  <si>
    <t>et^4</t>
  </si>
  <si>
    <t>Decyzja:</t>
  </si>
  <si>
    <t>Ponieważ Fits jest większe od alfy, nie ma podstaw do odrzucenia H0 o liniowości modelu</t>
  </si>
  <si>
    <t>Ponieważ Fist jest większe od alfy to nie ma podstaw do odrzucenia hipotezy 0, składniki resztowe są homoskedastyczne</t>
  </si>
  <si>
    <t>X</t>
  </si>
  <si>
    <t>b1</t>
  </si>
  <si>
    <t>Z=1/X</t>
  </si>
  <si>
    <t xml:space="preserve"> </t>
  </si>
  <si>
    <t>Interpretacja:</t>
  </si>
  <si>
    <t>V=</t>
  </si>
  <si>
    <t>b2</t>
  </si>
  <si>
    <t>R^2 na bardzo niskim poziomie</t>
  </si>
  <si>
    <t>Błąd standardowy bardzo wysoki</t>
  </si>
  <si>
    <t>P value b1 poniżej 0,05; natomiast b2 powyżej 0,05 - zmienna nie ważna</t>
  </si>
  <si>
    <t>Wraz z upływem czasu coroczny przysrost CPI maleje w czasie i dąży do poziomu 3,3%</t>
  </si>
  <si>
    <t>Z=X^2</t>
  </si>
  <si>
    <t>Oszacowanie wierzchołka:</t>
  </si>
  <si>
    <t>Delta=</t>
  </si>
  <si>
    <t>yw=</t>
  </si>
  <si>
    <t>xw=</t>
  </si>
  <si>
    <t>Model teoretyczny</t>
  </si>
  <si>
    <t>Model oryginalny =</t>
  </si>
  <si>
    <t>b3</t>
  </si>
  <si>
    <t>R^2 na zadowalającym poziomie</t>
  </si>
  <si>
    <t>V na za wysokim poziomie - zauważalnie powyżej 10%</t>
  </si>
  <si>
    <t>Statystyki p value poniżej poziomu 0,05 - wszystkie zmienne są ważne</t>
  </si>
  <si>
    <t>Parabola</t>
  </si>
  <si>
    <t>F. wykładnicza</t>
  </si>
  <si>
    <t>W=lnY</t>
  </si>
  <si>
    <t>Model oryginalny:</t>
  </si>
  <si>
    <t>b1*</t>
  </si>
  <si>
    <t>b1*=</t>
  </si>
  <si>
    <t>b2=</t>
  </si>
  <si>
    <t>b1=</t>
  </si>
  <si>
    <t>Model pomocniczy</t>
  </si>
  <si>
    <t>b0*</t>
  </si>
  <si>
    <t>P-value zmiennej b2 jest większa od 0,05 co oznacza że jest to zmienna nieważna</t>
  </si>
  <si>
    <t>W roku 2011 (x=0) teoretyczna wartość dorocznego przyrostu CPI wyniosła 3%</t>
  </si>
  <si>
    <t>Corocznie doroczna wartość przyrostu CPI malała średnio o 2%</t>
  </si>
  <si>
    <t>Nie można utworzyć ponieważ jedna z wartości zmiennej Y jest równa 0</t>
  </si>
  <si>
    <t>b0</t>
  </si>
  <si>
    <t>Z1=LnX</t>
  </si>
  <si>
    <t>Jeżeli x mamy na poziomie 1 (2012) to teoretyczna wartość dorocznego przyrostu CPI w tym roku wynosi 3%</t>
  </si>
  <si>
    <t>Jeżeli zwiększy się rok o 1% to doroczny przyrost CPI wzrośnie o 4,5%</t>
  </si>
  <si>
    <t>Wartość R^2 niedopuszczalnie niska</t>
  </si>
  <si>
    <t>V znacząco powyżej 10%</t>
  </si>
  <si>
    <t>Wartość p value zmiennej b1 zauważalnie powyżej 0,05 - zmienna nieważna</t>
  </si>
  <si>
    <t>F. potęgowa</t>
  </si>
  <si>
    <t>Model pomocniczy:</t>
  </si>
  <si>
    <t>Ŷ=b1+b2*Z</t>
  </si>
  <si>
    <t>Ŷ=b1+b2*1/X</t>
  </si>
  <si>
    <t>Ŷ= 3 + 0,04 * 1/X</t>
  </si>
  <si>
    <t>Ŷ= 3+ 0,04 * Z</t>
  </si>
  <si>
    <t>V na dobrym poziomie poniżej 10%</t>
  </si>
  <si>
    <t>R^2 za niskie</t>
  </si>
  <si>
    <t>Wartość p value zmiennej b2 za wysoka - zmienna nieważna</t>
  </si>
  <si>
    <t>R^2 niskie</t>
  </si>
  <si>
    <t>R^2 na wysokim poziomie</t>
  </si>
  <si>
    <t>V na dobrym poziomie - poniżej 10%</t>
  </si>
  <si>
    <t>P value wszystkich zmiennych na dobrym poziomie - poniżej wartości 0,05</t>
  </si>
  <si>
    <t>Minimalny doroczny przyrost CPI wynosi 1% i jest osiągany w roku 2016 (X=5)</t>
  </si>
  <si>
    <t>Minimalna wartość średniego poziomu niepokoju w UK wynosi 2,89 i jest osiągana w roku 2016/2017 (X=5,53)</t>
  </si>
  <si>
    <t>Ŷ=b1 + b2*X + b3*Z</t>
  </si>
  <si>
    <t>Ŷ=b1 + b2*X + b3*X^2</t>
  </si>
  <si>
    <t>Ŷ= 3,19 - 0,11*X + 0,01* X^2</t>
  </si>
  <si>
    <t>Ŷ= 0,045 - 0,015*X + 0,001* Z</t>
  </si>
  <si>
    <t>Ŷ= 0,045 - 0,015*X + 0,001* X^2</t>
  </si>
  <si>
    <t>Wartość p value zmiennej b2 powyżej 0,05 przez co zmienna jest nieważna</t>
  </si>
  <si>
    <t>W roku 2011 (x=0) teoretyczna średnia wartość poziomu niepokoju w UK wyniosła 2,89 (w sklai 1-10)</t>
  </si>
  <si>
    <t>Corocznie średnia wartość poziomu niepokoju w UK rosła średnio o 1%</t>
  </si>
  <si>
    <t>Wraz z upływem czasu średnia wartość poziomu niepokoju w UK rośnie w czasie i dąży do poziomu 3(w skali 0-10)</t>
  </si>
  <si>
    <t>R^2 za niski</t>
  </si>
  <si>
    <t>V na dobrym poziomie, poniżej 10%</t>
  </si>
  <si>
    <t>Wartość p value zmiennej b1 jest za wysoka, powyżej 0,05 - zmienn ajest nieważna</t>
  </si>
  <si>
    <t>B1(elastyczność czasu)</t>
  </si>
  <si>
    <t>b1(elastyczność czasu)</t>
  </si>
  <si>
    <t>Jeżeli zwiększy się rok o 1% to średnia wartość poziomu niepokoju w UK wzrośnie o 1%</t>
  </si>
  <si>
    <t>Jeżeli x mamy na poziomie 1 (2012) to teoretyczna wartość średniego poziomu niepokoju w tym roku wynosi 2,95 (w skali 1-10)</t>
  </si>
  <si>
    <t>V za wysokie - powyżej 10%</t>
  </si>
  <si>
    <t>Wartość p value zmiennej b2 za wysokie - powyżej wartości 0,05</t>
  </si>
  <si>
    <t>Ŷ= 0,033 - 0,018 * Z</t>
  </si>
  <si>
    <t>Ŷ= 0,033 - 0,018*1/X</t>
  </si>
  <si>
    <t>Ŷ=  0,49 - 0,042 * Z</t>
  </si>
  <si>
    <t>Ŷ=0,49 - 0,042*1/X</t>
  </si>
  <si>
    <t>R^2 na dobrym poziomie</t>
  </si>
  <si>
    <t>V na dobrym poziomie - 10%</t>
  </si>
  <si>
    <t>Wartości p value na dobrym poziomie powyżej wartości 0,05</t>
  </si>
  <si>
    <t>Ŷ= 0,54 - 0,04*X + 0,004* Z</t>
  </si>
  <si>
    <t>Ŷ= 0,54 - 0,04*X + 0,004* X^2</t>
  </si>
  <si>
    <t>Minimalny odsetek gospodarstw domowych posiadających zwierzę domowe wynoszący 42,4% miał miejsce w 5 obserwacji (2016 r.)</t>
  </si>
  <si>
    <t>V na za wysokim poziomie - powyżej 10%</t>
  </si>
  <si>
    <t>Wartość p value zmiennej b2 za wysoka - zmienna nie ważna</t>
  </si>
  <si>
    <t>W roku 2011(X=0) teoretyczny odsetek gospodarstw domowych posiadających zwierzę domowe wynosił 45%</t>
  </si>
  <si>
    <t>Co roku odsetek gospodarstw domowych posiadających zwierzę domowe rośnie średnio o 2%</t>
  </si>
  <si>
    <t>R^2 bardzo niski</t>
  </si>
  <si>
    <t>V zauważalnie powyżej 10%</t>
  </si>
  <si>
    <t>Jeżeli rok jest na poziomie startowym (1) to odsetek gospodarstw domowych posiadających zwierzę domowe wynosi 43%</t>
  </si>
  <si>
    <t>Jeżeli zwiększymy rok o 1, to odsetek gospodarstw domowych posiadających zwierzę domowe spadnie o 0,05%</t>
  </si>
  <si>
    <t>Wartość p value zmiennej b1 za wysoka - zmienna nie ważna</t>
  </si>
  <si>
    <t>Odsetek gospodarstw domowych posiadających zwierzę domowe w UK</t>
  </si>
  <si>
    <t>Coroczna inflacja wskaźnika CPI w UK</t>
  </si>
  <si>
    <t>Liczba weterynarzy w UK względem populacji</t>
  </si>
  <si>
    <t>Bezrobocie w UK</t>
  </si>
  <si>
    <t>Średn poziom niepokoju w UK (w skali 1-10)</t>
  </si>
  <si>
    <t>Liczba pracowników zgłaszających stres związany z pracą względem populacji w UK</t>
  </si>
  <si>
    <t>Rok</t>
  </si>
  <si>
    <t>Liczba pracowników zgłaszających stres związany z pracą na 10 000 mieszkańców w UK</t>
  </si>
  <si>
    <t>Model teoretyczny:</t>
  </si>
  <si>
    <t>Ŷ= -4,83+0,88*X1+3,15*X2-2,29*X3+0,38*X4-2,20*X5+7,59*X6</t>
  </si>
  <si>
    <t>Coroczna inflacja wskaźnika CPI w UK (X1)</t>
  </si>
  <si>
    <t>Bezrobocie w UK (X3)</t>
  </si>
  <si>
    <t>Średn poziom niepokoju w UK [w skali 1-10] (X4)</t>
  </si>
  <si>
    <t>Y= 1,433*X1 + 0,235*X4 -0,271</t>
  </si>
  <si>
    <t>Średni poziom niepokoju w UK (w skali 1-10)</t>
  </si>
  <si>
    <t>V na zbyt wysokim poziomie</t>
  </si>
  <si>
    <t>P value zbyt wysokie dla b0, zmienna nie ważna</t>
  </si>
  <si>
    <t>Model liniowy</t>
  </si>
  <si>
    <t>Model hiperboliczny:</t>
  </si>
  <si>
    <t>2024*</t>
  </si>
  <si>
    <t>R^2 zbyt niskie</t>
  </si>
  <si>
    <t>V na dobrym poziomie</t>
  </si>
  <si>
    <t>P value b1 zbyt niskie - zmienna nieważna</t>
  </si>
  <si>
    <t>https://www.statista.com/statistics/306720/cpi-rate-forecast-uk/</t>
  </si>
  <si>
    <t>https://www.statista.com/statistics/528577/uk-population-by-generation/</t>
  </si>
  <si>
    <t>https://www.statista.com/statistics/1166036/anxiety-in-the-uk/</t>
  </si>
  <si>
    <t>https://www.statista.com/statistics/279898/unemployment-rate-in-the-united-kingdom-uk/</t>
  </si>
  <si>
    <t>https://www.statista.com/statistics/308235/estimated-pet-ownership-in-the-united-kingdom-uk/</t>
  </si>
  <si>
    <t>https://www.statista.com/statistics/318888/numbers-of-veterinarians-in-the-uk/</t>
  </si>
  <si>
    <t>https://www.statista.com/statistics/621325/marital-status-in-england-and-wales/</t>
  </si>
  <si>
    <t>https://www.statista.com/statistics/292309/work-related-stress-depression-or-anxiety-among-workers-in-great-britain-gb/</t>
  </si>
  <si>
    <t>https://www.statista.com/statistics/263754/total-population-of-the-united-kingdom/</t>
  </si>
  <si>
    <t>Number of veterinarians in the United Kingdom (UK) [in 1000 per population] 2012-2023</t>
  </si>
  <si>
    <t>Number of workers reporting work-related stress in Britain [in 1000 per Popualtion] 2012-2023</t>
  </si>
  <si>
    <t>*</t>
  </si>
  <si>
    <t>f. reglinP</t>
  </si>
  <si>
    <t>Liczba pracowników zgłaszających stres związany z pracą w 1000 na 10 000 mieszkańców w UK</t>
  </si>
  <si>
    <t>Liczba weterynarzy w UK  w 1000 względem populacji</t>
  </si>
  <si>
    <t>Liczba weterynarzy w UK  w 1000 względem populacji (X2)</t>
  </si>
  <si>
    <t>Liczba pracowników zgłaszających stres związany z pracą w 1000 na 10 000 mieszkańców w UK (X5)</t>
  </si>
  <si>
    <t>Liczba weterynarzy w UK w 1000 względem populacji</t>
  </si>
  <si>
    <t>b4</t>
  </si>
  <si>
    <t>b5</t>
  </si>
  <si>
    <t>b6</t>
  </si>
  <si>
    <t>Wartoci p value dla wszystkich zmiennych poza b4 są zbyt wysokie - zmienne nieważne, model niepoprawny</t>
  </si>
  <si>
    <t>Zmienna</t>
  </si>
  <si>
    <t>Ŷ = 3,19 - 0,11*X + 0,01* X^2</t>
  </si>
  <si>
    <t>Ŷ =b1 + b2*X + b3*X^2</t>
  </si>
  <si>
    <t>Ŷ =b1 + b2*X + b3*Z</t>
  </si>
  <si>
    <t>Ŷ = 3,19 -0,11*X +0,01* Z</t>
  </si>
  <si>
    <t>Hiperbola</t>
  </si>
  <si>
    <t>Wybieram model paraboliczny, ponieważ mimo wysokiego V, jest to model najlepszy(R^2 najwyższe, V najniższe, p value odpowiednie dla wszystkich zmiennych)</t>
  </si>
  <si>
    <t>Wybieram model paraboliczny, gdyż jest to model najlepszy(R^2 najwyższe, V niskie i poniżej 10%, p value odpowiednie dla wszystkich zmiennych)</t>
  </si>
  <si>
    <t>Wartości p value zmiennych b1, b2 dobre, dla zmiennej b0 za wysoka, więc zmienna b0 nie podlega interpretacji</t>
  </si>
  <si>
    <t xml:space="preserve">składnik losowy ma rozkład normalny  </t>
  </si>
  <si>
    <t>składnik losowy ma rozkład inny niż normalny</t>
  </si>
  <si>
    <t>H1:</t>
  </si>
  <si>
    <t>H0:</t>
  </si>
  <si>
    <t xml:space="preserve">Ponieważ istotność jest wyższa od wartości alfy, odrzucono H0 na rzecz H1 </t>
  </si>
  <si>
    <t>Model teoretyczny badanej zmiennej Y:</t>
  </si>
  <si>
    <t>Odsetek osób stanu wolnego w UK (X6)</t>
  </si>
  <si>
    <t>Odsetek osób stanu wolnego w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</si>
</sst>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\ _z_ł_-;\-* #,##0\ _z_ł_-;_-* &quot;-&quot;\ _z_ł_-;_-@_-"/>
    <numFmt numFmtId="165" formatCode="_-* #,##0.00\ _z_ł_-;\-* #,##0.00\ _z_ł_-;_-* &quot;-&quot;??\ _z_ł_-;_-@_-"/>
    <numFmt numFmtId="166" formatCode="0.0%"/>
    <numFmt numFmtId="167" formatCode="0.000%"/>
    <numFmt numFmtId="168" formatCode="0.000000%"/>
    <numFmt numFmtId="169" formatCode="0.0000%"/>
    <numFmt numFmtId="170" formatCode="0.0000000"/>
    <numFmt numFmtId="171" formatCode="0.00000000"/>
    <numFmt numFmtId="172" formatCode="0.000"/>
    <numFmt numFmtId="173" formatCode="0.0000"/>
    <numFmt numFmtId="174" formatCode="0.00000"/>
    <numFmt numFmtId="175" formatCode="0.000000000000"/>
  </numFmts>
  <fonts count="1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bscript"/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7" applyAlignment="1">
      <alignment horizontal="left" vertical="center"/>
    </xf>
    <xf numFmtId="4" fontId="1" fillId="0" borderId="0" xfId="7" applyNumberFormat="1" applyAlignment="1">
      <alignment horizontal="right" vertical="center"/>
    </xf>
    <xf numFmtId="0" fontId="0" fillId="0" borderId="0" xfId="7" applyFont="1" applyAlignment="1">
      <alignment horizontal="left" vertical="center"/>
    </xf>
    <xf numFmtId="3" fontId="0" fillId="0" borderId="0" xfId="7" applyNumberFormat="1" applyFont="1" applyAlignment="1">
      <alignment horizontal="right" vertical="center"/>
    </xf>
    <xf numFmtId="3" fontId="0" fillId="0" borderId="0" xfId="0" applyNumberFormat="1"/>
    <xf numFmtId="0" fontId="0" fillId="0" borderId="0" xfId="7" applyFont="1" applyAlignment="1">
      <alignment horizontal="right" vertical="center"/>
    </xf>
    <xf numFmtId="166" fontId="0" fillId="0" borderId="0" xfId="8" applyNumberFormat="1" applyFont="1"/>
    <xf numFmtId="4" fontId="0" fillId="0" borderId="0" xfId="0" applyNumberFormat="1"/>
    <xf numFmtId="168" fontId="0" fillId="0" borderId="0" xfId="8" applyNumberFormat="1" applyFont="1"/>
    <xf numFmtId="10" fontId="0" fillId="0" borderId="0" xfId="8" applyNumberFormat="1" applyFont="1"/>
    <xf numFmtId="169" fontId="0" fillId="0" borderId="0" xfId="8" applyNumberFormat="1" applyFont="1"/>
    <xf numFmtId="166" fontId="0" fillId="0" borderId="0" xfId="8" applyNumberFormat="1" applyFont="1" applyAlignment="1">
      <alignment horizontal="right" vertical="center"/>
    </xf>
    <xf numFmtId="10" fontId="4" fillId="0" borderId="0" xfId="8" applyNumberFormat="1" applyFont="1"/>
    <xf numFmtId="9" fontId="0" fillId="0" borderId="0" xfId="8" applyFon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3" xfId="0" applyBorder="1"/>
    <xf numFmtId="0" fontId="1" fillId="0" borderId="3" xfId="7" applyBorder="1" applyAlignment="1">
      <alignment horizontal="left" vertical="center"/>
    </xf>
    <xf numFmtId="4" fontId="1" fillId="0" borderId="3" xfId="7" applyNumberFormat="1" applyBorder="1" applyAlignment="1">
      <alignment horizontal="right" vertical="center"/>
    </xf>
    <xf numFmtId="0" fontId="3" fillId="0" borderId="3" xfId="7" applyFont="1" applyBorder="1" applyAlignment="1">
      <alignment horizontal="left"/>
    </xf>
    <xf numFmtId="0" fontId="0" fillId="0" borderId="3" xfId="7" applyFont="1" applyBorder="1" applyAlignment="1">
      <alignment horizontal="left"/>
    </xf>
    <xf numFmtId="0" fontId="0" fillId="0" borderId="3" xfId="7" applyFont="1" applyBorder="1" applyAlignment="1">
      <alignment horizontal="right" vertical="center"/>
    </xf>
    <xf numFmtId="0" fontId="0" fillId="0" borderId="3" xfId="7" applyFont="1" applyBorder="1" applyAlignment="1">
      <alignment horizontal="left" vertical="center"/>
    </xf>
    <xf numFmtId="3" fontId="0" fillId="0" borderId="3" xfId="7" applyNumberFormat="1" applyFont="1" applyBorder="1" applyAlignment="1">
      <alignment horizontal="right" vertical="center"/>
    </xf>
    <xf numFmtId="4" fontId="0" fillId="0" borderId="3" xfId="7" applyNumberFormat="1" applyFont="1" applyBorder="1" applyAlignment="1">
      <alignment horizontal="right" vertical="center"/>
    </xf>
    <xf numFmtId="0" fontId="0" fillId="0" borderId="4" xfId="0" applyBorder="1"/>
    <xf numFmtId="3" fontId="0" fillId="0" borderId="3" xfId="0" applyNumberFormat="1" applyBorder="1"/>
    <xf numFmtId="167" fontId="0" fillId="0" borderId="0" xfId="8" applyNumberFormat="1" applyFont="1" applyBorder="1"/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0" fillId="0" borderId="0" xfId="0" quotePrefix="1"/>
    <xf numFmtId="170" fontId="0" fillId="0" borderId="0" xfId="0" applyNumberFormat="1"/>
    <xf numFmtId="171" fontId="0" fillId="0" borderId="0" xfId="0" applyNumberFormat="1"/>
    <xf numFmtId="0" fontId="6" fillId="2" borderId="3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9" fontId="0" fillId="0" borderId="0" xfId="0" applyNumberForma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/>
    <xf numFmtId="173" fontId="0" fillId="0" borderId="0" xfId="0" applyNumberFormat="1"/>
    <xf numFmtId="0" fontId="9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vertical="center" wrapText="1"/>
    </xf>
    <xf numFmtId="0" fontId="11" fillId="0" borderId="0" xfId="0" applyFont="1"/>
    <xf numFmtId="172" fontId="0" fillId="0" borderId="0" xfId="0" applyNumberFormat="1"/>
    <xf numFmtId="172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horizontal="right"/>
    </xf>
    <xf numFmtId="0" fontId="12" fillId="0" borderId="0" xfId="0" applyFont="1"/>
    <xf numFmtId="0" fontId="10" fillId="0" borderId="0" xfId="0" applyFont="1" applyAlignment="1">
      <alignment horizontal="right" vertical="center" wrapText="1"/>
    </xf>
    <xf numFmtId="0" fontId="13" fillId="0" borderId="0" xfId="0" applyFont="1"/>
    <xf numFmtId="0" fontId="14" fillId="0" borderId="0" xfId="0" applyFont="1"/>
    <xf numFmtId="1" fontId="0" fillId="0" borderId="0" xfId="0" applyNumberFormat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172" fontId="0" fillId="2" borderId="3" xfId="0" applyNumberFormat="1" applyFill="1" applyBorder="1" applyAlignment="1">
      <alignment horizontal="center"/>
    </xf>
    <xf numFmtId="10" fontId="0" fillId="0" borderId="3" xfId="8" applyNumberFormat="1" applyFont="1" applyBorder="1"/>
    <xf numFmtId="172" fontId="0" fillId="0" borderId="3" xfId="0" applyNumberFormat="1" applyBorder="1" applyAlignment="1">
      <alignment horizontal="center"/>
    </xf>
    <xf numFmtId="9" fontId="4" fillId="0" borderId="0" xfId="0" applyNumberFormat="1" applyFont="1"/>
    <xf numFmtId="9" fontId="4" fillId="0" borderId="0" xfId="8" applyFont="1"/>
    <xf numFmtId="0" fontId="0" fillId="0" borderId="5" xfId="0" applyBorder="1"/>
    <xf numFmtId="0" fontId="4" fillId="0" borderId="5" xfId="0" applyFont="1" applyBorder="1"/>
    <xf numFmtId="9" fontId="0" fillId="0" borderId="3" xfId="8" applyFont="1" applyBorder="1"/>
    <xf numFmtId="169" fontId="0" fillId="0" borderId="3" xfId="8" applyNumberFormat="1" applyFont="1" applyBorder="1"/>
    <xf numFmtId="168" fontId="0" fillId="0" borderId="3" xfId="8" applyNumberFormat="1" applyFont="1" applyBorder="1"/>
    <xf numFmtId="168" fontId="0" fillId="0" borderId="3" xfId="0" applyNumberFormat="1" applyBorder="1"/>
    <xf numFmtId="10" fontId="0" fillId="0" borderId="3" xfId="0" applyNumberFormat="1" applyBorder="1"/>
    <xf numFmtId="0" fontId="0" fillId="3" borderId="3" xfId="0" applyFill="1" applyBorder="1"/>
    <xf numFmtId="168" fontId="0" fillId="3" borderId="3" xfId="8" applyNumberFormat="1" applyFont="1" applyFill="1" applyBorder="1"/>
    <xf numFmtId="168" fontId="0" fillId="3" borderId="3" xfId="0" applyNumberFormat="1" applyFill="1" applyBorder="1"/>
    <xf numFmtId="0" fontId="0" fillId="3" borderId="0" xfId="0" applyFill="1"/>
    <xf numFmtId="0" fontId="0" fillId="2" borderId="3" xfId="0" applyFill="1" applyBorder="1"/>
    <xf numFmtId="0" fontId="0" fillId="2" borderId="0" xfId="0" applyFill="1"/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7" xfId="0" applyFont="1" applyBorder="1" applyAlignment="1">
      <alignment horizontal="center"/>
    </xf>
    <xf numFmtId="9" fontId="0" fillId="0" borderId="3" xfId="0" applyNumberFormat="1" applyBorder="1"/>
    <xf numFmtId="10" fontId="0" fillId="0" borderId="0" xfId="0" applyNumberFormat="1"/>
    <xf numFmtId="0" fontId="15" fillId="0" borderId="3" xfId="17" applyBorder="1"/>
    <xf numFmtId="0" fontId="3" fillId="0" borderId="0" xfId="7" applyFont="1" applyAlignment="1">
      <alignment horizontal="left" vertical="top"/>
    </xf>
    <xf numFmtId="0" fontId="0" fillId="0" borderId="0" xfId="7" applyFont="1" applyAlignment="1">
      <alignment horizontal="left" vertical="top"/>
    </xf>
    <xf numFmtId="0" fontId="4" fillId="4" borderId="0" xfId="0" applyFont="1" applyFill="1"/>
    <xf numFmtId="166" fontId="0" fillId="4" borderId="0" xfId="8" applyNumberFormat="1" applyFont="1" applyFill="1"/>
    <xf numFmtId="168" fontId="0" fillId="4" borderId="0" xfId="8" applyNumberFormat="1" applyFont="1" applyFill="1"/>
    <xf numFmtId="167" fontId="0" fillId="4" borderId="0" xfId="8" applyNumberFormat="1" applyFont="1" applyFill="1"/>
    <xf numFmtId="10" fontId="2" fillId="0" borderId="0" xfId="8" applyNumberFormat="1" applyFont="1"/>
    <xf numFmtId="174" fontId="0" fillId="0" borderId="0" xfId="0" applyNumberFormat="1"/>
    <xf numFmtId="0" fontId="5" fillId="0" borderId="3" xfId="0" applyFont="1" applyBorder="1" applyAlignment="1">
      <alignment horizontal="center"/>
    </xf>
    <xf numFmtId="2" fontId="0" fillId="0" borderId="3" xfId="0" applyNumberFormat="1" applyBorder="1"/>
    <xf numFmtId="10" fontId="4" fillId="0" borderId="0" xfId="0" applyNumberFormat="1" applyFont="1"/>
    <xf numFmtId="175" fontId="0" fillId="0" borderId="0" xfId="0" applyNumberFormat="1"/>
    <xf numFmtId="173" fontId="0" fillId="0" borderId="1" xfId="0" applyNumberFormat="1" applyBorder="1"/>
    <xf numFmtId="2" fontId="6" fillId="0" borderId="0" xfId="0" applyNumberFormat="1" applyFont="1" applyAlignment="1">
      <alignment horizontal="center"/>
    </xf>
  </cellXfs>
  <cellStyles count="18">
    <cellStyle name="Comma" xfId="5" xr:uid="{00000000-0005-0000-0000-000000000000}"/>
    <cellStyle name="Comma [0]" xfId="6" xr:uid="{00000000-0005-0000-0000-000001000000}"/>
    <cellStyle name="Comma [0] 2" xfId="12" xr:uid="{00000000-0005-0000-0000-000002000000}"/>
    <cellStyle name="Comma 2" xfId="11" xr:uid="{00000000-0005-0000-0000-000003000000}"/>
    <cellStyle name="Comma 3" xfId="14" xr:uid="{00000000-0005-0000-0000-000004000000}"/>
    <cellStyle name="Comma 4" xfId="16" xr:uid="{00000000-0005-0000-0000-000005000000}"/>
    <cellStyle name="Currency" xfId="3" xr:uid="{00000000-0005-0000-0000-000006000000}"/>
    <cellStyle name="Currency [0]" xfId="4" xr:uid="{00000000-0005-0000-0000-000007000000}"/>
    <cellStyle name="Currency [0] 2" xfId="10" xr:uid="{00000000-0005-0000-0000-000008000000}"/>
    <cellStyle name="Currency 2" xfId="9" xr:uid="{00000000-0005-0000-0000-000009000000}"/>
    <cellStyle name="Currency 3" xfId="13" xr:uid="{00000000-0005-0000-0000-00000A000000}"/>
    <cellStyle name="Currency 4" xfId="15" xr:uid="{00000000-0005-0000-0000-00000B000000}"/>
    <cellStyle name="Hiperłącze" xfId="17" builtinId="8"/>
    <cellStyle name="Normal" xfId="7" xr:uid="{00000000-0005-0000-0000-00000D000000}"/>
    <cellStyle name="Normalny" xfId="0" builtinId="0"/>
    <cellStyle name="Normalny 2" xfId="1" xr:uid="{00000000-0005-0000-0000-00000F000000}"/>
    <cellStyle name="Percent" xfId="2" xr:uid="{00000000-0005-0000-0000-000010000000}"/>
    <cellStyle name="Procentowy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modelów'!$C$1</c:f>
              <c:strCache>
                <c:ptCount val="1"/>
                <c:pt idx="0">
                  <c:v>Odsetek gospodarstw domowych posiadających zwierzę domowe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056299212598425"/>
                  <c:y val="0.125934674832312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modelów'!$C$2:$C$13</c:f>
              <c:numCache>
                <c:formatCode>0%</c:formatCode>
                <c:ptCount val="12"/>
                <c:pt idx="0">
                  <c:v>0.47</c:v>
                </c:pt>
                <c:pt idx="1">
                  <c:v>0.48</c:v>
                </c:pt>
                <c:pt idx="2">
                  <c:v>0.47</c:v>
                </c:pt>
                <c:pt idx="3">
                  <c:v>0.46</c:v>
                </c:pt>
                <c:pt idx="4">
                  <c:v>0.4</c:v>
                </c:pt>
                <c:pt idx="5">
                  <c:v>0.44</c:v>
                </c:pt>
                <c:pt idx="6">
                  <c:v>0.45</c:v>
                </c:pt>
                <c:pt idx="7">
                  <c:v>0.4</c:v>
                </c:pt>
                <c:pt idx="8">
                  <c:v>0.41</c:v>
                </c:pt>
                <c:pt idx="9">
                  <c:v>0.59</c:v>
                </c:pt>
                <c:pt idx="10">
                  <c:v>0.62</c:v>
                </c:pt>
                <c:pt idx="11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5-4734-8A95-004257A82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0848"/>
        <c:axId val="540362520"/>
      </c:scatterChart>
      <c:valAx>
        <c:axId val="11672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2520"/>
        <c:crosses val="autoZero"/>
        <c:crossBetween val="midCat"/>
      </c:valAx>
      <c:valAx>
        <c:axId val="540362520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72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modelów'!$D$1</c:f>
              <c:strCache>
                <c:ptCount val="1"/>
                <c:pt idx="0">
                  <c:v>Coroczna inflacja wskaźnika CPI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729549431321085"/>
                  <c:y val="-8.3851706036745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modelów'!$D$2:$D$13</c:f>
              <c:numCache>
                <c:formatCode>0.00%</c:formatCode>
                <c:ptCount val="12"/>
                <c:pt idx="0">
                  <c:v>2.7999999999999997E-2</c:v>
                </c:pt>
                <c:pt idx="1">
                  <c:v>2.6000000000000002E-2</c:v>
                </c:pt>
                <c:pt idx="2">
                  <c:v>1.4999999999999999E-2</c:v>
                </c:pt>
                <c:pt idx="3">
                  <c:v>0</c:v>
                </c:pt>
                <c:pt idx="4">
                  <c:v>6.9999999999999993E-3</c:v>
                </c:pt>
                <c:pt idx="5">
                  <c:v>2.7000000000000003E-2</c:v>
                </c:pt>
                <c:pt idx="6">
                  <c:v>2.5000000000000001E-2</c:v>
                </c:pt>
                <c:pt idx="7">
                  <c:v>1.8000000000000002E-2</c:v>
                </c:pt>
                <c:pt idx="8">
                  <c:v>9.0000000000000011E-3</c:v>
                </c:pt>
                <c:pt idx="9">
                  <c:v>2.6000000000000002E-2</c:v>
                </c:pt>
                <c:pt idx="10">
                  <c:v>9.0999999999999998E-2</c:v>
                </c:pt>
                <c:pt idx="11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7-4577-83DA-C4E15C18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71928"/>
        <c:axId val="540359776"/>
      </c:scatterChart>
      <c:valAx>
        <c:axId val="54037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59776"/>
        <c:crosses val="autoZero"/>
        <c:crossBetween val="midCat"/>
      </c:valAx>
      <c:valAx>
        <c:axId val="5403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7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modelów'!$E$1</c:f>
              <c:strCache>
                <c:ptCount val="1"/>
                <c:pt idx="0">
                  <c:v>Liczba weterynarzy w UK w 1000 względem populacji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618810148731407"/>
                  <c:y val="5.40244969378827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modelów'!$E$2:$E$13</c:f>
              <c:numCache>
                <c:formatCode>0.0000%</c:formatCode>
                <c:ptCount val="12"/>
                <c:pt idx="0">
                  <c:v>2.5429706710245023E-4</c:v>
                </c:pt>
                <c:pt idx="1">
                  <c:v>2.1838945266299418E-4</c:v>
                </c:pt>
                <c:pt idx="2">
                  <c:v>3.5450698821513503E-4</c:v>
                </c:pt>
                <c:pt idx="3">
                  <c:v>2.7645506826458923E-4</c:v>
                </c:pt>
                <c:pt idx="4">
                  <c:v>2.7875915131639285E-4</c:v>
                </c:pt>
                <c:pt idx="5">
                  <c:v>4.0732745446249408E-4</c:v>
                </c:pt>
                <c:pt idx="6">
                  <c:v>3.7780979477462263E-4</c:v>
                </c:pt>
                <c:pt idx="7">
                  <c:v>3.2636291022657582E-4</c:v>
                </c:pt>
                <c:pt idx="8">
                  <c:v>4.2485803517827513E-4</c:v>
                </c:pt>
                <c:pt idx="9">
                  <c:v>3.8237213283939082E-4</c:v>
                </c:pt>
                <c:pt idx="10">
                  <c:v>3.9735099337748344E-4</c:v>
                </c:pt>
                <c:pt idx="11">
                  <c:v>4.2917826278013771E-4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4-4D8E-B92E-ED6E1DCB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5264"/>
        <c:axId val="540360952"/>
      </c:scatterChart>
      <c:valAx>
        <c:axId val="5403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0952"/>
        <c:crosses val="autoZero"/>
        <c:crossBetween val="midCat"/>
      </c:valAx>
      <c:valAx>
        <c:axId val="540360952"/>
        <c:scaling>
          <c:orientation val="minMax"/>
          <c:min val="2.0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modelów'!$F$1</c:f>
              <c:strCache>
                <c:ptCount val="1"/>
                <c:pt idx="0">
                  <c:v>Bezrobocie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475021872265966"/>
                  <c:y val="-0.545400627004957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modelów'!$F$2:$F$13</c:f>
              <c:numCache>
                <c:formatCode>0.00%</c:formatCode>
                <c:ptCount val="12"/>
                <c:pt idx="0">
                  <c:v>7.8E-2</c:v>
                </c:pt>
                <c:pt idx="1">
                  <c:v>7.1999999999999995E-2</c:v>
                </c:pt>
                <c:pt idx="2">
                  <c:v>5.7000000000000002E-2</c:v>
                </c:pt>
                <c:pt idx="3">
                  <c:v>5.0999999999999997E-2</c:v>
                </c:pt>
                <c:pt idx="4">
                  <c:v>4.8000000000000001E-2</c:v>
                </c:pt>
                <c:pt idx="5">
                  <c:v>4.3999999999999997E-2</c:v>
                </c:pt>
                <c:pt idx="6">
                  <c:v>0.04</c:v>
                </c:pt>
                <c:pt idx="7">
                  <c:v>0.04</c:v>
                </c:pt>
                <c:pt idx="8">
                  <c:v>5.2999999999999999E-2</c:v>
                </c:pt>
                <c:pt idx="9">
                  <c:v>4.1000000000000002E-2</c:v>
                </c:pt>
                <c:pt idx="10">
                  <c:v>3.7999999999999999E-2</c:v>
                </c:pt>
                <c:pt idx="11">
                  <c:v>3.9E-2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E-451A-9422-C0D11D3B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3696"/>
        <c:axId val="540370360"/>
      </c:scatterChart>
      <c:valAx>
        <c:axId val="54036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70360"/>
        <c:crosses val="autoZero"/>
        <c:crossBetween val="midCat"/>
      </c:valAx>
      <c:valAx>
        <c:axId val="540370360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modelów'!$G$1</c:f>
              <c:strCache>
                <c:ptCount val="1"/>
                <c:pt idx="0">
                  <c:v>Średn poziom niepokoju w UK (w skali 1-10)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426574803149609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modelów'!$G$2:$G$13</c:f>
              <c:numCache>
                <c:formatCode>General</c:formatCode>
                <c:ptCount val="12"/>
                <c:pt idx="0">
                  <c:v>3.13</c:v>
                </c:pt>
                <c:pt idx="1">
                  <c:v>3.03</c:v>
                </c:pt>
                <c:pt idx="2">
                  <c:v>2.92</c:v>
                </c:pt>
                <c:pt idx="3">
                  <c:v>2.86</c:v>
                </c:pt>
                <c:pt idx="4">
                  <c:v>2.87</c:v>
                </c:pt>
                <c:pt idx="5">
                  <c:v>2.9</c:v>
                </c:pt>
                <c:pt idx="6">
                  <c:v>2.89</c:v>
                </c:pt>
                <c:pt idx="7">
                  <c:v>2.87</c:v>
                </c:pt>
                <c:pt idx="8">
                  <c:v>3.05</c:v>
                </c:pt>
                <c:pt idx="9">
                  <c:v>3.31</c:v>
                </c:pt>
                <c:pt idx="10">
                  <c:v>3.12</c:v>
                </c:pt>
                <c:pt idx="11">
                  <c:v>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D-473D-BA69-8D5940585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3304"/>
        <c:axId val="540366440"/>
      </c:scatterChart>
      <c:valAx>
        <c:axId val="54036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6440"/>
        <c:crosses val="autoZero"/>
        <c:crossBetween val="midCat"/>
      </c:valAx>
      <c:valAx>
        <c:axId val="54036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modelów'!$H$1</c:f>
              <c:strCache>
                <c:ptCount val="1"/>
                <c:pt idx="0">
                  <c:v>Liczba pracowników zgłaszających stres związany z pracą w 1000 na 10 000 mieszkańców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59-4262-94AA-D93FED9090B3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139063867016624"/>
                  <c:y val="-1.93518518518518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modelów'!$H$2:$H$13</c:f>
              <c:numCache>
                <c:formatCode>0.000000%</c:formatCode>
                <c:ptCount val="12"/>
                <c:pt idx="0">
                  <c:v>6.7498604230897275E-6</c:v>
                </c:pt>
                <c:pt idx="1">
                  <c:v>7.6124323499672257E-6</c:v>
                </c:pt>
                <c:pt idx="2">
                  <c:v>6.8424492921873226E-6</c:v>
                </c:pt>
                <c:pt idx="3">
                  <c:v>7.4950040729510865E-6</c:v>
                </c:pt>
                <c:pt idx="4">
                  <c:v>8.0124215077826592E-6</c:v>
                </c:pt>
                <c:pt idx="5">
                  <c:v>9.0096593087428984E-6</c:v>
                </c:pt>
                <c:pt idx="6">
                  <c:v>9.0614142013674424E-6</c:v>
                </c:pt>
                <c:pt idx="7">
                  <c:v>1.2395802278330494E-5</c:v>
                </c:pt>
                <c:pt idx="8">
                  <c:v>1.2268707471990191E-5</c:v>
                </c:pt>
                <c:pt idx="9">
                  <c:v>1.3759375173826898E-5</c:v>
                </c:pt>
                <c:pt idx="10">
                  <c:v>1.2877115526122149E-5</c:v>
                </c:pt>
                <c:pt idx="11">
                  <c:v>1.4136026170815394E-5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9-4262-94AA-D93FED90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9184"/>
        <c:axId val="540371144"/>
      </c:scatterChart>
      <c:valAx>
        <c:axId val="54036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71144"/>
        <c:crosses val="autoZero"/>
        <c:crossBetween val="midCat"/>
      </c:valAx>
      <c:valAx>
        <c:axId val="540371144"/>
        <c:scaling>
          <c:orientation val="minMax"/>
          <c:min val="6.0000000000000018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'Wizualizacje modelów'!$I$1</c:f>
              <c:strCache>
                <c:ptCount val="1"/>
                <c:pt idx="0">
                  <c:v>Odsetek osób stanu wolnego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729549431321085"/>
                  <c:y val="-2.3981481481481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'Wizualizacje modelów'!$I$2:$I$13</c:f>
              <c:numCache>
                <c:formatCode>0.00%</c:formatCode>
                <c:ptCount val="12"/>
                <c:pt idx="0">
                  <c:v>0.58470894520833749</c:v>
                </c:pt>
                <c:pt idx="1">
                  <c:v>0.58441066167975764</c:v>
                </c:pt>
                <c:pt idx="2">
                  <c:v>0.58202465541025217</c:v>
                </c:pt>
                <c:pt idx="3">
                  <c:v>0.58732364827903227</c:v>
                </c:pt>
                <c:pt idx="4">
                  <c:v>0.58508290046435951</c:v>
                </c:pt>
                <c:pt idx="5">
                  <c:v>0.58394420120573942</c:v>
                </c:pt>
                <c:pt idx="6">
                  <c:v>0.58852985354652931</c:v>
                </c:pt>
                <c:pt idx="7">
                  <c:v>0.59038528511499067</c:v>
                </c:pt>
                <c:pt idx="8">
                  <c:v>0.58755201689800518</c:v>
                </c:pt>
                <c:pt idx="9">
                  <c:v>0.59464236034392326</c:v>
                </c:pt>
                <c:pt idx="10">
                  <c:v>0.59698638908125079</c:v>
                </c:pt>
                <c:pt idx="11">
                  <c:v>0.59478824657957441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4-4F70-811C-6A8821ACA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0560"/>
        <c:axId val="540370752"/>
      </c:scatterChart>
      <c:valAx>
        <c:axId val="54036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70752"/>
        <c:crosses val="autoZero"/>
        <c:crossBetween val="midCat"/>
      </c:valAx>
      <c:valAx>
        <c:axId val="5403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'Modele nieliniowe Y'!$C$1</c:f>
              <c:strCache>
                <c:ptCount val="1"/>
                <c:pt idx="0">
                  <c:v>Odsetek gospodarstw domowych posiadających zwierzę domowe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145749594787936"/>
                  <c:y val="-0.11659179418760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'Modele nieliniowe Y'!$C$2:$C$13</c:f>
              <c:numCache>
                <c:formatCode>0%</c:formatCode>
                <c:ptCount val="12"/>
                <c:pt idx="0">
                  <c:v>0.47</c:v>
                </c:pt>
                <c:pt idx="1">
                  <c:v>0.48</c:v>
                </c:pt>
                <c:pt idx="2">
                  <c:v>0.47</c:v>
                </c:pt>
                <c:pt idx="3">
                  <c:v>0.46</c:v>
                </c:pt>
                <c:pt idx="4">
                  <c:v>0.4</c:v>
                </c:pt>
                <c:pt idx="5">
                  <c:v>0.44</c:v>
                </c:pt>
                <c:pt idx="6">
                  <c:v>0.45</c:v>
                </c:pt>
                <c:pt idx="7">
                  <c:v>0.4</c:v>
                </c:pt>
                <c:pt idx="8">
                  <c:v>0.41</c:v>
                </c:pt>
                <c:pt idx="9">
                  <c:v>0.59</c:v>
                </c:pt>
                <c:pt idx="10">
                  <c:v>0.62</c:v>
                </c:pt>
                <c:pt idx="11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3E-48C6-8287-D704C2B0D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4088"/>
        <c:axId val="540366832"/>
      </c:scatterChart>
      <c:valAx>
        <c:axId val="54036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6832"/>
        <c:crosses val="autoZero"/>
        <c:crossBetween val="midCat"/>
      </c:valAx>
      <c:valAx>
        <c:axId val="5403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'CPI modele nieliniowe'!$C$1</c:f>
              <c:strCache>
                <c:ptCount val="1"/>
                <c:pt idx="0">
                  <c:v>Coroczna inflacja wskaźnika CPI w 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049876977682905"/>
                  <c:y val="-8.533985814090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'CPI modele nieliniowe'!$B$2:$B$13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xVal>
          <c:yVal>
            <c:numRef>
              <c:f>'CPI modele nieliniowe'!$C$2:$C$13</c:f>
              <c:numCache>
                <c:formatCode>0.00%</c:formatCode>
                <c:ptCount val="12"/>
                <c:pt idx="0">
                  <c:v>2.7999999999999997E-2</c:v>
                </c:pt>
                <c:pt idx="1">
                  <c:v>2.6000000000000002E-2</c:v>
                </c:pt>
                <c:pt idx="2">
                  <c:v>1.4999999999999999E-2</c:v>
                </c:pt>
                <c:pt idx="3">
                  <c:v>0</c:v>
                </c:pt>
                <c:pt idx="4">
                  <c:v>6.9999999999999993E-3</c:v>
                </c:pt>
                <c:pt idx="5">
                  <c:v>2.7000000000000003E-2</c:v>
                </c:pt>
                <c:pt idx="6">
                  <c:v>2.5000000000000001E-2</c:v>
                </c:pt>
                <c:pt idx="7">
                  <c:v>1.8000000000000002E-2</c:v>
                </c:pt>
                <c:pt idx="8">
                  <c:v>9.0000000000000011E-3</c:v>
                </c:pt>
                <c:pt idx="9">
                  <c:v>2.6000000000000002E-2</c:v>
                </c:pt>
                <c:pt idx="10">
                  <c:v>9.0999999999999998E-2</c:v>
                </c:pt>
                <c:pt idx="11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8-45BC-B6C9-B450C3BB0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6048"/>
        <c:axId val="540367224"/>
      </c:scatterChart>
      <c:valAx>
        <c:axId val="540366048"/>
        <c:scaling>
          <c:orientation val="minMax"/>
          <c:max val="2024"/>
          <c:min val="2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7224"/>
        <c:crosses val="autoZero"/>
        <c:crossBetween val="midCat"/>
      </c:valAx>
      <c:valAx>
        <c:axId val="54036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'Niepokój modele nieliniowe'!$C$1</c:f>
              <c:strCache>
                <c:ptCount val="1"/>
                <c:pt idx="0">
                  <c:v>Średni poziom niepokoju w UK (w skali 1-10)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2908422838379118"/>
                  <c:y val="-1.87095951555249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'Niepokój modele nieliniowe'!$B$2:$B$13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xVal>
          <c:yVal>
            <c:numRef>
              <c:f>'Niepokój modele nieliniowe'!$C$2:$C$13</c:f>
              <c:numCache>
                <c:formatCode>General</c:formatCode>
                <c:ptCount val="12"/>
                <c:pt idx="0">
                  <c:v>3.13</c:v>
                </c:pt>
                <c:pt idx="1">
                  <c:v>3.03</c:v>
                </c:pt>
                <c:pt idx="2">
                  <c:v>2.92</c:v>
                </c:pt>
                <c:pt idx="3">
                  <c:v>2.86</c:v>
                </c:pt>
                <c:pt idx="4">
                  <c:v>2.87</c:v>
                </c:pt>
                <c:pt idx="5">
                  <c:v>2.9</c:v>
                </c:pt>
                <c:pt idx="6">
                  <c:v>2.89</c:v>
                </c:pt>
                <c:pt idx="7">
                  <c:v>2.87</c:v>
                </c:pt>
                <c:pt idx="8">
                  <c:v>3.05</c:v>
                </c:pt>
                <c:pt idx="9">
                  <c:v>3.31</c:v>
                </c:pt>
                <c:pt idx="10">
                  <c:v>3.12</c:v>
                </c:pt>
                <c:pt idx="11">
                  <c:v>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E-4E96-9B16-57E408024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67616"/>
        <c:axId val="540369576"/>
      </c:scatterChart>
      <c:valAx>
        <c:axId val="540367616"/>
        <c:scaling>
          <c:orientation val="minMax"/>
          <c:max val="2024"/>
          <c:min val="2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9576"/>
        <c:crosses val="autoZero"/>
        <c:crossBetween val="midCat"/>
      </c:valAx>
      <c:valAx>
        <c:axId val="54036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03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510540</xdr:colOff>
      <xdr:row>1</xdr:row>
      <xdr:rowOff>140970</xdr:rowOff>
    </xdr:from>
    <xdr:to>
      <xdr:col>18</xdr:col>
      <xdr:colOff>0</xdr:colOff>
      <xdr:row>16</xdr:row>
      <xdr:rowOff>140970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510540</xdr:colOff>
      <xdr:row>18</xdr:row>
      <xdr:rowOff>3810</xdr:rowOff>
    </xdr:from>
    <xdr:to>
      <xdr:col>18</xdr:col>
      <xdr:colOff>0</xdr:colOff>
      <xdr:row>33</xdr:row>
      <xdr:rowOff>3810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175260</xdr:colOff>
      <xdr:row>1</xdr:row>
      <xdr:rowOff>148590</xdr:rowOff>
    </xdr:from>
    <xdr:to>
      <xdr:col>25</xdr:col>
      <xdr:colOff>480060</xdr:colOff>
      <xdr:row>16</xdr:row>
      <xdr:rowOff>148590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243840</xdr:colOff>
      <xdr:row>17</xdr:row>
      <xdr:rowOff>171450</xdr:rowOff>
    </xdr:from>
    <xdr:to>
      <xdr:col>25</xdr:col>
      <xdr:colOff>548640</xdr:colOff>
      <xdr:row>32</xdr:row>
      <xdr:rowOff>171450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525780</xdr:colOff>
      <xdr:row>34</xdr:row>
      <xdr:rowOff>11430</xdr:rowOff>
    </xdr:from>
    <xdr:to>
      <xdr:col>18</xdr:col>
      <xdr:colOff>15240</xdr:colOff>
      <xdr:row>49</xdr:row>
      <xdr:rowOff>11430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289560</xdr:colOff>
      <xdr:row>33</xdr:row>
      <xdr:rowOff>171450</xdr:rowOff>
    </xdr:from>
    <xdr:to>
      <xdr:col>25</xdr:col>
      <xdr:colOff>594360</xdr:colOff>
      <xdr:row>48</xdr:row>
      <xdr:rowOff>171450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38100</xdr:colOff>
      <xdr:row>1</xdr:row>
      <xdr:rowOff>163830</xdr:rowOff>
    </xdr:from>
    <xdr:to>
      <xdr:col>33</xdr:col>
      <xdr:colOff>342900</xdr:colOff>
      <xdr:row>16</xdr:row>
      <xdr:rowOff>163830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454269</xdr:colOff>
      <xdr:row>0</xdr:row>
      <xdr:rowOff>0</xdr:rowOff>
    </xdr:from>
    <xdr:to>
      <xdr:col>11</xdr:col>
      <xdr:colOff>38100</xdr:colOff>
      <xdr:row>14</xdr:row>
      <xdr:rowOff>199292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187570</xdr:colOff>
      <xdr:row>52</xdr:row>
      <xdr:rowOff>64477</xdr:rowOff>
    </xdr:from>
    <xdr:to>
      <xdr:col>4</xdr:col>
      <xdr:colOff>216142</xdr:colOff>
      <xdr:row>53</xdr:row>
      <xdr:rowOff>154695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0000000-0008-0000-0800-000003000000}"/>
                </a:ext>
              </a:extLst>
            </xdr:cNvPr>
            <xdr:cNvSpPr txBox="1"/>
          </xdr:nvSpPr>
          <xdr:spPr>
            <a:xfrm>
              <a:off x="652390" y="9719017"/>
              <a:ext cx="2367912" cy="27309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∆=</m:t>
                    </m:r>
                    <m:sSubSup>
                      <m:sSubSup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pl-PL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l-PL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l-PL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F1D0B8F0-3A65-459F-94A2-C1E5C8B90BAA}"/>
                </a:ext>
              </a:extLst>
            </xdr:cNvPr>
            <xdr:cNvSpPr txBox="1"/>
          </xdr:nvSpPr>
          <xdr:spPr>
            <a:xfrm>
              <a:off x="652390" y="9719017"/>
              <a:ext cx="2367912" cy="27309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∆=𝑏_2^2−4𝑏_1 </a:t>
              </a:r>
              <a:r>
                <a:rPr lang="pl-PL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endParaRPr lang="pl-PL"/>
            </a:p>
          </xdr:txBody>
        </xdr:sp>
      </mc:Fallback>
    </mc:AlternateContent>
    <xdr:clientData/>
  </xdr:twoCellAnchor>
  <xdr:twoCellAnchor>
    <xdr:from>
      <xdr:col>0</xdr:col>
      <xdr:colOff>153866</xdr:colOff>
      <xdr:row>48</xdr:row>
      <xdr:rowOff>68874</xdr:rowOff>
    </xdr:from>
    <xdr:to>
      <xdr:col>6</xdr:col>
      <xdr:colOff>65477</xdr:colOff>
      <xdr:row>51</xdr:row>
      <xdr:rowOff>81623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11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153866" y="8976654"/>
              <a:ext cx="4224531" cy="5766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800" b="1" i="1">
                        <a:latin typeface="Cambria Math" panose="02040503050406030204" pitchFamily="18" charset="0"/>
                      </a:rPr>
                      <m:t>𝑾</m:t>
                    </m:r>
                    <m:r>
                      <a:rPr lang="pl-PL" sz="18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pl-PL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𝒘</m:t>
                            </m:r>
                          </m:sub>
                        </m:sSub>
                        <m:r>
                          <a:rPr lang="pl-PL" sz="18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</m:num>
                          <m:den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</m:sub>
                            </m:sSub>
                          </m:den>
                        </m:f>
                        <m:r>
                          <m:rPr>
                            <m:nor/>
                          </m:rPr>
                          <a:rPr lang="pl-PL" sz="1800" b="1"/>
                          <m:t>; </m:t>
                        </m:r>
                        <m:sSub>
                          <m:sSub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𝒘</m:t>
                            </m:r>
                          </m:sub>
                        </m:sSub>
                        <m:r>
                          <a:rPr lang="pl-PL" sz="18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l-PL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</m:num>
                          <m:den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𝟒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pl-PL" sz="2400" b="1"/>
            </a:p>
          </xdr:txBody>
        </xdr:sp>
      </mc:Choice>
      <mc:Fallback xmlns="">
        <xdr:sp macro="" textlink="">
          <xdr:nvSpPr>
            <xdr:cNvPr id="4" name="pole tekstowe 11">
              <a:extLst>
                <a:ext uri="{FF2B5EF4-FFF2-40B4-BE49-F238E27FC236}">
                  <a16:creationId xmlns:a16="http://schemas.microsoft.com/office/drawing/2014/main" id="{BD64EFAB-1990-4427-9F80-887495AEDD64}"/>
                </a:ext>
              </a:extLst>
            </xdr:cNvPr>
            <xdr:cNvSpPr txBox="1"/>
          </xdr:nvSpPr>
          <xdr:spPr>
            <a:xfrm>
              <a:off x="153866" y="8976654"/>
              <a:ext cx="4224531" cy="5766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800" b="1" i="0">
                  <a:latin typeface="Cambria Math" panose="02040503050406030204" pitchFamily="18" charset="0"/>
                </a:rPr>
                <a:t>𝑾=(𝒙_𝒘=(−𝒃_𝟐)/(𝟐𝒃_𝟑 ) "</a:t>
              </a:r>
              <a:r>
                <a:rPr lang="pl-PL" sz="1800" b="1" i="0"/>
                <a:t>; </a:t>
              </a:r>
              <a:r>
                <a:rPr lang="pl-PL" sz="1800" b="1" i="0">
                  <a:latin typeface="Cambria Math" panose="02040503050406030204" pitchFamily="18" charset="0"/>
                </a:rPr>
                <a:t>" 𝒚_𝒘=(−</a:t>
              </a:r>
              <a:r>
                <a:rPr lang="pl-PL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∆)/(</a:t>
              </a:r>
              <a:r>
                <a:rPr lang="pl-PL" sz="1800" b="1" i="0">
                  <a:latin typeface="Cambria Math" panose="02040503050406030204" pitchFamily="18" charset="0"/>
                </a:rPr>
                <a:t>𝟒𝒃_𝟑 ))</a:t>
              </a:r>
              <a:endParaRPr lang="pl-PL" sz="2400" b="1"/>
            </a:p>
          </xdr:txBody>
        </xdr:sp>
      </mc:Fallback>
    </mc:AlternateContent>
    <xdr:clientData/>
  </xdr:twoCellAnchor>
  <xdr:twoCellAnchor>
    <xdr:from>
      <xdr:col>1</xdr:col>
      <xdr:colOff>64503</xdr:colOff>
      <xdr:row>83</xdr:row>
      <xdr:rowOff>206</xdr:rowOff>
    </xdr:from>
    <xdr:to>
      <xdr:col>3</xdr:col>
      <xdr:colOff>690785</xdr:colOff>
      <xdr:row>84</xdr:row>
      <xdr:rowOff>160270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/>
          </xdr:nvSpPr>
          <xdr:spPr>
            <a:xfrm>
              <a:off x="529323" y="16063166"/>
              <a:ext cx="2256962" cy="3429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−0,87+0,02 ∗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2400"/>
            </a:p>
          </xdr:txBody>
        </xdr:sp>
      </mc:Choice>
      <mc:Fallback xmlns=""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10104A0E-E8D7-4475-A003-F5DE47B4E3C1}"/>
                </a:ext>
              </a:extLst>
            </xdr:cNvPr>
            <xdr:cNvSpPr/>
          </xdr:nvSpPr>
          <xdr:spPr>
            <a:xfrm>
              <a:off x="529323" y="16063166"/>
              <a:ext cx="2256962" cy="3429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−0,87+0,02 ∗𝑋</a:t>
              </a:r>
              <a:endParaRPr lang="pl-PL" sz="2400"/>
            </a:p>
          </xdr:txBody>
        </xdr:sp>
      </mc:Fallback>
    </mc:AlternateContent>
    <xdr:clientData/>
  </xdr:twoCellAnchor>
  <xdr:twoCellAnchor>
    <xdr:from>
      <xdr:col>1</xdr:col>
      <xdr:colOff>373444</xdr:colOff>
      <xdr:row>81</xdr:row>
      <xdr:rowOff>87924</xdr:rowOff>
    </xdr:from>
    <xdr:to>
      <xdr:col>3</xdr:col>
      <xdr:colOff>227888</xdr:colOff>
      <xdr:row>83</xdr:row>
      <xdr:rowOff>62829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/>
          </xdr:nvSpPr>
          <xdr:spPr>
            <a:xfrm>
              <a:off x="838264" y="15777504"/>
              <a:ext cx="1485124" cy="34828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l-PL" sz="16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l-PL" sz="16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9836200B-619F-4580-B07F-D8DFA58238B1}"/>
                </a:ext>
              </a:extLst>
            </xdr:cNvPr>
            <xdr:cNvSpPr/>
          </xdr:nvSpPr>
          <xdr:spPr>
            <a:xfrm>
              <a:off x="838264" y="15777504"/>
              <a:ext cx="1485124" cy="34828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sz="1600" b="0" i="0">
                  <a:latin typeface="Cambria Math" panose="02040503050406030204" pitchFamily="18" charset="0"/>
                </a:rPr>
                <a:t>1^∗</a:t>
              </a:r>
              <a:r>
                <a:rPr lang="pl-PL" sz="1600" i="0">
                  <a:latin typeface="Cambria Math" panose="02040503050406030204" pitchFamily="18" charset="0"/>
                </a:rPr>
                <a:t>+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r>
                <a:rPr lang="pl-PL" sz="1600" b="0" i="0">
                  <a:latin typeface="Cambria Math" panose="02040503050406030204" pitchFamily="18" charset="0"/>
                </a:rPr>
                <a:t> 𝑋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1</xdr:col>
      <xdr:colOff>277737</xdr:colOff>
      <xdr:row>87</xdr:row>
      <xdr:rowOff>171945</xdr:rowOff>
    </xdr:from>
    <xdr:to>
      <xdr:col>3</xdr:col>
      <xdr:colOff>254319</xdr:colOff>
      <xdr:row>89</xdr:row>
      <xdr:rowOff>125996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Prostokąt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/>
          </xdr:nvSpPr>
          <xdr:spPr>
            <a:xfrm>
              <a:off x="742557" y="16966425"/>
              <a:ext cx="1607262" cy="31981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p>
                      <m:s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l-PL" sz="16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7" name="Prostokąt 6">
              <a:extLst>
                <a:ext uri="{FF2B5EF4-FFF2-40B4-BE49-F238E27FC236}">
                  <a16:creationId xmlns:a16="http://schemas.microsoft.com/office/drawing/2014/main" id="{1F938BEE-1525-4679-BD35-F31215DD12B7}"/>
                </a:ext>
              </a:extLst>
            </xdr:cNvPr>
            <xdr:cNvSpPr/>
          </xdr:nvSpPr>
          <xdr:spPr>
            <a:xfrm>
              <a:off x="742557" y="16966425"/>
              <a:ext cx="1607262" cy="31981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1 </a:t>
              </a:r>
              <a:r>
                <a:rPr lang="pl-PL" sz="1600" b="0" i="0">
                  <a:latin typeface="Cambria Math" panose="02040503050406030204" pitchFamily="18" charset="0"/>
                </a:rPr>
                <a:t>𝑒^(𝑏_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r>
                <a:rPr lang="pl-PL" sz="1600" b="0" i="0">
                  <a:latin typeface="Cambria Math" panose="02040503050406030204" pitchFamily="18" charset="0"/>
                </a:rPr>
                <a:t> 𝑋)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220766</xdr:colOff>
      <xdr:row>89</xdr:row>
      <xdr:rowOff>156673</xdr:rowOff>
    </xdr:from>
    <xdr:to>
      <xdr:col>3</xdr:col>
      <xdr:colOff>683663</xdr:colOff>
      <xdr:row>91</xdr:row>
      <xdr:rowOff>110724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Prostokąt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/>
          </xdr:nvSpPr>
          <xdr:spPr>
            <a:xfrm>
              <a:off x="220766" y="17316913"/>
              <a:ext cx="2558397" cy="33505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,42∗</m:t>
                    </m:r>
                    <m:sSup>
                      <m:s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0,02∗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8" name="Prostokąt 7">
              <a:extLst>
                <a:ext uri="{FF2B5EF4-FFF2-40B4-BE49-F238E27FC236}">
                  <a16:creationId xmlns:a16="http://schemas.microsoft.com/office/drawing/2014/main" id="{4C831B9C-675F-4DC9-945E-D42BCF812ABE}"/>
                </a:ext>
              </a:extLst>
            </xdr:cNvPr>
            <xdr:cNvSpPr/>
          </xdr:nvSpPr>
          <xdr:spPr>
            <a:xfrm>
              <a:off x="220766" y="17316913"/>
              <a:ext cx="2558397" cy="33505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=0</a:t>
              </a:r>
              <a:r>
                <a:rPr lang="pl-PL" sz="1600" b="0" i="0">
                  <a:latin typeface="Cambria Math" panose="02040503050406030204" pitchFamily="18" charset="0"/>
                </a:rPr>
                <a:t>,42∗𝑒^(0,02∗𝑋)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23144</xdr:colOff>
      <xdr:row>113</xdr:row>
      <xdr:rowOff>43961</xdr:rowOff>
    </xdr:from>
    <xdr:to>
      <xdr:col>4</xdr:col>
      <xdr:colOff>313345</xdr:colOff>
      <xdr:row>115</xdr:row>
      <xdr:rowOff>18867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rostokąt 8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/>
          </xdr:nvSpPr>
          <xdr:spPr>
            <a:xfrm>
              <a:off x="23144" y="21669521"/>
              <a:ext cx="3094361" cy="34066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pl-PL" sz="1600" b="0" i="0">
                        <a:latin typeface="Cambria Math" panose="02040503050406030204" pitchFamily="18" charset="0"/>
                      </a:rPr>
                      <m:t>0,83</m:t>
                    </m:r>
                    <m:r>
                      <a:rPr lang="pl-PL" sz="160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0,05 ∗ 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9" name="Prostokąt 8">
              <a:extLst>
                <a:ext uri="{FF2B5EF4-FFF2-40B4-BE49-F238E27FC236}">
                  <a16:creationId xmlns:a16="http://schemas.microsoft.com/office/drawing/2014/main" id="{46DDC67B-FE7E-4822-836B-2848A34D7536}"/>
                </a:ext>
              </a:extLst>
            </xdr:cNvPr>
            <xdr:cNvSpPr/>
          </xdr:nvSpPr>
          <xdr:spPr>
            <a:xfrm>
              <a:off x="23144" y="21669521"/>
              <a:ext cx="3094361" cy="34066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−0,83</a:t>
              </a:r>
              <a:r>
                <a:rPr lang="pl-PL" sz="1600" i="0">
                  <a:latin typeface="Cambria Math" panose="02040503050406030204" pitchFamily="18" charset="0"/>
                </a:rPr>
                <a:t>+</a:t>
              </a:r>
              <a:r>
                <a:rPr lang="pl-PL" sz="1600" b="0" i="0">
                  <a:latin typeface="Cambria Math" panose="02040503050406030204" pitchFamily="18" charset="0"/>
                </a:rPr>
                <a:t>0,05 ∗ </a:t>
              </a:r>
              <a:r>
                <a:rPr lang="pl-PL" sz="1600" i="0">
                  <a:latin typeface="Cambria Math" panose="02040503050406030204" pitchFamily="18" charset="0"/>
                </a:rPr>
                <a:t>𝑍_1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219465</xdr:colOff>
      <xdr:row>111</xdr:row>
      <xdr:rowOff>54693</xdr:rowOff>
    </xdr:from>
    <xdr:to>
      <xdr:col>3</xdr:col>
      <xdr:colOff>213644</xdr:colOff>
      <xdr:row>112</xdr:row>
      <xdr:rowOff>173760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Prostoką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/>
          </xdr:nvSpPr>
          <xdr:spPr>
            <a:xfrm>
              <a:off x="219465" y="21306873"/>
              <a:ext cx="2089679" cy="301947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l-PL" sz="16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0" name="Prostokąt 9">
              <a:extLst>
                <a:ext uri="{FF2B5EF4-FFF2-40B4-BE49-F238E27FC236}">
                  <a16:creationId xmlns:a16="http://schemas.microsoft.com/office/drawing/2014/main" id="{2C622659-52DC-4E32-871B-10C3AD6D5D6B}"/>
                </a:ext>
              </a:extLst>
            </xdr:cNvPr>
            <xdr:cNvSpPr/>
          </xdr:nvSpPr>
          <xdr:spPr>
            <a:xfrm>
              <a:off x="219465" y="21306873"/>
              <a:ext cx="2089679" cy="301947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0^∗+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1 𝑍_1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224397</xdr:colOff>
      <xdr:row>117</xdr:row>
      <xdr:rowOff>2791</xdr:rowOff>
    </xdr:from>
    <xdr:to>
      <xdr:col>2</xdr:col>
      <xdr:colOff>526991</xdr:colOff>
      <xdr:row>118</xdr:row>
      <xdr:rowOff>165073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Prostokąt 10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/>
          </xdr:nvSpPr>
          <xdr:spPr>
            <a:xfrm>
              <a:off x="224397" y="22375111"/>
              <a:ext cx="1377014" cy="34516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b="0" i="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sSub>
                          <m:sSub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1" name="Prostokąt 10">
              <a:extLst>
                <a:ext uri="{FF2B5EF4-FFF2-40B4-BE49-F238E27FC236}">
                  <a16:creationId xmlns:a16="http://schemas.microsoft.com/office/drawing/2014/main" id="{27C5847C-0184-4CD3-BD06-E33B90D79EEC}"/>
                </a:ext>
              </a:extLst>
            </xdr:cNvPr>
            <xdr:cNvSpPr/>
          </xdr:nvSpPr>
          <xdr:spPr>
            <a:xfrm>
              <a:off x="224397" y="22375111"/>
              <a:ext cx="1377014" cy="34516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𝑏_0 𝑋_1^(𝑏_1 )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0</xdr:colOff>
      <xdr:row>119</xdr:row>
      <xdr:rowOff>17942</xdr:rowOff>
    </xdr:from>
    <xdr:to>
      <xdr:col>2</xdr:col>
      <xdr:colOff>983793</xdr:colOff>
      <xdr:row>121</xdr:row>
      <xdr:rowOff>17083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Prostokąt 11">
              <a:extLst>
                <a:ext uri="{FF2B5EF4-FFF2-40B4-BE49-F238E27FC236}">
                  <a16:creationId xmlns:a16="http://schemas.microsoft.com/office/drawing/2014/main" id="{00000000-0008-0000-0800-00000C000000}"/>
                </a:ext>
              </a:extLst>
            </xdr:cNvPr>
            <xdr:cNvSpPr/>
          </xdr:nvSpPr>
          <xdr:spPr>
            <a:xfrm>
              <a:off x="0" y="22756022"/>
              <a:ext cx="2058213" cy="36490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0,43∗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0,05</m:t>
                        </m:r>
                      </m:sup>
                    </m:sSub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2" name="Prostokąt 11">
              <a:extLst>
                <a:ext uri="{FF2B5EF4-FFF2-40B4-BE49-F238E27FC236}">
                  <a16:creationId xmlns:a16="http://schemas.microsoft.com/office/drawing/2014/main" id="{03C52C2C-3EA4-4F37-8379-7A8E73190E19}"/>
                </a:ext>
              </a:extLst>
            </xdr:cNvPr>
            <xdr:cNvSpPr/>
          </xdr:nvSpPr>
          <xdr:spPr>
            <a:xfrm>
              <a:off x="0" y="22756022"/>
              <a:ext cx="2058213" cy="36490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0,43∗𝑋_1^0,05</a:t>
              </a:r>
              <a:endParaRPr lang="pl-PL" sz="16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454269</xdr:colOff>
      <xdr:row>0</xdr:row>
      <xdr:rowOff>0</xdr:rowOff>
    </xdr:from>
    <xdr:to>
      <xdr:col>11</xdr:col>
      <xdr:colOff>38100</xdr:colOff>
      <xdr:row>14</xdr:row>
      <xdr:rowOff>199292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187570</xdr:colOff>
      <xdr:row>52</xdr:row>
      <xdr:rowOff>64477</xdr:rowOff>
    </xdr:from>
    <xdr:to>
      <xdr:col>4</xdr:col>
      <xdr:colOff>216142</xdr:colOff>
      <xdr:row>53</xdr:row>
      <xdr:rowOff>154695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SpPr txBox="1"/>
          </xdr:nvSpPr>
          <xdr:spPr>
            <a:xfrm>
              <a:off x="439616" y="9777046"/>
              <a:ext cx="2367326" cy="27192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∆=</m:t>
                    </m:r>
                    <m:sSubSup>
                      <m:sSubSup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pl-PL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l-PL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l-PL"/>
            </a:p>
          </xdr:txBody>
        </xdr:sp>
      </mc:Choice>
      <mc:Fallback xmlns="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8AC4D492-D298-4185-BF3F-CE1C3169E81F}"/>
                </a:ext>
              </a:extLst>
            </xdr:cNvPr>
            <xdr:cNvSpPr txBox="1"/>
          </xdr:nvSpPr>
          <xdr:spPr>
            <a:xfrm>
              <a:off x="439616" y="9777046"/>
              <a:ext cx="2367326" cy="27192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∆=𝑏_2^2−4𝑏_1 </a:t>
              </a:r>
              <a:r>
                <a:rPr lang="pl-PL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endParaRPr lang="pl-PL"/>
            </a:p>
          </xdr:txBody>
        </xdr:sp>
      </mc:Fallback>
    </mc:AlternateContent>
    <xdr:clientData/>
  </xdr:twoCellAnchor>
  <xdr:twoCellAnchor>
    <xdr:from>
      <xdr:col>0</xdr:col>
      <xdr:colOff>153866</xdr:colOff>
      <xdr:row>48</xdr:row>
      <xdr:rowOff>68874</xdr:rowOff>
    </xdr:from>
    <xdr:to>
      <xdr:col>6</xdr:col>
      <xdr:colOff>65477</xdr:colOff>
      <xdr:row>51</xdr:row>
      <xdr:rowOff>81623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pole tekstowe 11">
              <a:extLst>
                <a:ext uri="{FF2B5EF4-FFF2-40B4-BE49-F238E27FC236}">
                  <a16:creationId xmlns:a16="http://schemas.microsoft.com/office/drawing/2014/main" id="{00000000-0008-0000-0900-000006000000}"/>
                </a:ext>
              </a:extLst>
            </xdr:cNvPr>
            <xdr:cNvSpPr txBox="1"/>
          </xdr:nvSpPr>
          <xdr:spPr>
            <a:xfrm>
              <a:off x="153866" y="9054612"/>
              <a:ext cx="4014688" cy="5578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800" b="1" i="1">
                        <a:latin typeface="Cambria Math" panose="02040503050406030204" pitchFamily="18" charset="0"/>
                      </a:rPr>
                      <m:t>𝑾</m:t>
                    </m:r>
                    <m:r>
                      <a:rPr lang="pl-PL" sz="18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pl-PL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𝒘</m:t>
                            </m:r>
                          </m:sub>
                        </m:sSub>
                        <m:r>
                          <a:rPr lang="pl-PL" sz="18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</m:num>
                          <m:den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</m:sub>
                            </m:sSub>
                          </m:den>
                        </m:f>
                        <m:r>
                          <m:rPr>
                            <m:nor/>
                          </m:rPr>
                          <a:rPr lang="pl-PL" sz="1800" b="1"/>
                          <m:t>; </m:t>
                        </m:r>
                        <m:sSub>
                          <m:sSub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𝒘</m:t>
                            </m:r>
                          </m:sub>
                        </m:sSub>
                        <m:r>
                          <a:rPr lang="pl-PL" sz="18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l-PL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</m:num>
                          <m:den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𝟒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pl-PL" sz="2400" b="1"/>
            </a:p>
          </xdr:txBody>
        </xdr:sp>
      </mc:Choice>
      <mc:Fallback xmlns="">
        <xdr:sp macro="" textlink="">
          <xdr:nvSpPr>
            <xdr:cNvPr id="6" name="pole tekstowe 11">
              <a:extLst>
                <a:ext uri="{FF2B5EF4-FFF2-40B4-BE49-F238E27FC236}">
                  <a16:creationId xmlns:a16="http://schemas.microsoft.com/office/drawing/2014/main" id="{A3DE41C8-E4E1-4B46-9019-FB37938C3667}"/>
                </a:ext>
              </a:extLst>
            </xdr:cNvPr>
            <xdr:cNvSpPr txBox="1"/>
          </xdr:nvSpPr>
          <xdr:spPr>
            <a:xfrm>
              <a:off x="153866" y="9054612"/>
              <a:ext cx="4014688" cy="55787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800" b="1" i="0">
                  <a:latin typeface="Cambria Math" panose="02040503050406030204" pitchFamily="18" charset="0"/>
                </a:rPr>
                <a:t>𝑾=(𝒙_𝒘=(−𝒃_𝟐)/(𝟐𝒃_𝟑 ) "</a:t>
              </a:r>
              <a:r>
                <a:rPr lang="pl-PL" sz="1800" b="1" i="0"/>
                <a:t>; </a:t>
              </a:r>
              <a:r>
                <a:rPr lang="pl-PL" sz="1800" b="1" i="0">
                  <a:latin typeface="Cambria Math" panose="02040503050406030204" pitchFamily="18" charset="0"/>
                </a:rPr>
                <a:t>" 𝒚_𝒘=(−</a:t>
              </a:r>
              <a:r>
                <a:rPr lang="pl-PL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∆)/(</a:t>
              </a:r>
              <a:r>
                <a:rPr lang="pl-PL" sz="1800" b="1" i="0">
                  <a:latin typeface="Cambria Math" panose="02040503050406030204" pitchFamily="18" charset="0"/>
                </a:rPr>
                <a:t>𝟒𝒃_𝟑 ))</a:t>
              </a:r>
              <a:endParaRPr lang="pl-PL" sz="2400" b="1"/>
            </a:p>
          </xdr:txBody>
        </xdr:sp>
      </mc:Fallback>
    </mc:AlternateContent>
    <xdr:clientData/>
  </xdr:twoCellAnchor>
  <xdr:twoCellAnchor>
    <xdr:from>
      <xdr:col>1</xdr:col>
      <xdr:colOff>64503</xdr:colOff>
      <xdr:row>83</xdr:row>
      <xdr:rowOff>206</xdr:rowOff>
    </xdr:from>
    <xdr:to>
      <xdr:col>3</xdr:col>
      <xdr:colOff>690785</xdr:colOff>
      <xdr:row>84</xdr:row>
      <xdr:rowOff>160270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Prostokąt 7">
              <a:extLst>
                <a:ext uri="{FF2B5EF4-FFF2-40B4-BE49-F238E27FC236}">
                  <a16:creationId xmlns:a16="http://schemas.microsoft.com/office/drawing/2014/main" id="{00000000-0008-0000-0900-000008000000}"/>
                </a:ext>
              </a:extLst>
            </xdr:cNvPr>
            <xdr:cNvSpPr/>
          </xdr:nvSpPr>
          <xdr:spPr>
            <a:xfrm>
              <a:off x="313755" y="16514954"/>
              <a:ext cx="2257105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−3,53+0,02 ∗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2400"/>
            </a:p>
          </xdr:txBody>
        </xdr:sp>
      </mc:Choice>
      <mc:Fallback xmlns="">
        <xdr:sp macro="" textlink="">
          <xdr:nvSpPr>
            <xdr:cNvPr id="8" name="Prostokąt 7">
              <a:extLst>
                <a:ext uri="{FF2B5EF4-FFF2-40B4-BE49-F238E27FC236}">
                  <a16:creationId xmlns:a16="http://schemas.microsoft.com/office/drawing/2014/main" id="{4D09BA26-E138-4C15-9652-1A68EE57646C}"/>
                </a:ext>
              </a:extLst>
            </xdr:cNvPr>
            <xdr:cNvSpPr/>
          </xdr:nvSpPr>
          <xdr:spPr>
            <a:xfrm>
              <a:off x="313755" y="16514954"/>
              <a:ext cx="2257105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−3,53+0,02 ∗𝑋</a:t>
              </a:r>
              <a:endParaRPr lang="pl-PL" sz="2400"/>
            </a:p>
          </xdr:txBody>
        </xdr:sp>
      </mc:Fallback>
    </mc:AlternateContent>
    <xdr:clientData/>
  </xdr:twoCellAnchor>
  <xdr:twoCellAnchor>
    <xdr:from>
      <xdr:col>1</xdr:col>
      <xdr:colOff>373444</xdr:colOff>
      <xdr:row>81</xdr:row>
      <xdr:rowOff>87924</xdr:rowOff>
    </xdr:from>
    <xdr:to>
      <xdr:col>3</xdr:col>
      <xdr:colOff>227888</xdr:colOff>
      <xdr:row>83</xdr:row>
      <xdr:rowOff>62829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rostokąt 8">
              <a:extLst>
                <a:ext uri="{FF2B5EF4-FFF2-40B4-BE49-F238E27FC236}">
                  <a16:creationId xmlns:a16="http://schemas.microsoft.com/office/drawing/2014/main" id="{00000000-0008-0000-0900-000009000000}"/>
                </a:ext>
              </a:extLst>
            </xdr:cNvPr>
            <xdr:cNvSpPr/>
          </xdr:nvSpPr>
          <xdr:spPr>
            <a:xfrm>
              <a:off x="622696" y="16232354"/>
              <a:ext cx="1485267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l-PL" sz="16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l-PL" sz="16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9" name="Prostokąt 8">
              <a:extLst>
                <a:ext uri="{FF2B5EF4-FFF2-40B4-BE49-F238E27FC236}">
                  <a16:creationId xmlns:a16="http://schemas.microsoft.com/office/drawing/2014/main" id="{1498E79D-0B9F-4344-84C5-AFA768294F34}"/>
                </a:ext>
              </a:extLst>
            </xdr:cNvPr>
            <xdr:cNvSpPr/>
          </xdr:nvSpPr>
          <xdr:spPr>
            <a:xfrm>
              <a:off x="622696" y="16232354"/>
              <a:ext cx="1485267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sz="1600" b="0" i="0">
                  <a:latin typeface="Cambria Math" panose="02040503050406030204" pitchFamily="18" charset="0"/>
                </a:rPr>
                <a:t>1^∗</a:t>
              </a:r>
              <a:r>
                <a:rPr lang="pl-PL" sz="1600" i="0">
                  <a:latin typeface="Cambria Math" panose="02040503050406030204" pitchFamily="18" charset="0"/>
                </a:rPr>
                <a:t>+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r>
                <a:rPr lang="pl-PL" sz="1600" b="0" i="0">
                  <a:latin typeface="Cambria Math" panose="02040503050406030204" pitchFamily="18" charset="0"/>
                </a:rPr>
                <a:t> 𝑋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1</xdr:col>
      <xdr:colOff>277737</xdr:colOff>
      <xdr:row>87</xdr:row>
      <xdr:rowOff>171945</xdr:rowOff>
    </xdr:from>
    <xdr:to>
      <xdr:col>3</xdr:col>
      <xdr:colOff>254319</xdr:colOff>
      <xdr:row>89</xdr:row>
      <xdr:rowOff>125996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Prostokąt 9">
              <a:extLst>
                <a:ext uri="{FF2B5EF4-FFF2-40B4-BE49-F238E27FC236}">
                  <a16:creationId xmlns:a16="http://schemas.microsoft.com/office/drawing/2014/main" id="{00000000-0008-0000-0900-00000A000000}"/>
                </a:ext>
              </a:extLst>
            </xdr:cNvPr>
            <xdr:cNvSpPr/>
          </xdr:nvSpPr>
          <xdr:spPr>
            <a:xfrm>
              <a:off x="526989" y="17427328"/>
              <a:ext cx="1607405" cy="324369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p>
                      <m:s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l-PL" sz="16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0" name="Prostokąt 9">
              <a:extLst>
                <a:ext uri="{FF2B5EF4-FFF2-40B4-BE49-F238E27FC236}">
                  <a16:creationId xmlns:a16="http://schemas.microsoft.com/office/drawing/2014/main" id="{7A6F9A06-F65B-41D3-B3B9-5D64E741ECDB}"/>
                </a:ext>
              </a:extLst>
            </xdr:cNvPr>
            <xdr:cNvSpPr/>
          </xdr:nvSpPr>
          <xdr:spPr>
            <a:xfrm>
              <a:off x="526989" y="17427328"/>
              <a:ext cx="1607405" cy="324369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1 </a:t>
              </a:r>
              <a:r>
                <a:rPr lang="pl-PL" sz="1600" b="0" i="0">
                  <a:latin typeface="Cambria Math" panose="02040503050406030204" pitchFamily="18" charset="0"/>
                </a:rPr>
                <a:t>𝑒^(𝑏_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r>
                <a:rPr lang="pl-PL" sz="1600" b="0" i="0">
                  <a:latin typeface="Cambria Math" panose="02040503050406030204" pitchFamily="18" charset="0"/>
                </a:rPr>
                <a:t> 𝑋)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220766</xdr:colOff>
      <xdr:row>89</xdr:row>
      <xdr:rowOff>156673</xdr:rowOff>
    </xdr:from>
    <xdr:to>
      <xdr:col>3</xdr:col>
      <xdr:colOff>683663</xdr:colOff>
      <xdr:row>91</xdr:row>
      <xdr:rowOff>110724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Prostokąt 10">
              <a:extLst>
                <a:ext uri="{FF2B5EF4-FFF2-40B4-BE49-F238E27FC236}">
                  <a16:creationId xmlns:a16="http://schemas.microsoft.com/office/drawing/2014/main" id="{00000000-0008-0000-0900-00000B000000}"/>
                </a:ext>
              </a:extLst>
            </xdr:cNvPr>
            <xdr:cNvSpPr/>
          </xdr:nvSpPr>
          <xdr:spPr>
            <a:xfrm>
              <a:off x="220766" y="17782374"/>
              <a:ext cx="2342972" cy="324369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,03∗</m:t>
                    </m:r>
                    <m:sSup>
                      <m:s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0,02∗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1" name="Prostokąt 10">
              <a:extLst>
                <a:ext uri="{FF2B5EF4-FFF2-40B4-BE49-F238E27FC236}">
                  <a16:creationId xmlns:a16="http://schemas.microsoft.com/office/drawing/2014/main" id="{CE538CFB-4AF1-446F-8FEC-7088DAEECBCF}"/>
                </a:ext>
              </a:extLst>
            </xdr:cNvPr>
            <xdr:cNvSpPr/>
          </xdr:nvSpPr>
          <xdr:spPr>
            <a:xfrm>
              <a:off x="220766" y="17782374"/>
              <a:ext cx="2342972" cy="324369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=0</a:t>
              </a:r>
              <a:r>
                <a:rPr lang="pl-PL" sz="1600" b="0" i="0">
                  <a:latin typeface="Cambria Math" panose="02040503050406030204" pitchFamily="18" charset="0"/>
                </a:rPr>
                <a:t>,03∗𝑒^(0,02∗𝑋)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23144</xdr:colOff>
      <xdr:row>113</xdr:row>
      <xdr:rowOff>43961</xdr:rowOff>
    </xdr:from>
    <xdr:to>
      <xdr:col>4</xdr:col>
      <xdr:colOff>313345</xdr:colOff>
      <xdr:row>115</xdr:row>
      <xdr:rowOff>18867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Prostokąt 15">
              <a:extLst>
                <a:ext uri="{FF2B5EF4-FFF2-40B4-BE49-F238E27FC236}">
                  <a16:creationId xmlns:a16="http://schemas.microsoft.com/office/drawing/2014/main" id="{00000000-0008-0000-0900-000010000000}"/>
                </a:ext>
              </a:extLst>
            </xdr:cNvPr>
            <xdr:cNvSpPr/>
          </xdr:nvSpPr>
          <xdr:spPr>
            <a:xfrm>
              <a:off x="23144" y="22170447"/>
              <a:ext cx="2882425" cy="34522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−3,50</m:t>
                    </m:r>
                    <m:r>
                      <a:rPr lang="pl-PL" sz="160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0,05 ∗ 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6" name="Prostokąt 15">
              <a:extLst>
                <a:ext uri="{FF2B5EF4-FFF2-40B4-BE49-F238E27FC236}">
                  <a16:creationId xmlns:a16="http://schemas.microsoft.com/office/drawing/2014/main" id="{7AB8035C-6863-4AA7-ACB8-433A810F61D9}"/>
                </a:ext>
              </a:extLst>
            </xdr:cNvPr>
            <xdr:cNvSpPr/>
          </xdr:nvSpPr>
          <xdr:spPr>
            <a:xfrm>
              <a:off x="23144" y="22170447"/>
              <a:ext cx="2882425" cy="34522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−3,50</a:t>
              </a:r>
              <a:r>
                <a:rPr lang="pl-PL" sz="1600" i="0">
                  <a:latin typeface="Cambria Math" panose="02040503050406030204" pitchFamily="18" charset="0"/>
                </a:rPr>
                <a:t>+</a:t>
              </a:r>
              <a:r>
                <a:rPr lang="pl-PL" sz="1600" b="0" i="0">
                  <a:latin typeface="Cambria Math" panose="02040503050406030204" pitchFamily="18" charset="0"/>
                </a:rPr>
                <a:t>0,05 ∗ </a:t>
              </a:r>
              <a:r>
                <a:rPr lang="pl-PL" sz="1600" i="0">
                  <a:latin typeface="Cambria Math" panose="02040503050406030204" pitchFamily="18" charset="0"/>
                </a:rPr>
                <a:t>𝑍_1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219465</xdr:colOff>
      <xdr:row>111</xdr:row>
      <xdr:rowOff>54693</xdr:rowOff>
    </xdr:from>
    <xdr:to>
      <xdr:col>3</xdr:col>
      <xdr:colOff>213644</xdr:colOff>
      <xdr:row>112</xdr:row>
      <xdr:rowOff>173760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Prostokąt 16">
              <a:extLst>
                <a:ext uri="{FF2B5EF4-FFF2-40B4-BE49-F238E27FC236}">
                  <a16:creationId xmlns:a16="http://schemas.microsoft.com/office/drawing/2014/main" id="{00000000-0008-0000-0900-000011000000}"/>
                </a:ext>
              </a:extLst>
            </xdr:cNvPr>
            <xdr:cNvSpPr/>
          </xdr:nvSpPr>
          <xdr:spPr>
            <a:xfrm>
              <a:off x="219465" y="21803740"/>
              <a:ext cx="1874254" cy="30422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l-PL" sz="16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7" name="Prostokąt 16">
              <a:extLst>
                <a:ext uri="{FF2B5EF4-FFF2-40B4-BE49-F238E27FC236}">
                  <a16:creationId xmlns:a16="http://schemas.microsoft.com/office/drawing/2014/main" id="{5F521A47-B25F-488C-A155-FE35D31CE287}"/>
                </a:ext>
              </a:extLst>
            </xdr:cNvPr>
            <xdr:cNvSpPr/>
          </xdr:nvSpPr>
          <xdr:spPr>
            <a:xfrm>
              <a:off x="219465" y="21803740"/>
              <a:ext cx="1874254" cy="30422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0^∗+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1 𝑍_1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224397</xdr:colOff>
      <xdr:row>117</xdr:row>
      <xdr:rowOff>2791</xdr:rowOff>
    </xdr:from>
    <xdr:to>
      <xdr:col>2</xdr:col>
      <xdr:colOff>526991</xdr:colOff>
      <xdr:row>118</xdr:row>
      <xdr:rowOff>165073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Prostokąt 17">
              <a:extLst>
                <a:ext uri="{FF2B5EF4-FFF2-40B4-BE49-F238E27FC236}">
                  <a16:creationId xmlns:a16="http://schemas.microsoft.com/office/drawing/2014/main" id="{00000000-0008-0000-0900-000012000000}"/>
                </a:ext>
              </a:extLst>
            </xdr:cNvPr>
            <xdr:cNvSpPr/>
          </xdr:nvSpPr>
          <xdr:spPr>
            <a:xfrm>
              <a:off x="224397" y="22869912"/>
              <a:ext cx="1164295" cy="34744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b="0" i="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sSub>
                          <m:sSub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8" name="Prostokąt 17">
              <a:extLst>
                <a:ext uri="{FF2B5EF4-FFF2-40B4-BE49-F238E27FC236}">
                  <a16:creationId xmlns:a16="http://schemas.microsoft.com/office/drawing/2014/main" id="{B48B6DDF-3632-4930-8E92-05EE8FF2FBA2}"/>
                </a:ext>
              </a:extLst>
            </xdr:cNvPr>
            <xdr:cNvSpPr/>
          </xdr:nvSpPr>
          <xdr:spPr>
            <a:xfrm>
              <a:off x="224397" y="22869912"/>
              <a:ext cx="1164295" cy="34744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𝑏_0 𝑋_1^(𝑏_1 )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0</xdr:colOff>
      <xdr:row>119</xdr:row>
      <xdr:rowOff>17942</xdr:rowOff>
    </xdr:from>
    <xdr:to>
      <xdr:col>2</xdr:col>
      <xdr:colOff>983793</xdr:colOff>
      <xdr:row>121</xdr:row>
      <xdr:rowOff>17083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Prostokąt 18">
              <a:extLst>
                <a:ext uri="{FF2B5EF4-FFF2-40B4-BE49-F238E27FC236}">
                  <a16:creationId xmlns:a16="http://schemas.microsoft.com/office/drawing/2014/main" id="{00000000-0008-0000-0900-000013000000}"/>
                </a:ext>
              </a:extLst>
            </xdr:cNvPr>
            <xdr:cNvSpPr/>
          </xdr:nvSpPr>
          <xdr:spPr>
            <a:xfrm>
              <a:off x="0" y="23255381"/>
              <a:ext cx="1845494" cy="36945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0,03∗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0,045</m:t>
                        </m:r>
                      </m:sup>
                    </m:sSub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9" name="Prostokąt 18">
              <a:extLst>
                <a:ext uri="{FF2B5EF4-FFF2-40B4-BE49-F238E27FC236}">
                  <a16:creationId xmlns:a16="http://schemas.microsoft.com/office/drawing/2014/main" id="{83FA8EF5-B2FD-4BC7-8ABC-FE0100F1B3BB}"/>
                </a:ext>
              </a:extLst>
            </xdr:cNvPr>
            <xdr:cNvSpPr/>
          </xdr:nvSpPr>
          <xdr:spPr>
            <a:xfrm>
              <a:off x="0" y="23255381"/>
              <a:ext cx="1845494" cy="36945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0,03∗𝑋_1^0,045</a:t>
              </a:r>
              <a:endParaRPr lang="pl-PL" sz="16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434684</xdr:colOff>
      <xdr:row>0</xdr:row>
      <xdr:rowOff>0</xdr:rowOff>
    </xdr:from>
    <xdr:to>
      <xdr:col>11</xdr:col>
      <xdr:colOff>18515</xdr:colOff>
      <xdr:row>14</xdr:row>
      <xdr:rowOff>184052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187570</xdr:colOff>
      <xdr:row>52</xdr:row>
      <xdr:rowOff>64477</xdr:rowOff>
    </xdr:from>
    <xdr:to>
      <xdr:col>4</xdr:col>
      <xdr:colOff>216142</xdr:colOff>
      <xdr:row>53</xdr:row>
      <xdr:rowOff>154695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 txBox="1"/>
          </xdr:nvSpPr>
          <xdr:spPr>
            <a:xfrm>
              <a:off x="652390" y="9810457"/>
              <a:ext cx="2367912" cy="27309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∆=</m:t>
                    </m:r>
                    <m:sSubSup>
                      <m:sSubSup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pl-PL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l-PL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l-PL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7F8EDA5C-CF77-41B6-A1A0-08420F9A00B8}"/>
                </a:ext>
              </a:extLst>
            </xdr:cNvPr>
            <xdr:cNvSpPr txBox="1"/>
          </xdr:nvSpPr>
          <xdr:spPr>
            <a:xfrm>
              <a:off x="652390" y="9810457"/>
              <a:ext cx="2367912" cy="27309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∆=𝑏_2^2−4𝑏_1 </a:t>
              </a:r>
              <a:r>
                <a:rPr lang="pl-PL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endParaRPr lang="pl-PL"/>
            </a:p>
          </xdr:txBody>
        </xdr:sp>
      </mc:Fallback>
    </mc:AlternateContent>
    <xdr:clientData/>
  </xdr:twoCellAnchor>
  <xdr:twoCellAnchor>
    <xdr:from>
      <xdr:col>0</xdr:col>
      <xdr:colOff>153866</xdr:colOff>
      <xdr:row>48</xdr:row>
      <xdr:rowOff>68874</xdr:rowOff>
    </xdr:from>
    <xdr:to>
      <xdr:col>6</xdr:col>
      <xdr:colOff>65477</xdr:colOff>
      <xdr:row>51</xdr:row>
      <xdr:rowOff>81623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11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 txBox="1"/>
          </xdr:nvSpPr>
          <xdr:spPr>
            <a:xfrm>
              <a:off x="153866" y="9068094"/>
              <a:ext cx="4224531" cy="5766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800" b="1" i="1">
                        <a:latin typeface="Cambria Math" panose="02040503050406030204" pitchFamily="18" charset="0"/>
                      </a:rPr>
                      <m:t>𝑾</m:t>
                    </m:r>
                    <m:r>
                      <a:rPr lang="pl-PL" sz="18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pl-PL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𝒘</m:t>
                            </m:r>
                          </m:sub>
                        </m:sSub>
                        <m:r>
                          <a:rPr lang="pl-PL" sz="18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</m:num>
                          <m:den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</m:sub>
                            </m:sSub>
                          </m:den>
                        </m:f>
                        <m:r>
                          <m:rPr>
                            <m:nor/>
                          </m:rPr>
                          <a:rPr lang="pl-PL" sz="1800" b="1"/>
                          <m:t>; </m:t>
                        </m:r>
                        <m:sSub>
                          <m:sSub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𝒘</m:t>
                            </m:r>
                          </m:sub>
                        </m:sSub>
                        <m:r>
                          <a:rPr lang="pl-PL" sz="18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pl-PL" sz="18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l-PL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</m:num>
                          <m:den>
                            <m:r>
                              <a:rPr lang="pl-PL" sz="1800" b="1" i="1">
                                <a:latin typeface="Cambria Math" panose="02040503050406030204" pitchFamily="18" charset="0"/>
                              </a:rPr>
                              <m:t>𝟒</m:t>
                            </m:r>
                            <m:sSub>
                              <m:sSubPr>
                                <m:ctrlP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  <m:sub>
                                <m:r>
                                  <a:rPr lang="pl-PL" sz="1800" b="1" i="1"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pl-PL" sz="2400" b="1"/>
            </a:p>
          </xdr:txBody>
        </xdr:sp>
      </mc:Choice>
      <mc:Fallback xmlns="">
        <xdr:sp macro="" textlink="">
          <xdr:nvSpPr>
            <xdr:cNvPr id="4" name="pole tekstowe 11">
              <a:extLst>
                <a:ext uri="{FF2B5EF4-FFF2-40B4-BE49-F238E27FC236}">
                  <a16:creationId xmlns:a16="http://schemas.microsoft.com/office/drawing/2014/main" id="{81701FEB-95BF-479B-953F-FE482263D106}"/>
                </a:ext>
              </a:extLst>
            </xdr:cNvPr>
            <xdr:cNvSpPr txBox="1"/>
          </xdr:nvSpPr>
          <xdr:spPr>
            <a:xfrm>
              <a:off x="153866" y="9068094"/>
              <a:ext cx="4224531" cy="5766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800" b="1" i="0">
                  <a:latin typeface="Cambria Math" panose="02040503050406030204" pitchFamily="18" charset="0"/>
                </a:rPr>
                <a:t>𝑾=(𝒙_𝒘=(−𝒃_𝟐)/(𝟐𝒃_𝟑 ) "</a:t>
              </a:r>
              <a:r>
                <a:rPr lang="pl-PL" sz="1800" b="1" i="0"/>
                <a:t>; </a:t>
              </a:r>
              <a:r>
                <a:rPr lang="pl-PL" sz="1800" b="1" i="0">
                  <a:latin typeface="Cambria Math" panose="02040503050406030204" pitchFamily="18" charset="0"/>
                </a:rPr>
                <a:t>" 𝒚_𝒘=(−</a:t>
              </a:r>
              <a:r>
                <a:rPr lang="pl-PL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∆)/(</a:t>
              </a:r>
              <a:r>
                <a:rPr lang="pl-PL" sz="1800" b="1" i="0">
                  <a:latin typeface="Cambria Math" panose="02040503050406030204" pitchFamily="18" charset="0"/>
                </a:rPr>
                <a:t>𝟒𝒃_𝟑 ))</a:t>
              </a:r>
              <a:endParaRPr lang="pl-PL" sz="2400" b="1"/>
            </a:p>
          </xdr:txBody>
        </xdr:sp>
      </mc:Fallback>
    </mc:AlternateContent>
    <xdr:clientData/>
  </xdr:twoCellAnchor>
  <xdr:twoCellAnchor>
    <xdr:from>
      <xdr:col>1</xdr:col>
      <xdr:colOff>64503</xdr:colOff>
      <xdr:row>83</xdr:row>
      <xdr:rowOff>206</xdr:rowOff>
    </xdr:from>
    <xdr:to>
      <xdr:col>3</xdr:col>
      <xdr:colOff>690785</xdr:colOff>
      <xdr:row>84</xdr:row>
      <xdr:rowOff>160270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/>
          </xdr:nvSpPr>
          <xdr:spPr>
            <a:xfrm>
              <a:off x="527400" y="16194486"/>
              <a:ext cx="2257105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1,06+0,01 ∗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2400"/>
            </a:p>
          </xdr:txBody>
        </xdr:sp>
      </mc:Choice>
      <mc:Fallback xmlns=""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8079F055-1610-4FBA-AD14-B2CAEF4CC9B4}"/>
                </a:ext>
              </a:extLst>
            </xdr:cNvPr>
            <xdr:cNvSpPr/>
          </xdr:nvSpPr>
          <xdr:spPr>
            <a:xfrm>
              <a:off x="527400" y="16194486"/>
              <a:ext cx="2257105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1,06+0,01 ∗𝑋</a:t>
              </a:r>
              <a:endParaRPr lang="pl-PL" sz="2400"/>
            </a:p>
          </xdr:txBody>
        </xdr:sp>
      </mc:Fallback>
    </mc:AlternateContent>
    <xdr:clientData/>
  </xdr:twoCellAnchor>
  <xdr:twoCellAnchor>
    <xdr:from>
      <xdr:col>1</xdr:col>
      <xdr:colOff>373444</xdr:colOff>
      <xdr:row>81</xdr:row>
      <xdr:rowOff>87924</xdr:rowOff>
    </xdr:from>
    <xdr:to>
      <xdr:col>3</xdr:col>
      <xdr:colOff>227888</xdr:colOff>
      <xdr:row>83</xdr:row>
      <xdr:rowOff>62829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00000000-0008-0000-0A00-000006000000}"/>
                </a:ext>
              </a:extLst>
            </xdr:cNvPr>
            <xdr:cNvSpPr/>
          </xdr:nvSpPr>
          <xdr:spPr>
            <a:xfrm>
              <a:off x="838264" y="15823224"/>
              <a:ext cx="1485124" cy="34828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l-PL" sz="16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l-PL" sz="16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136C5227-C697-4100-9B4B-CBC66BB02F9E}"/>
                </a:ext>
              </a:extLst>
            </xdr:cNvPr>
            <xdr:cNvSpPr/>
          </xdr:nvSpPr>
          <xdr:spPr>
            <a:xfrm>
              <a:off x="838264" y="15823224"/>
              <a:ext cx="1485124" cy="34828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sz="1600" b="0" i="0">
                  <a:latin typeface="Cambria Math" panose="02040503050406030204" pitchFamily="18" charset="0"/>
                </a:rPr>
                <a:t>1^∗</a:t>
              </a:r>
              <a:r>
                <a:rPr lang="pl-PL" sz="1600" i="0">
                  <a:latin typeface="Cambria Math" panose="02040503050406030204" pitchFamily="18" charset="0"/>
                </a:rPr>
                <a:t>+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r>
                <a:rPr lang="pl-PL" sz="1600" b="0" i="0">
                  <a:latin typeface="Cambria Math" panose="02040503050406030204" pitchFamily="18" charset="0"/>
                </a:rPr>
                <a:t> 𝑋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1</xdr:col>
      <xdr:colOff>277737</xdr:colOff>
      <xdr:row>87</xdr:row>
      <xdr:rowOff>171945</xdr:rowOff>
    </xdr:from>
    <xdr:to>
      <xdr:col>3</xdr:col>
      <xdr:colOff>254319</xdr:colOff>
      <xdr:row>89</xdr:row>
      <xdr:rowOff>125996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Prostokąt 6">
              <a:extLst>
                <a:ext uri="{FF2B5EF4-FFF2-40B4-BE49-F238E27FC236}">
                  <a16:creationId xmlns:a16="http://schemas.microsoft.com/office/drawing/2014/main" id="{00000000-0008-0000-0A00-000007000000}"/>
                </a:ext>
              </a:extLst>
            </xdr:cNvPr>
            <xdr:cNvSpPr/>
          </xdr:nvSpPr>
          <xdr:spPr>
            <a:xfrm>
              <a:off x="742557" y="17012145"/>
              <a:ext cx="1607262" cy="31981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p>
                      <m:s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l-PL" sz="16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7" name="Prostokąt 6">
              <a:extLst>
                <a:ext uri="{FF2B5EF4-FFF2-40B4-BE49-F238E27FC236}">
                  <a16:creationId xmlns:a16="http://schemas.microsoft.com/office/drawing/2014/main" id="{A1B19C5F-F1D6-4F61-9333-52445A80AEBF}"/>
                </a:ext>
              </a:extLst>
            </xdr:cNvPr>
            <xdr:cNvSpPr/>
          </xdr:nvSpPr>
          <xdr:spPr>
            <a:xfrm>
              <a:off x="742557" y="17012145"/>
              <a:ext cx="1607262" cy="31981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1 </a:t>
              </a:r>
              <a:r>
                <a:rPr lang="pl-PL" sz="1600" b="0" i="0">
                  <a:latin typeface="Cambria Math" panose="02040503050406030204" pitchFamily="18" charset="0"/>
                </a:rPr>
                <a:t>𝑒^(𝑏_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r>
                <a:rPr lang="pl-PL" sz="1600" b="0" i="0">
                  <a:latin typeface="Cambria Math" panose="02040503050406030204" pitchFamily="18" charset="0"/>
                </a:rPr>
                <a:t> 𝑋)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220766</xdr:colOff>
      <xdr:row>89</xdr:row>
      <xdr:rowOff>156673</xdr:rowOff>
    </xdr:from>
    <xdr:to>
      <xdr:col>3</xdr:col>
      <xdr:colOff>683663</xdr:colOff>
      <xdr:row>91</xdr:row>
      <xdr:rowOff>110724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Prostokąt 7">
              <a:extLst>
                <a:ext uri="{FF2B5EF4-FFF2-40B4-BE49-F238E27FC236}">
                  <a16:creationId xmlns:a16="http://schemas.microsoft.com/office/drawing/2014/main" id="{00000000-0008-0000-0A00-000008000000}"/>
                </a:ext>
              </a:extLst>
            </xdr:cNvPr>
            <xdr:cNvSpPr/>
          </xdr:nvSpPr>
          <xdr:spPr>
            <a:xfrm>
              <a:off x="220766" y="17362633"/>
              <a:ext cx="2558397" cy="33505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,89∗</m:t>
                    </m:r>
                    <m:sSup>
                      <m:s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0,01∗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8" name="Prostokąt 7">
              <a:extLst>
                <a:ext uri="{FF2B5EF4-FFF2-40B4-BE49-F238E27FC236}">
                  <a16:creationId xmlns:a16="http://schemas.microsoft.com/office/drawing/2014/main" id="{8E80CF00-6D26-4654-B8AA-35241028C0EB}"/>
                </a:ext>
              </a:extLst>
            </xdr:cNvPr>
            <xdr:cNvSpPr/>
          </xdr:nvSpPr>
          <xdr:spPr>
            <a:xfrm>
              <a:off x="220766" y="17362633"/>
              <a:ext cx="2558397" cy="335051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=2</a:t>
              </a:r>
              <a:r>
                <a:rPr lang="pl-PL" sz="1600" b="0" i="0">
                  <a:latin typeface="Cambria Math" panose="02040503050406030204" pitchFamily="18" charset="0"/>
                </a:rPr>
                <a:t>,89∗𝑒^(0,01∗𝑋)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23144</xdr:colOff>
      <xdr:row>113</xdr:row>
      <xdr:rowOff>43961</xdr:rowOff>
    </xdr:from>
    <xdr:to>
      <xdr:col>4</xdr:col>
      <xdr:colOff>313345</xdr:colOff>
      <xdr:row>115</xdr:row>
      <xdr:rowOff>18867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rostokąt 8">
              <a:extLst>
                <a:ext uri="{FF2B5EF4-FFF2-40B4-BE49-F238E27FC236}">
                  <a16:creationId xmlns:a16="http://schemas.microsoft.com/office/drawing/2014/main" id="{00000000-0008-0000-0A00-000009000000}"/>
                </a:ext>
              </a:extLst>
            </xdr:cNvPr>
            <xdr:cNvSpPr/>
          </xdr:nvSpPr>
          <xdr:spPr>
            <a:xfrm>
              <a:off x="23144" y="21821494"/>
              <a:ext cx="3096070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1,08</m:t>
                    </m:r>
                    <m:r>
                      <a:rPr lang="pl-PL" sz="160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0,01 ∗ 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9" name="Prostokąt 8">
              <a:extLst>
                <a:ext uri="{FF2B5EF4-FFF2-40B4-BE49-F238E27FC236}">
                  <a16:creationId xmlns:a16="http://schemas.microsoft.com/office/drawing/2014/main" id="{EFD5FFFE-1898-4A8B-871E-FEFFF55B82DA}"/>
                </a:ext>
              </a:extLst>
            </xdr:cNvPr>
            <xdr:cNvSpPr/>
          </xdr:nvSpPr>
          <xdr:spPr>
            <a:xfrm>
              <a:off x="23144" y="21821494"/>
              <a:ext cx="3096070" cy="34522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1,08</a:t>
              </a:r>
              <a:r>
                <a:rPr lang="pl-PL" sz="1600" i="0">
                  <a:latin typeface="Cambria Math" panose="02040503050406030204" pitchFamily="18" charset="0"/>
                </a:rPr>
                <a:t>+</a:t>
              </a:r>
              <a:r>
                <a:rPr lang="pl-PL" sz="1600" b="0" i="0">
                  <a:latin typeface="Cambria Math" panose="02040503050406030204" pitchFamily="18" charset="0"/>
                </a:rPr>
                <a:t>0,01 ∗ </a:t>
              </a:r>
              <a:r>
                <a:rPr lang="pl-PL" sz="1600" i="0">
                  <a:latin typeface="Cambria Math" panose="02040503050406030204" pitchFamily="18" charset="0"/>
                </a:rPr>
                <a:t>𝑍_1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219465</xdr:colOff>
      <xdr:row>111</xdr:row>
      <xdr:rowOff>54693</xdr:rowOff>
    </xdr:from>
    <xdr:to>
      <xdr:col>3</xdr:col>
      <xdr:colOff>213644</xdr:colOff>
      <xdr:row>112</xdr:row>
      <xdr:rowOff>173760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Prostokąt 9">
              <a:extLst>
                <a:ext uri="{FF2B5EF4-FFF2-40B4-BE49-F238E27FC236}">
                  <a16:creationId xmlns:a16="http://schemas.microsoft.com/office/drawing/2014/main" id="{00000000-0008-0000-0A00-00000A000000}"/>
                </a:ext>
              </a:extLst>
            </xdr:cNvPr>
            <xdr:cNvSpPr/>
          </xdr:nvSpPr>
          <xdr:spPr>
            <a:xfrm>
              <a:off x="219465" y="21337353"/>
              <a:ext cx="2089679" cy="301947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l-PL" sz="16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0" name="Prostokąt 9">
              <a:extLst>
                <a:ext uri="{FF2B5EF4-FFF2-40B4-BE49-F238E27FC236}">
                  <a16:creationId xmlns:a16="http://schemas.microsoft.com/office/drawing/2014/main" id="{C4DC5B6C-F8A6-4A1E-8025-2AE8A897520A}"/>
                </a:ext>
              </a:extLst>
            </xdr:cNvPr>
            <xdr:cNvSpPr/>
          </xdr:nvSpPr>
          <xdr:spPr>
            <a:xfrm>
              <a:off x="219465" y="21337353"/>
              <a:ext cx="2089679" cy="301947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𝑊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0^∗+</a:t>
              </a:r>
              <a:r>
                <a:rPr lang="pl-PL" sz="1600" b="0" i="0">
                  <a:latin typeface="Cambria Math" panose="02040503050406030204" pitchFamily="18" charset="0"/>
                </a:rPr>
                <a:t>𝑏_</a:t>
              </a:r>
              <a:r>
                <a:rPr lang="pl-PL" sz="1600" i="0">
                  <a:latin typeface="Cambria Math" panose="02040503050406030204" pitchFamily="18" charset="0"/>
                </a:rPr>
                <a:t>1 𝑍_1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224397</xdr:colOff>
      <xdr:row>117</xdr:row>
      <xdr:rowOff>2791</xdr:rowOff>
    </xdr:from>
    <xdr:to>
      <xdr:col>2</xdr:col>
      <xdr:colOff>526991</xdr:colOff>
      <xdr:row>118</xdr:row>
      <xdr:rowOff>165073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Prostokąt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SpPr/>
          </xdr:nvSpPr>
          <xdr:spPr>
            <a:xfrm>
              <a:off x="224397" y="22405591"/>
              <a:ext cx="1377014" cy="34516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pl-PL" sz="1600" b="0" i="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sSub>
                          <m:sSub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l-PL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1" name="Prostokąt 10">
              <a:extLst>
                <a:ext uri="{FF2B5EF4-FFF2-40B4-BE49-F238E27FC236}">
                  <a16:creationId xmlns:a16="http://schemas.microsoft.com/office/drawing/2014/main" id="{1B936E3C-AE8F-4BF9-A070-94E0BF6BF56F}"/>
                </a:ext>
              </a:extLst>
            </xdr:cNvPr>
            <xdr:cNvSpPr/>
          </xdr:nvSpPr>
          <xdr:spPr>
            <a:xfrm>
              <a:off x="224397" y="22405591"/>
              <a:ext cx="1377014" cy="34516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𝑏_0 𝑋_1^(𝑏_1 )</a:t>
              </a:r>
              <a:endParaRPr lang="pl-PL" sz="1600"/>
            </a:p>
          </xdr:txBody>
        </xdr:sp>
      </mc:Fallback>
    </mc:AlternateContent>
    <xdr:clientData/>
  </xdr:twoCellAnchor>
  <xdr:twoCellAnchor>
    <xdr:from>
      <xdr:col>0</xdr:col>
      <xdr:colOff>0</xdr:colOff>
      <xdr:row>119</xdr:row>
      <xdr:rowOff>17942</xdr:rowOff>
    </xdr:from>
    <xdr:to>
      <xdr:col>2</xdr:col>
      <xdr:colOff>983793</xdr:colOff>
      <xdr:row>121</xdr:row>
      <xdr:rowOff>17083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Prostokąt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0" y="22786502"/>
              <a:ext cx="2058213" cy="36490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1600" b="0" i="1">
                        <a:latin typeface="Cambria Math" panose="02040503050406030204" pitchFamily="18" charset="0"/>
                      </a:rPr>
                      <m:t>2,95∗</m:t>
                    </m:r>
                    <m:sSubSup>
                      <m:sSubSup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0,01</m:t>
                        </m:r>
                      </m:sup>
                    </m:sSubSup>
                  </m:oMath>
                </m:oMathPara>
              </a14:m>
              <a:endParaRPr lang="pl-PL" sz="1600"/>
            </a:p>
          </xdr:txBody>
        </xdr:sp>
      </mc:Choice>
      <mc:Fallback xmlns="">
        <xdr:sp macro="" textlink="">
          <xdr:nvSpPr>
            <xdr:cNvPr id="12" name="Prostokąt 11">
              <a:extLst>
                <a:ext uri="{FF2B5EF4-FFF2-40B4-BE49-F238E27FC236}">
                  <a16:creationId xmlns:a16="http://schemas.microsoft.com/office/drawing/2014/main" id="{8DDBF4A7-4E15-4863-8219-D4D21937D64D}"/>
                </a:ext>
              </a:extLst>
            </xdr:cNvPr>
            <xdr:cNvSpPr/>
          </xdr:nvSpPr>
          <xdr:spPr>
            <a:xfrm>
              <a:off x="0" y="22786502"/>
              <a:ext cx="2058213" cy="36490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1600" b="0" i="0">
                  <a:latin typeface="Cambria Math" panose="02040503050406030204" pitchFamily="18" charset="0"/>
                </a:rPr>
                <a:t>𝑌 ̂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b="0" i="0">
                  <a:latin typeface="Cambria Math" panose="02040503050406030204" pitchFamily="18" charset="0"/>
                </a:rPr>
                <a:t>2,95∗𝑋_1^0,01</a:t>
              </a:r>
              <a:endParaRPr lang="pl-PL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23443</xdr:colOff>
      <xdr:row>21</xdr:row>
      <xdr:rowOff>122263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9043" cy="3962743"/>
        </a:xfrm>
        <a:prstGeom prst="rect">
          <a:avLst/>
        </a:prstGeom>
      </xdr:spPr>
    </xdr:pic>
    <xdr:clientData/>
  </xdr:twoCellAnchor>
  <xdr:twoCellAnchor editAs="oneCell">
    <xdr:from>
      <xdr:col>11</xdr:col>
      <xdr:colOff>97155</xdr:colOff>
      <xdr:row>0</xdr:row>
      <xdr:rowOff>13335</xdr:rowOff>
    </xdr:from>
    <xdr:to>
      <xdr:col>22</xdr:col>
      <xdr:colOff>182031</xdr:colOff>
      <xdr:row>22</xdr:row>
      <xdr:rowOff>119477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755" y="13335"/>
          <a:ext cx="6790476" cy="4129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292309/work-related-stress-depression-or-anxiety-among-workers-in-great-britain-gb/" TargetMode="External"/><Relationship Id="rId3" Type="http://schemas.openxmlformats.org/officeDocument/2006/relationships/hyperlink" Target="https://www.statista.com/statistics/1166036/anxiety-in-the-uk/" TargetMode="External"/><Relationship Id="rId7" Type="http://schemas.openxmlformats.org/officeDocument/2006/relationships/hyperlink" Target="https://www.statista.com/statistics/621325/marital-status-in-england-and-wales/" TargetMode="External"/><Relationship Id="rId2" Type="http://schemas.openxmlformats.org/officeDocument/2006/relationships/hyperlink" Target="https://www.statista.com/statistics/528577/uk-population-by-generation/" TargetMode="External"/><Relationship Id="rId1" Type="http://schemas.openxmlformats.org/officeDocument/2006/relationships/hyperlink" Target="https://www.statista.com/statistics/306720/cpi-rate-forecast-uk/" TargetMode="External"/><Relationship Id="rId6" Type="http://schemas.openxmlformats.org/officeDocument/2006/relationships/hyperlink" Target="https://www.statista.com/statistics/318888/numbers-of-veterinarians-in-the-uk/" TargetMode="External"/><Relationship Id="rId5" Type="http://schemas.openxmlformats.org/officeDocument/2006/relationships/hyperlink" Target="https://www.statista.com/statistics/308235/estimated-pet-ownership-in-the-united-kingdom-u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tatista.com/statistics/279898/unemployment-rate-in-the-united-kingdom-uk/" TargetMode="External"/><Relationship Id="rId9" Type="http://schemas.openxmlformats.org/officeDocument/2006/relationships/hyperlink" Target="https://www.statista.com/statistics/263754/total-population-of-the-united-kingd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workbookViewId="0">
      <selection activeCell="E8" sqref="E8"/>
    </sheetView>
  </sheetViews>
  <sheetFormatPr defaultRowHeight="14.4" x14ac:dyDescent="0.3"/>
  <cols>
    <col min="4" max="4" width="12.33203125" bestFit="1" customWidth="1"/>
    <col min="7" max="7" width="12" bestFit="1" customWidth="1"/>
    <col min="8" max="8" width="20.109375" customWidth="1"/>
    <col min="17" max="17" width="14.44140625" customWidth="1"/>
    <col min="18" max="18" width="14.33203125" customWidth="1"/>
    <col min="22" max="22" width="8.6640625" customWidth="1"/>
    <col min="23" max="23" width="13.33203125" customWidth="1"/>
    <col min="24" max="24" width="12.44140625" customWidth="1"/>
    <col min="25" max="25" width="12.33203125" customWidth="1"/>
    <col min="26" max="26" width="20.33203125" customWidth="1"/>
    <col min="27" max="27" width="12.6640625" customWidth="1"/>
    <col min="28" max="28" width="12.5546875" customWidth="1"/>
    <col min="30" max="31" width="9.88671875" bestFit="1" customWidth="1"/>
  </cols>
  <sheetData>
    <row r="1" spans="1:21" ht="18.75" customHeight="1" x14ac:dyDescent="0.3">
      <c r="A1" s="18" t="s">
        <v>5</v>
      </c>
      <c r="C1" s="82" t="s">
        <v>289</v>
      </c>
      <c r="D1" s="18"/>
      <c r="F1" s="21" t="s">
        <v>49</v>
      </c>
      <c r="G1" s="18"/>
      <c r="H1" s="18"/>
      <c r="I1" s="82" t="s">
        <v>290</v>
      </c>
      <c r="J1" s="18"/>
      <c r="K1" s="18"/>
      <c r="L1" s="18"/>
      <c r="M1" s="18"/>
      <c r="O1" s="18" t="s">
        <v>22</v>
      </c>
      <c r="P1" s="82" t="s">
        <v>291</v>
      </c>
      <c r="R1" s="18" t="s">
        <v>20</v>
      </c>
      <c r="S1" s="82" t="s">
        <v>292</v>
      </c>
      <c r="T1" s="18"/>
      <c r="U1" s="18"/>
    </row>
    <row r="2" spans="1:21" ht="17.25" customHeight="1" x14ac:dyDescent="0.3">
      <c r="A2" s="18" t="s">
        <v>6</v>
      </c>
      <c r="B2" s="18"/>
      <c r="C2" s="18"/>
      <c r="D2" s="18"/>
      <c r="F2" s="22" t="s">
        <v>50</v>
      </c>
      <c r="G2" s="18"/>
      <c r="H2" s="18"/>
      <c r="I2" s="18"/>
      <c r="J2" s="18"/>
      <c r="K2" s="18"/>
      <c r="L2" s="18"/>
      <c r="M2" s="18"/>
      <c r="O2" s="18" t="s">
        <v>23</v>
      </c>
      <c r="P2" s="18"/>
      <c r="R2" s="18" t="s">
        <v>21</v>
      </c>
      <c r="S2" s="18"/>
      <c r="T2" s="18"/>
      <c r="U2" s="18"/>
    </row>
    <row r="3" spans="1:21" x14ac:dyDescent="0.3">
      <c r="A3" s="18"/>
      <c r="B3" s="19">
        <v>2012</v>
      </c>
      <c r="C3" s="20">
        <v>2.8</v>
      </c>
      <c r="D3" s="19" t="s">
        <v>2</v>
      </c>
      <c r="F3" s="18"/>
      <c r="G3" s="23" t="s">
        <v>51</v>
      </c>
      <c r="H3" s="23" t="s">
        <v>52</v>
      </c>
      <c r="I3" s="23" t="s">
        <v>53</v>
      </c>
      <c r="J3" s="23" t="s">
        <v>54</v>
      </c>
      <c r="K3" s="23" t="s">
        <v>55</v>
      </c>
      <c r="L3" s="23" t="s">
        <v>56</v>
      </c>
      <c r="M3" s="23" t="s">
        <v>57</v>
      </c>
      <c r="O3" s="18"/>
      <c r="P3" s="18"/>
      <c r="R3" s="18"/>
      <c r="S3" s="18"/>
      <c r="T3" s="18"/>
      <c r="U3" s="18"/>
    </row>
    <row r="4" spans="1:21" x14ac:dyDescent="0.3">
      <c r="A4" s="18"/>
      <c r="B4" s="19">
        <v>2013</v>
      </c>
      <c r="C4" s="20">
        <v>2.6</v>
      </c>
      <c r="D4" s="19" t="s">
        <v>2</v>
      </c>
      <c r="F4" s="24" t="s">
        <v>58</v>
      </c>
      <c r="G4" s="25">
        <v>1439369</v>
      </c>
      <c r="H4" s="25">
        <v>7910803</v>
      </c>
      <c r="I4" s="25">
        <v>14895111</v>
      </c>
      <c r="J4" s="25">
        <v>13929392</v>
      </c>
      <c r="K4" s="25">
        <v>13546801</v>
      </c>
      <c r="L4" s="25">
        <v>11983545</v>
      </c>
      <c r="M4" s="25">
        <v>0</v>
      </c>
      <c r="O4" s="18" t="s">
        <v>24</v>
      </c>
      <c r="P4" s="18">
        <v>3.13</v>
      </c>
      <c r="R4" s="18"/>
      <c r="S4" s="24"/>
      <c r="T4" s="26"/>
      <c r="U4" s="24"/>
    </row>
    <row r="5" spans="1:21" x14ac:dyDescent="0.3">
      <c r="A5" s="18"/>
      <c r="B5" s="19">
        <v>2014</v>
      </c>
      <c r="C5" s="20">
        <v>1.5</v>
      </c>
      <c r="D5" s="19" t="s">
        <v>2</v>
      </c>
      <c r="F5" s="24" t="s">
        <v>59</v>
      </c>
      <c r="G5" s="25">
        <v>1227756</v>
      </c>
      <c r="H5" s="25">
        <v>7660128</v>
      </c>
      <c r="I5" s="25">
        <v>14823614</v>
      </c>
      <c r="J5" s="25">
        <v>13928858</v>
      </c>
      <c r="K5" s="25">
        <v>13634263</v>
      </c>
      <c r="L5" s="25">
        <v>12038484</v>
      </c>
      <c r="M5" s="25">
        <v>792557</v>
      </c>
      <c r="O5" s="18" t="s">
        <v>25</v>
      </c>
      <c r="P5" s="18">
        <v>3.03</v>
      </c>
      <c r="R5" s="18">
        <v>2</v>
      </c>
      <c r="S5" s="24" t="s">
        <v>8</v>
      </c>
      <c r="T5" s="26">
        <v>7.8</v>
      </c>
      <c r="U5" s="24" t="s">
        <v>2</v>
      </c>
    </row>
    <row r="6" spans="1:21" x14ac:dyDescent="0.3">
      <c r="A6" s="18"/>
      <c r="B6" s="19">
        <v>2015</v>
      </c>
      <c r="C6" s="20">
        <v>0</v>
      </c>
      <c r="D6" s="19" t="s">
        <v>2</v>
      </c>
      <c r="F6" s="24" t="s">
        <v>60</v>
      </c>
      <c r="G6" s="25">
        <v>1050790</v>
      </c>
      <c r="H6" s="25">
        <v>7410626</v>
      </c>
      <c r="I6" s="25">
        <v>14757988</v>
      </c>
      <c r="J6" s="25">
        <v>13935187</v>
      </c>
      <c r="K6" s="25">
        <v>13754992</v>
      </c>
      <c r="L6" s="25">
        <v>12109297</v>
      </c>
      <c r="M6" s="25">
        <v>1577872</v>
      </c>
      <c r="O6" s="18" t="s">
        <v>26</v>
      </c>
      <c r="P6" s="18">
        <v>2.92</v>
      </c>
      <c r="R6" s="18">
        <v>3</v>
      </c>
      <c r="S6" s="24" t="s">
        <v>9</v>
      </c>
      <c r="T6" s="26">
        <v>7.2</v>
      </c>
      <c r="U6" s="24" t="s">
        <v>2</v>
      </c>
    </row>
    <row r="7" spans="1:21" x14ac:dyDescent="0.3">
      <c r="A7" s="18"/>
      <c r="B7" s="19">
        <v>2016</v>
      </c>
      <c r="C7" s="20">
        <v>0.7</v>
      </c>
      <c r="D7" s="19" t="s">
        <v>2</v>
      </c>
      <c r="F7" s="24" t="s">
        <v>61</v>
      </c>
      <c r="G7" s="25">
        <v>868769</v>
      </c>
      <c r="H7" s="25">
        <v>7127813</v>
      </c>
      <c r="I7" s="25">
        <v>14686175</v>
      </c>
      <c r="J7" s="25">
        <v>13955179</v>
      </c>
      <c r="K7" s="25">
        <v>13913851</v>
      </c>
      <c r="L7" s="25">
        <v>12188653</v>
      </c>
      <c r="M7" s="25">
        <v>2369598</v>
      </c>
      <c r="O7" s="18" t="s">
        <v>27</v>
      </c>
      <c r="P7" s="18">
        <v>2.86</v>
      </c>
      <c r="R7" s="18">
        <v>4</v>
      </c>
      <c r="S7" s="24" t="s">
        <v>10</v>
      </c>
      <c r="T7" s="26">
        <v>5.7</v>
      </c>
      <c r="U7" s="24" t="s">
        <v>2</v>
      </c>
    </row>
    <row r="8" spans="1:21" x14ac:dyDescent="0.3">
      <c r="A8" s="18"/>
      <c r="B8" s="19">
        <v>2017</v>
      </c>
      <c r="C8" s="20">
        <v>2.7</v>
      </c>
      <c r="D8" s="19" t="s">
        <v>2</v>
      </c>
      <c r="F8" s="24" t="s">
        <v>62</v>
      </c>
      <c r="G8" s="25">
        <v>717962</v>
      </c>
      <c r="H8" s="25">
        <v>6840061</v>
      </c>
      <c r="I8" s="25">
        <v>14605307</v>
      </c>
      <c r="J8" s="25">
        <v>13973740</v>
      </c>
      <c r="K8" s="25">
        <v>14055240</v>
      </c>
      <c r="L8" s="25">
        <v>12281600</v>
      </c>
      <c r="M8" s="25">
        <v>3174159</v>
      </c>
      <c r="O8" s="18" t="s">
        <v>28</v>
      </c>
      <c r="P8" s="18">
        <v>2.87</v>
      </c>
      <c r="R8" s="18">
        <v>5</v>
      </c>
      <c r="S8" s="24" t="s">
        <v>11</v>
      </c>
      <c r="T8" s="26">
        <v>5.0999999999999996</v>
      </c>
      <c r="U8" s="24" t="s">
        <v>2</v>
      </c>
    </row>
    <row r="9" spans="1:21" x14ac:dyDescent="0.3">
      <c r="A9" s="18"/>
      <c r="B9" s="19">
        <v>2018</v>
      </c>
      <c r="C9" s="20">
        <v>2.5</v>
      </c>
      <c r="D9" s="19" t="s">
        <v>2</v>
      </c>
      <c r="F9" s="24" t="s">
        <v>63</v>
      </c>
      <c r="G9" s="25">
        <v>579780</v>
      </c>
      <c r="H9" s="25">
        <v>6532781</v>
      </c>
      <c r="I9" s="25">
        <v>14508625</v>
      </c>
      <c r="J9" s="25">
        <v>13975122</v>
      </c>
      <c r="K9" s="25">
        <v>14115516</v>
      </c>
      <c r="L9" s="25">
        <v>12367668</v>
      </c>
      <c r="M9" s="25">
        <v>3960741</v>
      </c>
      <c r="O9" s="18" t="s">
        <v>29</v>
      </c>
      <c r="P9" s="18">
        <v>2.9</v>
      </c>
      <c r="R9" s="18">
        <v>6</v>
      </c>
      <c r="S9" s="24" t="s">
        <v>12</v>
      </c>
      <c r="T9" s="26">
        <v>4.8</v>
      </c>
      <c r="U9" s="24" t="s">
        <v>2</v>
      </c>
    </row>
    <row r="10" spans="1:21" x14ac:dyDescent="0.3">
      <c r="A10" s="18"/>
      <c r="B10" s="19">
        <v>2019</v>
      </c>
      <c r="C10" s="20">
        <v>1.8</v>
      </c>
      <c r="D10" s="19" t="s">
        <v>2</v>
      </c>
      <c r="F10" s="24" t="s">
        <v>64</v>
      </c>
      <c r="G10" s="25">
        <v>454740</v>
      </c>
      <c r="H10" s="25">
        <v>6208059</v>
      </c>
      <c r="I10" s="25">
        <v>14402698</v>
      </c>
      <c r="J10" s="25">
        <v>13973428</v>
      </c>
      <c r="K10" s="25">
        <v>14187113</v>
      </c>
      <c r="L10" s="25">
        <v>12472276</v>
      </c>
      <c r="M10" s="25">
        <v>4737232</v>
      </c>
      <c r="O10" s="18" t="s">
        <v>30</v>
      </c>
      <c r="P10" s="18">
        <v>2.89</v>
      </c>
      <c r="R10" s="18">
        <v>7</v>
      </c>
      <c r="S10" s="24" t="s">
        <v>13</v>
      </c>
      <c r="T10" s="26">
        <v>4.4000000000000004</v>
      </c>
      <c r="U10" s="24" t="s">
        <v>2</v>
      </c>
    </row>
    <row r="11" spans="1:21" x14ac:dyDescent="0.3">
      <c r="A11" s="18"/>
      <c r="B11" s="19">
        <v>2020</v>
      </c>
      <c r="C11" s="20">
        <v>0.9</v>
      </c>
      <c r="D11" s="19" t="s">
        <v>2</v>
      </c>
      <c r="F11" s="24" t="s">
        <v>65</v>
      </c>
      <c r="G11" s="25">
        <v>360480</v>
      </c>
      <c r="H11" s="25">
        <v>5891552</v>
      </c>
      <c r="I11" s="25">
        <v>14284021</v>
      </c>
      <c r="J11" s="25">
        <v>13966001</v>
      </c>
      <c r="K11" s="25">
        <v>14226132</v>
      </c>
      <c r="L11" s="25">
        <v>12575056</v>
      </c>
      <c r="M11" s="25">
        <v>5493564</v>
      </c>
      <c r="O11" s="18" t="s">
        <v>31</v>
      </c>
      <c r="P11" s="18">
        <v>2.87</v>
      </c>
      <c r="R11" s="18">
        <v>8</v>
      </c>
      <c r="S11" s="24" t="s">
        <v>14</v>
      </c>
      <c r="T11" s="25">
        <v>4</v>
      </c>
      <c r="U11" s="24" t="s">
        <v>2</v>
      </c>
    </row>
    <row r="12" spans="1:21" x14ac:dyDescent="0.3">
      <c r="A12" s="18"/>
      <c r="B12" s="19">
        <v>2021</v>
      </c>
      <c r="C12" s="20">
        <v>2.6</v>
      </c>
      <c r="D12" s="19" t="s">
        <v>2</v>
      </c>
      <c r="F12" s="24" t="s">
        <v>66</v>
      </c>
      <c r="G12" s="25">
        <v>267430</v>
      </c>
      <c r="H12" s="25">
        <v>5521918</v>
      </c>
      <c r="I12" s="25">
        <v>14147218</v>
      </c>
      <c r="J12" s="25">
        <v>13950265</v>
      </c>
      <c r="K12" s="25">
        <v>14262767</v>
      </c>
      <c r="L12" s="25">
        <v>12698785</v>
      </c>
      <c r="M12" s="25">
        <v>6232848</v>
      </c>
      <c r="O12" s="18" t="s">
        <v>32</v>
      </c>
      <c r="P12" s="18">
        <v>3.05</v>
      </c>
      <c r="R12" s="18">
        <v>9</v>
      </c>
      <c r="S12" s="24" t="s">
        <v>15</v>
      </c>
      <c r="T12" s="25">
        <v>4</v>
      </c>
      <c r="U12" s="24" t="s">
        <v>2</v>
      </c>
    </row>
    <row r="13" spans="1:21" x14ac:dyDescent="0.3">
      <c r="A13" s="18"/>
      <c r="B13" s="19">
        <v>2022</v>
      </c>
      <c r="C13" s="20">
        <v>9.1</v>
      </c>
      <c r="D13" s="19" t="s">
        <v>2</v>
      </c>
      <c r="F13" s="24" t="s">
        <v>67</v>
      </c>
      <c r="G13" s="25">
        <v>0</v>
      </c>
      <c r="H13" s="25">
        <v>4685037</v>
      </c>
      <c r="I13" s="25">
        <v>13914928</v>
      </c>
      <c r="J13" s="25">
        <v>14058153</v>
      </c>
      <c r="K13" s="25">
        <v>14391255</v>
      </c>
      <c r="L13" s="25">
        <v>12682135</v>
      </c>
      <c r="M13" s="25">
        <v>6695927</v>
      </c>
      <c r="O13" s="18" t="s">
        <v>33</v>
      </c>
      <c r="P13" s="18">
        <v>3.31</v>
      </c>
      <c r="R13" s="18">
        <v>10</v>
      </c>
      <c r="S13" s="24" t="s">
        <v>16</v>
      </c>
      <c r="T13" s="26">
        <v>5.3</v>
      </c>
      <c r="U13" s="24" t="s">
        <v>2</v>
      </c>
    </row>
    <row r="14" spans="1:21" x14ac:dyDescent="0.3">
      <c r="A14" s="18"/>
      <c r="B14" s="19" t="s">
        <v>7</v>
      </c>
      <c r="C14" s="20">
        <v>7.3</v>
      </c>
      <c r="D14" s="19" t="s">
        <v>2</v>
      </c>
      <c r="O14" s="18" t="s">
        <v>34</v>
      </c>
      <c r="P14" s="18">
        <v>3.12</v>
      </c>
      <c r="R14" s="18">
        <v>11</v>
      </c>
      <c r="S14" s="24" t="s">
        <v>17</v>
      </c>
      <c r="T14" s="26">
        <v>4.0999999999999996</v>
      </c>
      <c r="U14" s="24" t="s">
        <v>2</v>
      </c>
    </row>
    <row r="15" spans="1:21" x14ac:dyDescent="0.3">
      <c r="O15" s="27" t="s">
        <v>35</v>
      </c>
      <c r="P15" s="27">
        <v>3.23</v>
      </c>
      <c r="R15" s="18">
        <v>12</v>
      </c>
      <c r="S15" s="24" t="s">
        <v>18</v>
      </c>
      <c r="T15" s="26">
        <v>3.8</v>
      </c>
      <c r="U15" s="24" t="s">
        <v>2</v>
      </c>
    </row>
    <row r="16" spans="1:21" x14ac:dyDescent="0.3">
      <c r="R16" s="18">
        <v>13</v>
      </c>
      <c r="S16" s="24" t="s">
        <v>19</v>
      </c>
      <c r="T16" s="26">
        <v>3.9</v>
      </c>
      <c r="U16" s="24" t="s">
        <v>2</v>
      </c>
    </row>
    <row r="18" spans="1:29" x14ac:dyDescent="0.3">
      <c r="A18" s="18" t="s">
        <v>0</v>
      </c>
      <c r="B18" s="18"/>
      <c r="C18" s="82" t="s">
        <v>293</v>
      </c>
      <c r="E18" s="18" t="s">
        <v>3</v>
      </c>
      <c r="F18" s="82" t="s">
        <v>294</v>
      </c>
      <c r="H18" s="18" t="s">
        <v>41</v>
      </c>
      <c r="I18" s="18"/>
      <c r="J18" s="82" t="s">
        <v>295</v>
      </c>
      <c r="K18" s="18"/>
      <c r="L18" s="18"/>
      <c r="M18" s="18"/>
      <c r="O18" s="18" t="s">
        <v>36</v>
      </c>
      <c r="P18" s="82" t="s">
        <v>296</v>
      </c>
      <c r="R18" s="18" t="s">
        <v>68</v>
      </c>
      <c r="S18" s="82" t="s">
        <v>297</v>
      </c>
    </row>
    <row r="19" spans="1:29" x14ac:dyDescent="0.3">
      <c r="A19" s="18" t="s">
        <v>1</v>
      </c>
      <c r="B19" s="18"/>
      <c r="C19" s="18"/>
      <c r="E19" s="18" t="s">
        <v>4</v>
      </c>
      <c r="F19" s="18"/>
      <c r="H19" s="18" t="s">
        <v>42</v>
      </c>
      <c r="I19" s="18"/>
      <c r="J19" s="18"/>
      <c r="K19" s="18"/>
      <c r="L19" s="18"/>
      <c r="M19" s="18"/>
      <c r="O19" s="18" t="s">
        <v>37</v>
      </c>
      <c r="P19" s="18"/>
      <c r="R19" s="18" t="s">
        <v>69</v>
      </c>
      <c r="S19" s="18"/>
    </row>
    <row r="20" spans="1:29" x14ac:dyDescent="0.3">
      <c r="A20" s="18"/>
      <c r="B20" s="18"/>
      <c r="C20" s="18"/>
      <c r="E20" s="18"/>
      <c r="F20" s="18"/>
      <c r="H20" s="18"/>
      <c r="I20" s="18" t="s">
        <v>43</v>
      </c>
      <c r="J20" s="18" t="s">
        <v>44</v>
      </c>
      <c r="K20" s="18" t="s">
        <v>45</v>
      </c>
      <c r="L20" s="18" t="s">
        <v>46</v>
      </c>
      <c r="M20" s="18" t="s">
        <v>47</v>
      </c>
      <c r="O20" s="18"/>
      <c r="P20" s="18"/>
      <c r="R20" s="18"/>
      <c r="S20" s="20">
        <v>65.11</v>
      </c>
    </row>
    <row r="21" spans="1:29" x14ac:dyDescent="0.3">
      <c r="A21" s="18">
        <v>2012</v>
      </c>
      <c r="B21" s="18">
        <v>47</v>
      </c>
      <c r="C21" s="18" t="s">
        <v>2</v>
      </c>
      <c r="E21" s="18">
        <v>2010</v>
      </c>
      <c r="F21" s="18">
        <v>14.9</v>
      </c>
      <c r="H21" s="18">
        <v>2002</v>
      </c>
      <c r="I21" s="28">
        <v>22944481</v>
      </c>
      <c r="J21" s="28">
        <v>23088100</v>
      </c>
      <c r="K21" s="28">
        <v>3139516</v>
      </c>
      <c r="L21" s="28">
        <v>3430046</v>
      </c>
      <c r="M21" s="18" t="s">
        <v>48</v>
      </c>
      <c r="O21" s="18" t="s">
        <v>38</v>
      </c>
      <c r="P21" s="18">
        <v>414</v>
      </c>
      <c r="R21" s="18"/>
      <c r="S21" s="20">
        <v>65.650000000000006</v>
      </c>
    </row>
    <row r="22" spans="1:29" x14ac:dyDescent="0.3">
      <c r="A22" s="18">
        <v>2013</v>
      </c>
      <c r="B22" s="18">
        <v>48</v>
      </c>
      <c r="C22" s="18" t="s">
        <v>2</v>
      </c>
      <c r="E22" s="18">
        <v>2011</v>
      </c>
      <c r="F22" s="18">
        <v>17.8</v>
      </c>
      <c r="H22" s="18">
        <v>2003</v>
      </c>
      <c r="I22" s="28">
        <v>23248375</v>
      </c>
      <c r="J22" s="28">
        <v>23046141</v>
      </c>
      <c r="K22" s="28">
        <v>3174557</v>
      </c>
      <c r="L22" s="28">
        <v>3394165</v>
      </c>
      <c r="M22" s="18" t="s">
        <v>48</v>
      </c>
      <c r="O22" s="18" t="s">
        <v>39</v>
      </c>
      <c r="P22" s="18">
        <v>439</v>
      </c>
      <c r="R22" s="18"/>
      <c r="S22" s="20">
        <v>66.040000000000006</v>
      </c>
    </row>
    <row r="23" spans="1:29" x14ac:dyDescent="0.3">
      <c r="A23" s="18">
        <v>2014</v>
      </c>
      <c r="B23" s="18">
        <v>47</v>
      </c>
      <c r="C23" s="18" t="s">
        <v>2</v>
      </c>
      <c r="E23" s="18">
        <v>2012</v>
      </c>
      <c r="F23" s="18">
        <v>16.2</v>
      </c>
      <c r="H23" s="18">
        <v>2004</v>
      </c>
      <c r="I23" s="28">
        <v>23528600</v>
      </c>
      <c r="J23" s="28">
        <v>22999978</v>
      </c>
      <c r="K23" s="28">
        <v>3231047</v>
      </c>
      <c r="L23" s="28">
        <v>3392397</v>
      </c>
      <c r="M23" s="18" t="s">
        <v>48</v>
      </c>
      <c r="O23" s="18" t="s">
        <v>40</v>
      </c>
      <c r="P23" s="18">
        <v>402</v>
      </c>
      <c r="R23" s="18"/>
      <c r="S23" s="20">
        <v>66.44</v>
      </c>
    </row>
    <row r="24" spans="1:29" x14ac:dyDescent="0.3">
      <c r="A24" s="18">
        <v>2015</v>
      </c>
      <c r="B24" s="18">
        <v>46</v>
      </c>
      <c r="C24" s="18" t="s">
        <v>2</v>
      </c>
      <c r="E24" s="18">
        <v>2013</v>
      </c>
      <c r="F24" s="18">
        <v>14</v>
      </c>
      <c r="H24" s="18">
        <v>2005</v>
      </c>
      <c r="I24" s="28">
        <v>23815246</v>
      </c>
      <c r="J24" s="28">
        <v>23155488</v>
      </c>
      <c r="K24" s="28">
        <v>3289944</v>
      </c>
      <c r="L24" s="28">
        <v>3314665</v>
      </c>
      <c r="M24" s="18" t="s">
        <v>48</v>
      </c>
      <c r="O24" s="18" t="s">
        <v>24</v>
      </c>
      <c r="P24" s="18">
        <v>430</v>
      </c>
      <c r="R24" s="18"/>
      <c r="S24" s="20">
        <v>66.8</v>
      </c>
    </row>
    <row r="25" spans="1:29" x14ac:dyDescent="0.3">
      <c r="A25" s="18">
        <v>2016</v>
      </c>
      <c r="B25" s="18">
        <v>40</v>
      </c>
      <c r="C25" s="18" t="s">
        <v>2</v>
      </c>
      <c r="E25" s="18">
        <v>2014</v>
      </c>
      <c r="F25" s="18">
        <v>22.9</v>
      </c>
      <c r="H25" s="18">
        <v>2006</v>
      </c>
      <c r="I25" s="28">
        <v>24206014</v>
      </c>
      <c r="J25" s="28">
        <v>23066569</v>
      </c>
      <c r="K25" s="28">
        <v>3370687</v>
      </c>
      <c r="L25" s="28">
        <v>3283515</v>
      </c>
      <c r="M25" s="28">
        <v>24069</v>
      </c>
      <c r="O25" s="18" t="s">
        <v>26</v>
      </c>
      <c r="P25" s="18">
        <v>488</v>
      </c>
      <c r="R25" s="18"/>
      <c r="S25" s="20">
        <v>67.260000000000005</v>
      </c>
      <c r="Z25" s="4"/>
      <c r="AA25" s="4"/>
      <c r="AB25" s="4"/>
      <c r="AC25" s="4"/>
    </row>
    <row r="26" spans="1:29" x14ac:dyDescent="0.3">
      <c r="A26" s="18">
        <v>2017</v>
      </c>
      <c r="B26" s="18">
        <v>44</v>
      </c>
      <c r="C26" s="18" t="s">
        <v>2</v>
      </c>
      <c r="E26" s="18">
        <v>2015</v>
      </c>
      <c r="F26" s="18">
        <v>18</v>
      </c>
      <c r="H26" s="18">
        <v>2007</v>
      </c>
      <c r="I26" s="28">
        <v>24503235</v>
      </c>
      <c r="J26" s="28">
        <v>23120897</v>
      </c>
      <c r="K26" s="28">
        <v>3410031</v>
      </c>
      <c r="L26" s="28">
        <v>3287352</v>
      </c>
      <c r="M26" s="28">
        <v>65877</v>
      </c>
      <c r="O26" s="18" t="s">
        <v>27</v>
      </c>
      <c r="P26" s="18">
        <v>442</v>
      </c>
      <c r="R26" s="18"/>
      <c r="S26" s="20">
        <v>67.61</v>
      </c>
      <c r="Z26" s="4"/>
      <c r="AA26" s="4"/>
      <c r="AB26" s="4"/>
      <c r="AC26" s="4"/>
    </row>
    <row r="27" spans="1:29" x14ac:dyDescent="0.3">
      <c r="A27" s="18">
        <v>2018</v>
      </c>
      <c r="B27" s="18">
        <v>45</v>
      </c>
      <c r="C27" s="18" t="s">
        <v>2</v>
      </c>
      <c r="E27" s="18">
        <v>2016</v>
      </c>
      <c r="F27" s="18">
        <v>18.3</v>
      </c>
      <c r="H27" s="18">
        <v>2008</v>
      </c>
      <c r="I27" s="28">
        <v>24889122</v>
      </c>
      <c r="J27" s="28">
        <v>23105056</v>
      </c>
      <c r="K27" s="28">
        <v>3503166</v>
      </c>
      <c r="L27" s="28">
        <v>3268830</v>
      </c>
      <c r="M27" s="28">
        <v>75546</v>
      </c>
      <c r="O27" s="18" t="s">
        <v>28</v>
      </c>
      <c r="P27" s="18">
        <v>488</v>
      </c>
      <c r="R27" s="18"/>
      <c r="S27" s="20">
        <v>67.95</v>
      </c>
      <c r="Y27" s="4"/>
      <c r="Z27" s="4"/>
      <c r="AA27" s="4"/>
      <c r="AB27" s="4"/>
      <c r="AC27" s="4"/>
    </row>
    <row r="28" spans="1:29" x14ac:dyDescent="0.3">
      <c r="A28" s="18">
        <v>2019</v>
      </c>
      <c r="B28" s="18">
        <v>40</v>
      </c>
      <c r="C28" s="18" t="s">
        <v>2</v>
      </c>
      <c r="E28" s="18">
        <v>2017</v>
      </c>
      <c r="F28" s="18">
        <v>26.9</v>
      </c>
      <c r="H28" s="18">
        <v>2009</v>
      </c>
      <c r="I28" s="28">
        <v>25143843</v>
      </c>
      <c r="J28" s="28">
        <v>23193525</v>
      </c>
      <c r="K28" s="28">
        <v>3598748</v>
      </c>
      <c r="L28" s="28">
        <v>3219206</v>
      </c>
      <c r="M28" s="28">
        <v>79931</v>
      </c>
      <c r="O28" s="18" t="s">
        <v>29</v>
      </c>
      <c r="P28" s="18">
        <v>526</v>
      </c>
      <c r="R28" s="18"/>
      <c r="S28" s="20">
        <v>68.27</v>
      </c>
      <c r="X28" s="4"/>
      <c r="Y28" s="4"/>
      <c r="Z28" s="4"/>
      <c r="AA28" s="4"/>
      <c r="AB28" s="4"/>
      <c r="AC28" s="4"/>
    </row>
    <row r="29" spans="1:29" x14ac:dyDescent="0.3">
      <c r="A29" s="18">
        <v>2020</v>
      </c>
      <c r="B29" s="18">
        <v>41</v>
      </c>
      <c r="C29" s="18" t="s">
        <v>2</v>
      </c>
      <c r="E29" s="18">
        <v>2018</v>
      </c>
      <c r="F29" s="18">
        <v>25.1</v>
      </c>
      <c r="H29" s="18">
        <v>2010</v>
      </c>
      <c r="I29" s="28">
        <v>25433695</v>
      </c>
      <c r="J29" s="28">
        <v>23285841</v>
      </c>
      <c r="K29" s="28">
        <v>3700872</v>
      </c>
      <c r="L29" s="28">
        <v>3188332</v>
      </c>
      <c r="M29" s="28">
        <v>83683</v>
      </c>
      <c r="O29" s="18" t="s">
        <v>30</v>
      </c>
      <c r="P29" s="18">
        <v>595</v>
      </c>
      <c r="R29" s="18"/>
      <c r="S29" s="20">
        <v>68.569999999999993</v>
      </c>
      <c r="X29" s="4"/>
      <c r="Y29" s="4"/>
      <c r="Z29" s="4"/>
      <c r="AA29" s="4"/>
      <c r="AB29" s="4"/>
      <c r="AC29" s="4"/>
    </row>
    <row r="30" spans="1:29" x14ac:dyDescent="0.3">
      <c r="A30" s="18">
        <v>2021</v>
      </c>
      <c r="B30" s="18">
        <v>59</v>
      </c>
      <c r="C30" s="18" t="s">
        <v>2</v>
      </c>
      <c r="E30" s="18">
        <v>2019</v>
      </c>
      <c r="F30" s="18">
        <v>21.8</v>
      </c>
      <c r="H30" s="18">
        <v>2011</v>
      </c>
      <c r="I30" s="28">
        <v>26029479</v>
      </c>
      <c r="J30" s="28">
        <v>23123923</v>
      </c>
      <c r="K30" s="28">
        <v>3776648</v>
      </c>
      <c r="L30" s="28">
        <v>3119765</v>
      </c>
      <c r="M30" s="28">
        <v>121112</v>
      </c>
      <c r="O30" s="18" t="s">
        <v>31</v>
      </c>
      <c r="P30" s="18">
        <v>602</v>
      </c>
      <c r="R30" s="18"/>
      <c r="S30" s="20">
        <v>68.88</v>
      </c>
      <c r="X30" s="4"/>
      <c r="Y30" s="4"/>
      <c r="Z30" s="4"/>
      <c r="AA30" s="4"/>
      <c r="AB30" s="4"/>
      <c r="AC30" s="4"/>
    </row>
    <row r="31" spans="1:29" x14ac:dyDescent="0.3">
      <c r="A31" s="18">
        <v>2022</v>
      </c>
      <c r="B31" s="18">
        <v>62</v>
      </c>
      <c r="C31" s="18" t="s">
        <v>2</v>
      </c>
      <c r="E31" s="18">
        <v>2020</v>
      </c>
      <c r="F31" s="18">
        <v>28.5</v>
      </c>
      <c r="H31" s="18">
        <v>2012</v>
      </c>
      <c r="I31" s="28">
        <v>26111767</v>
      </c>
      <c r="J31" s="28">
        <v>23375977</v>
      </c>
      <c r="K31" s="28">
        <v>3824737</v>
      </c>
      <c r="L31" s="28">
        <v>3145002</v>
      </c>
      <c r="M31" s="28">
        <v>120249</v>
      </c>
      <c r="O31" s="18" t="s">
        <v>32</v>
      </c>
      <c r="P31" s="18">
        <v>828</v>
      </c>
      <c r="W31" s="4"/>
      <c r="X31" s="4"/>
      <c r="Y31" s="4"/>
      <c r="Z31" s="4"/>
      <c r="AA31" s="4"/>
      <c r="AB31" s="4"/>
      <c r="AC31" s="4"/>
    </row>
    <row r="32" spans="1:29" x14ac:dyDescent="0.3">
      <c r="A32" s="18">
        <v>2023</v>
      </c>
      <c r="B32" s="18">
        <v>57</v>
      </c>
      <c r="C32" s="18" t="s">
        <v>2</v>
      </c>
      <c r="E32" s="18">
        <v>2021</v>
      </c>
      <c r="F32" s="18">
        <v>25.4</v>
      </c>
      <c r="H32" s="18">
        <v>2013</v>
      </c>
      <c r="I32" s="28">
        <v>26383292</v>
      </c>
      <c r="J32" s="28">
        <v>23560142</v>
      </c>
      <c r="K32" s="28">
        <v>3736325</v>
      </c>
      <c r="L32" s="28">
        <v>3185797</v>
      </c>
      <c r="M32" s="28">
        <v>124188</v>
      </c>
      <c r="O32" s="18" t="s">
        <v>33</v>
      </c>
      <c r="P32" s="18">
        <v>823</v>
      </c>
      <c r="W32" s="4"/>
      <c r="X32" s="4"/>
      <c r="Y32" s="4"/>
      <c r="Z32" s="4"/>
      <c r="AA32" s="4"/>
      <c r="AB32" s="4"/>
      <c r="AC32" s="4"/>
    </row>
    <row r="33" spans="2:29" x14ac:dyDescent="0.3">
      <c r="E33" s="18">
        <v>2022</v>
      </c>
      <c r="F33" s="18">
        <v>27</v>
      </c>
      <c r="H33" s="18">
        <v>2014</v>
      </c>
      <c r="I33" s="28">
        <v>26626303</v>
      </c>
      <c r="J33" s="28">
        <v>23894192</v>
      </c>
      <c r="K33" s="28">
        <v>3809428</v>
      </c>
      <c r="L33" s="28">
        <v>2998155</v>
      </c>
      <c r="M33" s="28">
        <v>116028</v>
      </c>
      <c r="O33" s="18" t="s">
        <v>34</v>
      </c>
      <c r="P33" s="18">
        <v>914</v>
      </c>
      <c r="W33" s="4"/>
      <c r="X33" s="4"/>
      <c r="Y33" s="4"/>
      <c r="Z33" s="4"/>
      <c r="AA33" s="4"/>
      <c r="AB33" s="4"/>
      <c r="AC33" s="4"/>
    </row>
    <row r="34" spans="2:29" x14ac:dyDescent="0.3">
      <c r="E34" s="18">
        <v>2023</v>
      </c>
      <c r="F34" s="18">
        <v>29.3</v>
      </c>
      <c r="H34" s="18">
        <v>2015</v>
      </c>
      <c r="I34" s="28">
        <v>27109715</v>
      </c>
      <c r="J34" s="28">
        <v>23790121</v>
      </c>
      <c r="K34" s="28">
        <v>3821223</v>
      </c>
      <c r="L34" s="28">
        <v>3064187</v>
      </c>
      <c r="M34" s="28">
        <v>96171</v>
      </c>
      <c r="O34" s="18" t="s">
        <v>35</v>
      </c>
      <c r="P34" s="18">
        <v>875</v>
      </c>
      <c r="W34" s="4"/>
      <c r="X34" s="4"/>
      <c r="Y34" s="4"/>
      <c r="Z34" s="4"/>
      <c r="AA34" s="4"/>
      <c r="AB34" s="4"/>
      <c r="AC34" s="4"/>
    </row>
    <row r="35" spans="2:29" x14ac:dyDescent="0.3">
      <c r="H35" s="18">
        <v>2016</v>
      </c>
      <c r="I35" s="28">
        <v>27364295</v>
      </c>
      <c r="J35" s="28">
        <v>24127656</v>
      </c>
      <c r="K35" s="28">
        <v>3775780</v>
      </c>
      <c r="L35" s="28">
        <v>3008990</v>
      </c>
      <c r="M35" s="28">
        <v>89478</v>
      </c>
      <c r="W35" s="4"/>
      <c r="X35" s="4"/>
      <c r="Y35" s="4"/>
      <c r="Z35" s="4"/>
      <c r="AA35" s="4"/>
      <c r="AB35" s="4"/>
      <c r="AC35" s="4"/>
    </row>
    <row r="36" spans="2:29" x14ac:dyDescent="0.3">
      <c r="B36" s="2"/>
      <c r="H36" s="18">
        <v>2017</v>
      </c>
      <c r="I36" s="28">
        <v>27454239</v>
      </c>
      <c r="J36" s="28">
        <v>24322878</v>
      </c>
      <c r="K36" s="28">
        <v>3704569</v>
      </c>
      <c r="L36" s="28">
        <v>3119248</v>
      </c>
      <c r="M36" s="28">
        <v>99976</v>
      </c>
      <c r="W36" s="4"/>
      <c r="X36" s="4"/>
      <c r="Y36" s="4"/>
      <c r="Z36" s="4"/>
      <c r="AA36" s="4"/>
      <c r="AB36" s="4"/>
      <c r="AC36" s="4"/>
    </row>
    <row r="37" spans="2:29" x14ac:dyDescent="0.3">
      <c r="B37" s="2"/>
      <c r="H37" s="18">
        <v>2018</v>
      </c>
      <c r="I37" s="28">
        <v>27878450</v>
      </c>
      <c r="J37" s="28">
        <v>24191960</v>
      </c>
      <c r="K37" s="28">
        <v>3809073</v>
      </c>
      <c r="L37" s="28">
        <v>3040662</v>
      </c>
      <c r="M37" s="28">
        <v>88221</v>
      </c>
      <c r="W37" s="4"/>
      <c r="X37" s="4"/>
      <c r="Y37" s="4"/>
      <c r="Z37" s="4"/>
      <c r="AA37" s="4"/>
      <c r="AB37" s="4"/>
      <c r="AC37" s="4"/>
    </row>
    <row r="38" spans="2:29" x14ac:dyDescent="0.3">
      <c r="B38" s="2"/>
      <c r="H38" s="18">
        <v>2019</v>
      </c>
      <c r="I38" s="28">
        <v>28013831</v>
      </c>
      <c r="J38" s="28">
        <v>24208321</v>
      </c>
      <c r="K38" s="28">
        <v>3926907</v>
      </c>
      <c r="L38" s="28">
        <v>3079610</v>
      </c>
      <c r="M38" s="28">
        <v>89117</v>
      </c>
      <c r="W38" s="4"/>
      <c r="X38" s="4"/>
      <c r="Y38" s="4"/>
      <c r="Z38" s="4"/>
      <c r="AA38" s="4"/>
      <c r="AB38" s="4"/>
      <c r="AC38" s="4"/>
    </row>
    <row r="39" spans="2:29" x14ac:dyDescent="0.3">
      <c r="B39" s="2"/>
      <c r="H39" s="18">
        <v>2020</v>
      </c>
      <c r="I39" s="28">
        <v>28067509</v>
      </c>
      <c r="J39" s="28">
        <v>24382089</v>
      </c>
      <c r="K39" s="28">
        <v>3776573</v>
      </c>
      <c r="L39" s="28">
        <v>3074397</v>
      </c>
      <c r="M39" s="28">
        <v>129879</v>
      </c>
      <c r="W39" s="4"/>
      <c r="X39" s="4"/>
      <c r="Y39" s="4"/>
      <c r="Z39" s="4"/>
      <c r="AA39" s="4"/>
      <c r="AB39" s="4"/>
      <c r="AC39" s="4"/>
    </row>
    <row r="40" spans="2:29" x14ac:dyDescent="0.3">
      <c r="B40" s="2"/>
      <c r="H40" s="18">
        <v>2021</v>
      </c>
      <c r="I40" s="28">
        <v>28617252</v>
      </c>
      <c r="J40" s="28">
        <v>24006903</v>
      </c>
      <c r="K40" s="28">
        <v>3738665</v>
      </c>
      <c r="L40" s="28">
        <v>3120759</v>
      </c>
      <c r="M40" s="28">
        <v>176947</v>
      </c>
      <c r="W40" s="4"/>
      <c r="X40" s="4"/>
      <c r="Y40" s="4"/>
      <c r="Z40" s="4"/>
      <c r="AA40" s="4"/>
      <c r="AB40" s="4"/>
      <c r="AC40" s="4"/>
    </row>
    <row r="41" spans="2:29" x14ac:dyDescent="0.3">
      <c r="B41" s="2"/>
      <c r="H41" s="18">
        <v>2022</v>
      </c>
      <c r="I41" s="28">
        <v>28980582</v>
      </c>
      <c r="J41" s="28">
        <v>24054519</v>
      </c>
      <c r="K41" s="28">
        <v>3845968</v>
      </c>
      <c r="L41" s="28">
        <v>3134737</v>
      </c>
      <c r="M41" s="28">
        <v>222229</v>
      </c>
      <c r="Y41" s="4"/>
      <c r="Z41" s="4"/>
      <c r="AA41" s="4"/>
      <c r="AB41" s="4"/>
      <c r="AC41" s="4"/>
    </row>
    <row r="42" spans="2:29" x14ac:dyDescent="0.3">
      <c r="B42" s="2"/>
      <c r="V42" s="3"/>
      <c r="W42" s="4"/>
      <c r="X42" s="4"/>
    </row>
    <row r="43" spans="2:29" x14ac:dyDescent="0.3">
      <c r="B43" s="2"/>
      <c r="D43" s="8"/>
      <c r="V43" s="3"/>
      <c r="W43" s="4"/>
      <c r="X43" s="4"/>
    </row>
    <row r="44" spans="2:29" x14ac:dyDescent="0.3">
      <c r="B44" s="2"/>
      <c r="D44" s="8"/>
      <c r="H44" s="29"/>
    </row>
    <row r="45" spans="2:29" x14ac:dyDescent="0.3">
      <c r="B45" s="2"/>
    </row>
    <row r="46" spans="2:29" x14ac:dyDescent="0.3">
      <c r="B46" s="2"/>
    </row>
    <row r="72" spans="7:7" x14ac:dyDescent="0.3">
      <c r="G72" s="9"/>
    </row>
    <row r="73" spans="7:7" x14ac:dyDescent="0.3">
      <c r="G73" s="9"/>
    </row>
    <row r="74" spans="7:7" x14ac:dyDescent="0.3">
      <c r="G74" s="9"/>
    </row>
    <row r="75" spans="7:7" x14ac:dyDescent="0.3">
      <c r="G75" s="9"/>
    </row>
    <row r="76" spans="7:7" x14ac:dyDescent="0.3">
      <c r="G76" s="9"/>
    </row>
    <row r="77" spans="7:7" x14ac:dyDescent="0.3">
      <c r="G77" s="9"/>
    </row>
    <row r="78" spans="7:7" x14ac:dyDescent="0.3">
      <c r="G78" s="9"/>
    </row>
    <row r="79" spans="7:7" x14ac:dyDescent="0.3">
      <c r="G79" s="9"/>
    </row>
    <row r="80" spans="7:7" x14ac:dyDescent="0.3">
      <c r="G80" s="9"/>
    </row>
    <row r="81" spans="7:24" x14ac:dyDescent="0.3">
      <c r="G81" s="9"/>
    </row>
    <row r="82" spans="7:24" x14ac:dyDescent="0.3">
      <c r="G82" s="9"/>
    </row>
    <row r="88" spans="7:24" x14ac:dyDescent="0.3">
      <c r="V88" s="5"/>
      <c r="W88" s="5"/>
      <c r="X88" s="7"/>
    </row>
    <row r="89" spans="7:24" x14ac:dyDescent="0.3">
      <c r="V89" s="5"/>
      <c r="W89" s="5"/>
      <c r="X89" s="7"/>
    </row>
    <row r="90" spans="7:24" x14ac:dyDescent="0.3">
      <c r="V90" s="5"/>
      <c r="W90" s="5"/>
      <c r="X90" s="7"/>
    </row>
    <row r="91" spans="7:24" x14ac:dyDescent="0.3">
      <c r="V91" s="5"/>
      <c r="W91" s="5"/>
      <c r="X91" s="7"/>
    </row>
    <row r="92" spans="7:24" x14ac:dyDescent="0.3">
      <c r="V92" s="5"/>
      <c r="W92" s="5"/>
      <c r="X92" s="7"/>
    </row>
    <row r="93" spans="7:24" x14ac:dyDescent="0.3">
      <c r="V93" s="5"/>
      <c r="W93" s="5"/>
      <c r="X93" s="7"/>
    </row>
    <row r="94" spans="7:24" x14ac:dyDescent="0.3">
      <c r="V94" s="5"/>
      <c r="W94" s="5"/>
      <c r="X94" s="7"/>
    </row>
    <row r="95" spans="7:24" x14ac:dyDescent="0.3">
      <c r="V95" s="5"/>
      <c r="W95" s="5"/>
      <c r="X95" s="7"/>
    </row>
    <row r="96" spans="7:24" x14ac:dyDescent="0.3">
      <c r="V96" s="5"/>
      <c r="W96" s="5"/>
      <c r="X96" s="7"/>
    </row>
    <row r="97" spans="22:24" x14ac:dyDescent="0.3">
      <c r="V97" s="5"/>
      <c r="W97" s="5"/>
      <c r="X97" s="7"/>
    </row>
    <row r="98" spans="22:24" x14ac:dyDescent="0.3">
      <c r="V98" s="5"/>
      <c r="W98" s="5"/>
      <c r="X98" s="7"/>
    </row>
  </sheetData>
  <hyperlinks>
    <hyperlink ref="C1" r:id="rId1" xr:uid="{00000000-0004-0000-0000-000000000000}"/>
    <hyperlink ref="I1" r:id="rId2" xr:uid="{00000000-0004-0000-0000-000001000000}"/>
    <hyperlink ref="P1" r:id="rId3" xr:uid="{00000000-0004-0000-0000-000002000000}"/>
    <hyperlink ref="S1" r:id="rId4" xr:uid="{00000000-0004-0000-0000-000003000000}"/>
    <hyperlink ref="C18" r:id="rId5" xr:uid="{00000000-0004-0000-0000-000004000000}"/>
    <hyperlink ref="F18" r:id="rId6" xr:uid="{00000000-0004-0000-0000-000005000000}"/>
    <hyperlink ref="J18" r:id="rId7" xr:uid="{00000000-0004-0000-0000-000006000000}"/>
    <hyperlink ref="P18" r:id="rId8" xr:uid="{00000000-0004-0000-0000-000007000000}"/>
    <hyperlink ref="S18" r:id="rId9" xr:uid="{00000000-0004-0000-0000-0000080000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C44"/>
  <sheetViews>
    <sheetView zoomScaleNormal="100" workbookViewId="0">
      <selection activeCell="E7" sqref="E7"/>
    </sheetView>
  </sheetViews>
  <sheetFormatPr defaultRowHeight="14.4" x14ac:dyDescent="0.3"/>
  <cols>
    <col min="2" max="2" width="11.33203125" customWidth="1"/>
    <col min="3" max="3" width="11" customWidth="1"/>
    <col min="4" max="4" width="12.33203125" bestFit="1" customWidth="1"/>
    <col min="5" max="5" width="15.33203125" customWidth="1"/>
    <col min="7" max="7" width="12" bestFit="1" customWidth="1"/>
    <col min="8" max="8" width="14.33203125" customWidth="1"/>
    <col min="12" max="12" width="8" customWidth="1"/>
    <col min="13" max="13" width="13.109375" customWidth="1"/>
    <col min="15" max="15" width="10.6640625" customWidth="1"/>
    <col min="16" max="16" width="10.44140625" customWidth="1"/>
    <col min="17" max="17" width="14.44140625" customWidth="1"/>
    <col min="18" max="18" width="14.33203125" customWidth="1"/>
    <col min="20" max="20" width="13.44140625" customWidth="1"/>
    <col min="21" max="21" width="11.44140625" customWidth="1"/>
    <col min="22" max="22" width="44.6640625" customWidth="1"/>
    <col min="23" max="23" width="13.33203125" customWidth="1"/>
    <col min="24" max="24" width="12.44140625" customWidth="1"/>
    <col min="25" max="25" width="12.33203125" customWidth="1"/>
    <col min="26" max="26" width="20.33203125" customWidth="1"/>
    <col min="27" max="27" width="12.6640625" customWidth="1"/>
    <col min="28" max="28" width="12.5546875" customWidth="1"/>
    <col min="30" max="31" width="9.88671875" bestFit="1" customWidth="1"/>
  </cols>
  <sheetData>
    <row r="2" spans="2:17" x14ac:dyDescent="0.3">
      <c r="C2" s="43" t="s">
        <v>36</v>
      </c>
    </row>
    <row r="3" spans="2:17" x14ac:dyDescent="0.3">
      <c r="C3" t="s">
        <v>37</v>
      </c>
      <c r="N3" s="43" t="s">
        <v>3</v>
      </c>
    </row>
    <row r="4" spans="2:17" x14ac:dyDescent="0.3">
      <c r="N4" t="s">
        <v>4</v>
      </c>
    </row>
    <row r="5" spans="2:17" x14ac:dyDescent="0.3">
      <c r="C5" t="s">
        <v>38</v>
      </c>
      <c r="D5">
        <v>414</v>
      </c>
      <c r="P5">
        <v>1000</v>
      </c>
    </row>
    <row r="6" spans="2:17" x14ac:dyDescent="0.3">
      <c r="C6" t="s">
        <v>39</v>
      </c>
      <c r="D6">
        <v>439</v>
      </c>
      <c r="G6" s="1"/>
      <c r="N6">
        <v>2010</v>
      </c>
      <c r="O6">
        <v>14.9</v>
      </c>
      <c r="P6">
        <f t="shared" ref="P6:P19" si="0">O6*$P$5</f>
        <v>14900</v>
      </c>
    </row>
    <row r="7" spans="2:17" x14ac:dyDescent="0.3">
      <c r="B7" t="s">
        <v>95</v>
      </c>
      <c r="C7" t="s">
        <v>40</v>
      </c>
      <c r="D7">
        <v>402</v>
      </c>
      <c r="E7" s="85" t="s">
        <v>299</v>
      </c>
      <c r="G7" s="1"/>
      <c r="I7" t="s">
        <v>68</v>
      </c>
      <c r="L7">
        <v>1000000</v>
      </c>
      <c r="M7" t="s">
        <v>95</v>
      </c>
      <c r="N7">
        <v>2011</v>
      </c>
      <c r="O7">
        <v>17.8</v>
      </c>
      <c r="P7">
        <f t="shared" si="0"/>
        <v>17800</v>
      </c>
      <c r="Q7" s="85" t="s">
        <v>298</v>
      </c>
    </row>
    <row r="8" spans="2:17" x14ac:dyDescent="0.3">
      <c r="B8">
        <v>63705021</v>
      </c>
      <c r="C8" t="s">
        <v>24</v>
      </c>
      <c r="D8">
        <v>430</v>
      </c>
      <c r="E8" s="87">
        <f t="shared" ref="E8:E18" si="1">D8/B8</f>
        <v>6.7498604230897275E-6</v>
      </c>
      <c r="G8" s="1"/>
      <c r="I8" t="s">
        <v>69</v>
      </c>
      <c r="M8">
        <v>63705021</v>
      </c>
      <c r="N8">
        <v>2012</v>
      </c>
      <c r="O8">
        <v>16.2</v>
      </c>
      <c r="P8">
        <f t="shared" si="0"/>
        <v>16200</v>
      </c>
      <c r="Q8" s="88">
        <f t="shared" ref="Q8:Q19" si="2">P8/M8</f>
        <v>2.5429706710245023E-4</v>
      </c>
    </row>
    <row r="9" spans="2:17" x14ac:dyDescent="0.3">
      <c r="B9">
        <v>64105660</v>
      </c>
      <c r="C9" t="s">
        <v>26</v>
      </c>
      <c r="D9">
        <v>488</v>
      </c>
      <c r="E9" s="87">
        <f t="shared" si="1"/>
        <v>7.6124323499672257E-6</v>
      </c>
      <c r="G9" s="1"/>
      <c r="J9" s="2">
        <v>65.11</v>
      </c>
      <c r="M9">
        <v>64105660</v>
      </c>
      <c r="N9">
        <v>2013</v>
      </c>
      <c r="O9">
        <v>14</v>
      </c>
      <c r="P9">
        <f t="shared" si="0"/>
        <v>14000</v>
      </c>
      <c r="Q9" s="88">
        <f t="shared" si="2"/>
        <v>2.1838945266299418E-4</v>
      </c>
    </row>
    <row r="10" spans="2:17" x14ac:dyDescent="0.3">
      <c r="B10">
        <v>64596752</v>
      </c>
      <c r="C10" t="s">
        <v>27</v>
      </c>
      <c r="D10">
        <v>442</v>
      </c>
      <c r="E10" s="87">
        <f t="shared" si="1"/>
        <v>6.8424492921873226E-6</v>
      </c>
      <c r="G10" s="1"/>
      <c r="J10" s="2">
        <v>65.650000000000006</v>
      </c>
      <c r="M10">
        <v>64596752</v>
      </c>
      <c r="N10">
        <v>2014</v>
      </c>
      <c r="O10">
        <v>22.9</v>
      </c>
      <c r="P10">
        <f t="shared" si="0"/>
        <v>22900</v>
      </c>
      <c r="Q10" s="88">
        <f t="shared" si="2"/>
        <v>3.5450698821513503E-4</v>
      </c>
    </row>
    <row r="11" spans="2:17" x14ac:dyDescent="0.3">
      <c r="B11">
        <v>65110038</v>
      </c>
      <c r="C11" t="s">
        <v>28</v>
      </c>
      <c r="D11">
        <v>488</v>
      </c>
      <c r="E11" s="87">
        <f t="shared" si="1"/>
        <v>7.4950040729510865E-6</v>
      </c>
      <c r="F11" s="2"/>
      <c r="G11" s="1"/>
      <c r="J11" s="2">
        <v>66.040000000000006</v>
      </c>
      <c r="M11">
        <v>65110038</v>
      </c>
      <c r="N11">
        <v>2015</v>
      </c>
      <c r="O11">
        <v>18</v>
      </c>
      <c r="P11">
        <f t="shared" si="0"/>
        <v>18000</v>
      </c>
      <c r="Q11" s="88">
        <f t="shared" si="2"/>
        <v>2.7645506826458923E-4</v>
      </c>
    </row>
    <row r="12" spans="2:17" x14ac:dyDescent="0.3">
      <c r="B12">
        <v>65648069</v>
      </c>
      <c r="C12" t="s">
        <v>29</v>
      </c>
      <c r="D12">
        <v>526</v>
      </c>
      <c r="E12" s="87">
        <f t="shared" si="1"/>
        <v>8.0124215077826592E-6</v>
      </c>
      <c r="F12" s="2"/>
      <c r="G12" s="1"/>
      <c r="J12" s="2">
        <v>66.44</v>
      </c>
      <c r="M12">
        <v>65648069</v>
      </c>
      <c r="N12">
        <v>2016</v>
      </c>
      <c r="O12">
        <v>18.3</v>
      </c>
      <c r="P12">
        <f t="shared" si="0"/>
        <v>18300</v>
      </c>
      <c r="Q12" s="88">
        <f t="shared" si="2"/>
        <v>2.7875915131639285E-4</v>
      </c>
    </row>
    <row r="13" spans="2:17" x14ac:dyDescent="0.3">
      <c r="B13">
        <v>66040233</v>
      </c>
      <c r="C13" t="s">
        <v>30</v>
      </c>
      <c r="D13">
        <v>595</v>
      </c>
      <c r="E13" s="87">
        <f t="shared" si="1"/>
        <v>9.0096593087428984E-6</v>
      </c>
      <c r="F13" s="2"/>
      <c r="G13" s="1"/>
      <c r="J13" s="2">
        <v>66.8</v>
      </c>
      <c r="M13">
        <v>66040233</v>
      </c>
      <c r="N13">
        <v>2017</v>
      </c>
      <c r="O13">
        <v>26.9</v>
      </c>
      <c r="P13">
        <f t="shared" si="0"/>
        <v>26900</v>
      </c>
      <c r="Q13" s="88">
        <f t="shared" si="2"/>
        <v>4.0732745446249408E-4</v>
      </c>
    </row>
    <row r="14" spans="2:17" x14ac:dyDescent="0.3">
      <c r="B14">
        <v>66435546</v>
      </c>
      <c r="C14" t="s">
        <v>31</v>
      </c>
      <c r="D14">
        <v>602</v>
      </c>
      <c r="E14" s="87">
        <f t="shared" si="1"/>
        <v>9.0614142013674424E-6</v>
      </c>
      <c r="F14" s="2"/>
      <c r="G14" s="1"/>
      <c r="J14" s="2">
        <v>67.260000000000005</v>
      </c>
      <c r="M14">
        <v>66435546</v>
      </c>
      <c r="N14">
        <v>2018</v>
      </c>
      <c r="O14">
        <v>25.1</v>
      </c>
      <c r="P14">
        <f t="shared" si="0"/>
        <v>25100</v>
      </c>
      <c r="Q14" s="88">
        <f t="shared" si="2"/>
        <v>3.7780979477462263E-4</v>
      </c>
    </row>
    <row r="15" spans="2:17" x14ac:dyDescent="0.3">
      <c r="B15">
        <v>66796806</v>
      </c>
      <c r="C15" t="s">
        <v>32</v>
      </c>
      <c r="D15">
        <v>828</v>
      </c>
      <c r="E15" s="87">
        <f t="shared" si="1"/>
        <v>1.2395802278330494E-5</v>
      </c>
      <c r="F15" s="2"/>
      <c r="G15" s="1"/>
      <c r="J15" s="2">
        <v>67.61</v>
      </c>
      <c r="M15">
        <v>66796806</v>
      </c>
      <c r="N15">
        <v>2019</v>
      </c>
      <c r="O15">
        <v>21.8</v>
      </c>
      <c r="P15">
        <f t="shared" si="0"/>
        <v>21800</v>
      </c>
      <c r="Q15" s="88">
        <f t="shared" si="2"/>
        <v>3.2636291022657582E-4</v>
      </c>
    </row>
    <row r="16" spans="2:17" x14ac:dyDescent="0.3">
      <c r="B16">
        <v>67081231</v>
      </c>
      <c r="C16" t="s">
        <v>33</v>
      </c>
      <c r="D16">
        <v>823</v>
      </c>
      <c r="E16" s="87">
        <f t="shared" si="1"/>
        <v>1.2268707471990191E-5</v>
      </c>
      <c r="F16" s="2"/>
      <c r="G16" s="1"/>
      <c r="J16" s="2">
        <v>67.95</v>
      </c>
      <c r="M16">
        <v>67081231</v>
      </c>
      <c r="N16">
        <v>2020</v>
      </c>
      <c r="O16">
        <v>28.5</v>
      </c>
      <c r="P16">
        <f t="shared" si="0"/>
        <v>28500</v>
      </c>
      <c r="Q16" s="88">
        <f t="shared" si="2"/>
        <v>4.2485803517827513E-4</v>
      </c>
    </row>
    <row r="17" spans="2:29" x14ac:dyDescent="0.3">
      <c r="B17">
        <v>66427435</v>
      </c>
      <c r="C17" t="s">
        <v>34</v>
      </c>
      <c r="D17">
        <v>914</v>
      </c>
      <c r="E17" s="87">
        <f t="shared" si="1"/>
        <v>1.3759375173826898E-5</v>
      </c>
      <c r="F17" s="2"/>
      <c r="G17" s="1"/>
      <c r="J17" s="2">
        <v>68.27</v>
      </c>
      <c r="M17">
        <v>66427435</v>
      </c>
      <c r="N17">
        <v>2021</v>
      </c>
      <c r="O17">
        <v>25.4</v>
      </c>
      <c r="P17">
        <f t="shared" si="0"/>
        <v>25400</v>
      </c>
      <c r="Q17" s="88">
        <f t="shared" si="2"/>
        <v>3.8237213283939082E-4</v>
      </c>
    </row>
    <row r="18" spans="2:29" x14ac:dyDescent="0.3">
      <c r="B18">
        <v>67950000</v>
      </c>
      <c r="C18" t="s">
        <v>35</v>
      </c>
      <c r="D18">
        <v>875</v>
      </c>
      <c r="E18" s="87">
        <f t="shared" si="1"/>
        <v>1.2877115526122149E-5</v>
      </c>
      <c r="F18" s="2"/>
      <c r="J18" s="2">
        <v>68.569999999999993</v>
      </c>
      <c r="M18">
        <f>J16*$L$7</f>
        <v>67950000</v>
      </c>
      <c r="N18">
        <v>2022</v>
      </c>
      <c r="O18">
        <v>27</v>
      </c>
      <c r="P18">
        <f t="shared" si="0"/>
        <v>27000</v>
      </c>
      <c r="Q18" s="88">
        <f t="shared" si="2"/>
        <v>3.9735099337748344E-4</v>
      </c>
    </row>
    <row r="19" spans="2:29" x14ac:dyDescent="0.3">
      <c r="F19" s="2"/>
      <c r="J19" s="2">
        <v>68.88</v>
      </c>
      <c r="M19">
        <f>J17*$L$7</f>
        <v>68270000</v>
      </c>
      <c r="N19">
        <v>2023</v>
      </c>
      <c r="O19">
        <v>29.3</v>
      </c>
      <c r="P19">
        <f t="shared" si="0"/>
        <v>29300</v>
      </c>
      <c r="Q19" s="88">
        <f t="shared" si="2"/>
        <v>4.2917826278013771E-4</v>
      </c>
    </row>
    <row r="20" spans="2:29" x14ac:dyDescent="0.3">
      <c r="V20" s="3"/>
      <c r="W20" s="4"/>
      <c r="X20" s="4"/>
      <c r="Y20" s="4"/>
      <c r="Z20" s="4"/>
      <c r="AA20" s="4"/>
      <c r="AB20" s="4"/>
      <c r="AC20" s="4"/>
    </row>
    <row r="21" spans="2:29" x14ac:dyDescent="0.3">
      <c r="B21" s="43" t="s">
        <v>41</v>
      </c>
      <c r="L21" s="83" t="s">
        <v>49</v>
      </c>
      <c r="W21" s="4"/>
      <c r="X21" s="4"/>
      <c r="Y21" s="4"/>
      <c r="Z21" s="4"/>
      <c r="AA21" s="4"/>
      <c r="AB21" s="4"/>
      <c r="AC21" s="4"/>
    </row>
    <row r="22" spans="2:29" x14ac:dyDescent="0.3">
      <c r="B22" t="s">
        <v>42</v>
      </c>
      <c r="L22" s="84" t="s">
        <v>50</v>
      </c>
      <c r="W22" s="4"/>
      <c r="X22" s="4"/>
      <c r="Y22" s="4"/>
      <c r="Z22" s="4"/>
      <c r="AA22" s="4"/>
      <c r="AB22" s="4"/>
      <c r="AC22" s="4"/>
    </row>
    <row r="23" spans="2:29" x14ac:dyDescent="0.3">
      <c r="C23" t="s">
        <v>43</v>
      </c>
      <c r="D23" t="s">
        <v>44</v>
      </c>
      <c r="E23" t="s">
        <v>45</v>
      </c>
      <c r="F23" t="s">
        <v>46</v>
      </c>
      <c r="G23" t="s">
        <v>47</v>
      </c>
      <c r="M23" s="6" t="s">
        <v>51</v>
      </c>
      <c r="N23" s="6" t="s">
        <v>52</v>
      </c>
      <c r="O23" s="6" t="s">
        <v>53</v>
      </c>
      <c r="P23" s="6" t="s">
        <v>54</v>
      </c>
      <c r="Q23" s="6" t="s">
        <v>55</v>
      </c>
      <c r="R23" s="6" t="s">
        <v>56</v>
      </c>
      <c r="S23" s="6" t="s">
        <v>57</v>
      </c>
      <c r="W23" s="4"/>
      <c r="X23" s="4"/>
      <c r="Y23" s="4"/>
      <c r="Z23" s="4"/>
      <c r="AA23" s="4"/>
      <c r="AB23" s="4"/>
      <c r="AC23" s="4"/>
    </row>
    <row r="24" spans="2:29" x14ac:dyDescent="0.3">
      <c r="B24">
        <v>2002</v>
      </c>
      <c r="C24" s="5">
        <v>22944481</v>
      </c>
      <c r="D24" s="5">
        <v>23088100</v>
      </c>
      <c r="E24" s="5">
        <v>3139516</v>
      </c>
      <c r="F24" s="5">
        <v>3430046</v>
      </c>
      <c r="G24" t="s">
        <v>48</v>
      </c>
      <c r="L24" s="3" t="s">
        <v>58</v>
      </c>
      <c r="M24" s="4">
        <v>1439369</v>
      </c>
      <c r="N24" s="4">
        <v>7910803</v>
      </c>
      <c r="O24" s="4">
        <v>14895111</v>
      </c>
      <c r="P24" s="4">
        <v>13929392</v>
      </c>
      <c r="Q24" s="4">
        <v>13546801</v>
      </c>
      <c r="R24" s="4">
        <v>11983545</v>
      </c>
      <c r="S24" s="4">
        <v>0</v>
      </c>
      <c r="T24" s="5">
        <f>SUM(M24:S24)</f>
        <v>63705021</v>
      </c>
      <c r="U24" s="5">
        <f>M24+N24+O24+P24+Q24</f>
        <v>51721476</v>
      </c>
      <c r="W24" s="4"/>
      <c r="X24" s="4"/>
      <c r="Y24" s="4"/>
      <c r="Z24" s="4"/>
      <c r="AA24" s="4"/>
      <c r="AB24" s="4"/>
      <c r="AC24" s="4"/>
    </row>
    <row r="25" spans="2:29" x14ac:dyDescent="0.3">
      <c r="B25">
        <v>2003</v>
      </c>
      <c r="C25" s="5">
        <v>23248375</v>
      </c>
      <c r="D25" s="5">
        <v>23046141</v>
      </c>
      <c r="E25" s="5">
        <v>3174557</v>
      </c>
      <c r="F25" s="5">
        <v>3394165</v>
      </c>
      <c r="G25" t="s">
        <v>48</v>
      </c>
      <c r="L25" s="3" t="s">
        <v>59</v>
      </c>
      <c r="M25" s="4">
        <v>1227756</v>
      </c>
      <c r="N25" s="4">
        <v>7660128</v>
      </c>
      <c r="O25" s="4">
        <v>14823614</v>
      </c>
      <c r="P25" s="4">
        <v>13928858</v>
      </c>
      <c r="Q25" s="4">
        <v>13634263</v>
      </c>
      <c r="R25" s="4">
        <v>12038484</v>
      </c>
      <c r="S25" s="4">
        <v>792557</v>
      </c>
      <c r="T25" s="5">
        <f t="shared" ref="T25:T33" si="3">SUM(M25:S25)</f>
        <v>64105660</v>
      </c>
      <c r="W25" s="4"/>
      <c r="X25" s="4"/>
      <c r="Y25" s="4"/>
      <c r="Z25" s="4"/>
      <c r="AA25" s="4"/>
      <c r="AB25" s="4"/>
      <c r="AC25" s="4"/>
    </row>
    <row r="26" spans="2:29" x14ac:dyDescent="0.3">
      <c r="B26">
        <v>2004</v>
      </c>
      <c r="C26" s="5">
        <v>23528600</v>
      </c>
      <c r="D26" s="5">
        <v>22999978</v>
      </c>
      <c r="E26" s="5">
        <v>3231047</v>
      </c>
      <c r="F26" s="5">
        <v>3392397</v>
      </c>
      <c r="G26" t="s">
        <v>48</v>
      </c>
      <c r="L26" s="3" t="s">
        <v>60</v>
      </c>
      <c r="M26" s="4">
        <v>1050790</v>
      </c>
      <c r="N26" s="4">
        <v>7410626</v>
      </c>
      <c r="O26" s="4">
        <v>14757988</v>
      </c>
      <c r="P26" s="4">
        <v>13935187</v>
      </c>
      <c r="Q26" s="4">
        <v>13754992</v>
      </c>
      <c r="R26" s="4">
        <v>12109297</v>
      </c>
      <c r="S26" s="4">
        <v>1577872</v>
      </c>
      <c r="T26" s="5">
        <f t="shared" si="3"/>
        <v>64596752</v>
      </c>
      <c r="W26" s="4"/>
      <c r="X26" s="4"/>
      <c r="Y26" s="4"/>
      <c r="Z26" s="4"/>
      <c r="AA26" s="4"/>
      <c r="AB26" s="4"/>
      <c r="AC26" s="4"/>
    </row>
    <row r="27" spans="2:29" x14ac:dyDescent="0.3">
      <c r="B27">
        <v>2005</v>
      </c>
      <c r="C27" s="5">
        <v>23815246</v>
      </c>
      <c r="D27" s="5">
        <v>23155488</v>
      </c>
      <c r="E27" s="5">
        <v>3289944</v>
      </c>
      <c r="F27" s="5">
        <v>3314665</v>
      </c>
      <c r="G27" t="s">
        <v>48</v>
      </c>
      <c r="L27" s="3" t="s">
        <v>61</v>
      </c>
      <c r="M27" s="4">
        <v>868769</v>
      </c>
      <c r="N27" s="4">
        <v>7127813</v>
      </c>
      <c r="O27" s="4">
        <v>14686175</v>
      </c>
      <c r="P27" s="4">
        <v>13955179</v>
      </c>
      <c r="Q27" s="4">
        <v>13913851</v>
      </c>
      <c r="R27" s="4">
        <v>12188653</v>
      </c>
      <c r="S27" s="4">
        <v>2369598</v>
      </c>
      <c r="T27" s="5">
        <f t="shared" si="3"/>
        <v>65110038</v>
      </c>
      <c r="W27" s="4"/>
      <c r="X27" s="4"/>
      <c r="Y27" s="4"/>
      <c r="Z27" s="4"/>
      <c r="AA27" s="4"/>
      <c r="AB27" s="4"/>
      <c r="AC27" s="4"/>
    </row>
    <row r="28" spans="2:29" x14ac:dyDescent="0.3">
      <c r="B28">
        <v>2006</v>
      </c>
      <c r="C28" s="5">
        <v>24206014</v>
      </c>
      <c r="D28" s="5">
        <v>23066569</v>
      </c>
      <c r="E28" s="5">
        <v>3370687</v>
      </c>
      <c r="F28" s="5">
        <v>3283515</v>
      </c>
      <c r="G28" s="5">
        <v>24069</v>
      </c>
      <c r="L28" s="3" t="s">
        <v>62</v>
      </c>
      <c r="M28" s="4">
        <v>717962</v>
      </c>
      <c r="N28" s="4">
        <v>6840061</v>
      </c>
      <c r="O28" s="4">
        <v>14605307</v>
      </c>
      <c r="P28" s="4">
        <v>13973740</v>
      </c>
      <c r="Q28" s="4">
        <v>14055240</v>
      </c>
      <c r="R28" s="4">
        <v>12281600</v>
      </c>
      <c r="S28" s="4">
        <v>3174159</v>
      </c>
      <c r="T28" s="5">
        <f t="shared" si="3"/>
        <v>65648069</v>
      </c>
      <c r="W28" s="4"/>
      <c r="X28" s="4"/>
      <c r="Y28" s="4"/>
      <c r="Z28" s="4"/>
      <c r="AA28" s="4"/>
      <c r="AB28" s="4"/>
      <c r="AC28" s="4"/>
    </row>
    <row r="29" spans="2:29" x14ac:dyDescent="0.3">
      <c r="B29">
        <v>2007</v>
      </c>
      <c r="C29" s="5">
        <v>24503235</v>
      </c>
      <c r="D29" s="5">
        <v>23120897</v>
      </c>
      <c r="E29" s="5">
        <v>3410031</v>
      </c>
      <c r="F29" s="5">
        <v>3287352</v>
      </c>
      <c r="G29" s="5">
        <v>65877</v>
      </c>
      <c r="L29" s="3" t="s">
        <v>63</v>
      </c>
      <c r="M29" s="4">
        <v>579780</v>
      </c>
      <c r="N29" s="4">
        <v>6532781</v>
      </c>
      <c r="O29" s="4">
        <v>14508625</v>
      </c>
      <c r="P29" s="4">
        <v>13975122</v>
      </c>
      <c r="Q29" s="4">
        <v>14115516</v>
      </c>
      <c r="R29" s="4">
        <v>12367668</v>
      </c>
      <c r="S29" s="4">
        <v>3960741</v>
      </c>
      <c r="T29" s="5">
        <f t="shared" si="3"/>
        <v>66040233</v>
      </c>
      <c r="W29" s="4"/>
      <c r="X29" s="4"/>
      <c r="Y29" s="4"/>
      <c r="Z29" s="4"/>
      <c r="AA29" s="4"/>
      <c r="AB29" s="4"/>
      <c r="AC29" s="4"/>
    </row>
    <row r="30" spans="2:29" x14ac:dyDescent="0.3">
      <c r="B30">
        <v>2008</v>
      </c>
      <c r="C30" s="5">
        <v>24889122</v>
      </c>
      <c r="D30" s="5">
        <v>23105056</v>
      </c>
      <c r="E30" s="5">
        <v>3503166</v>
      </c>
      <c r="F30" s="5">
        <v>3268830</v>
      </c>
      <c r="G30" s="5">
        <v>75546</v>
      </c>
      <c r="L30" s="3" t="s">
        <v>64</v>
      </c>
      <c r="M30" s="4">
        <v>454740</v>
      </c>
      <c r="N30" s="4">
        <v>6208059</v>
      </c>
      <c r="O30" s="4">
        <v>14402698</v>
      </c>
      <c r="P30" s="4">
        <v>13973428</v>
      </c>
      <c r="Q30" s="4">
        <v>14187113</v>
      </c>
      <c r="R30" s="4">
        <v>12472276</v>
      </c>
      <c r="S30" s="4">
        <v>4737232</v>
      </c>
      <c r="T30" s="5">
        <f t="shared" si="3"/>
        <v>66435546</v>
      </c>
      <c r="W30" s="4"/>
      <c r="X30" s="4"/>
      <c r="Y30" s="4"/>
      <c r="Z30" s="4"/>
      <c r="AA30" s="4"/>
      <c r="AB30" s="4"/>
      <c r="AC30" s="4"/>
    </row>
    <row r="31" spans="2:29" x14ac:dyDescent="0.3">
      <c r="B31">
        <v>2009</v>
      </c>
      <c r="C31" s="5">
        <v>25143843</v>
      </c>
      <c r="D31" s="5">
        <v>23193525</v>
      </c>
      <c r="E31" s="5">
        <v>3598748</v>
      </c>
      <c r="F31" s="5">
        <v>3219206</v>
      </c>
      <c r="G31" s="5">
        <v>79931</v>
      </c>
      <c r="L31" s="3" t="s">
        <v>65</v>
      </c>
      <c r="M31" s="4">
        <v>360480</v>
      </c>
      <c r="N31" s="4">
        <v>5891552</v>
      </c>
      <c r="O31" s="4">
        <v>14284021</v>
      </c>
      <c r="P31" s="4">
        <v>13966001</v>
      </c>
      <c r="Q31" s="4">
        <v>14226132</v>
      </c>
      <c r="R31" s="4">
        <v>12575056</v>
      </c>
      <c r="S31" s="4">
        <v>5493564</v>
      </c>
      <c r="T31" s="5">
        <f t="shared" si="3"/>
        <v>66796806</v>
      </c>
      <c r="W31" s="4"/>
      <c r="X31" s="4"/>
      <c r="Y31" s="4"/>
      <c r="Z31" s="4"/>
      <c r="AA31" s="4"/>
      <c r="AB31" s="4"/>
      <c r="AC31" s="4"/>
    </row>
    <row r="32" spans="2:29" x14ac:dyDescent="0.3">
      <c r="B32">
        <v>2010</v>
      </c>
      <c r="C32" s="5">
        <v>25433695</v>
      </c>
      <c r="D32" s="5">
        <v>23285841</v>
      </c>
      <c r="E32" s="5">
        <v>3700872</v>
      </c>
      <c r="F32" s="5">
        <v>3188332</v>
      </c>
      <c r="G32" s="5">
        <v>83683</v>
      </c>
      <c r="L32" s="3" t="s">
        <v>66</v>
      </c>
      <c r="M32" s="4">
        <v>267430</v>
      </c>
      <c r="N32" s="4">
        <v>5521918</v>
      </c>
      <c r="O32" s="4">
        <v>14147218</v>
      </c>
      <c r="P32" s="4">
        <v>13950265</v>
      </c>
      <c r="Q32" s="4">
        <v>14262767</v>
      </c>
      <c r="R32" s="4">
        <v>12698785</v>
      </c>
      <c r="S32" s="4">
        <v>6232848</v>
      </c>
      <c r="T32" s="5">
        <f t="shared" si="3"/>
        <v>67081231</v>
      </c>
      <c r="W32" s="4"/>
      <c r="X32" s="4"/>
      <c r="Y32" s="4"/>
      <c r="Z32" s="4"/>
      <c r="AA32" s="4"/>
      <c r="AB32" s="4"/>
      <c r="AC32" s="4"/>
    </row>
    <row r="33" spans="2:29" x14ac:dyDescent="0.3">
      <c r="B33">
        <v>2011</v>
      </c>
      <c r="C33" s="5">
        <v>26029479</v>
      </c>
      <c r="D33" s="5">
        <v>23123923</v>
      </c>
      <c r="E33" s="5">
        <v>3776648</v>
      </c>
      <c r="F33" s="5">
        <v>3119765</v>
      </c>
      <c r="G33" s="5">
        <v>121112</v>
      </c>
      <c r="I33" t="s">
        <v>96</v>
      </c>
      <c r="J33" s="85" t="s">
        <v>97</v>
      </c>
      <c r="L33" s="3" t="s">
        <v>67</v>
      </c>
      <c r="M33" s="4">
        <v>0</v>
      </c>
      <c r="N33" s="4">
        <v>4685037</v>
      </c>
      <c r="O33" s="4">
        <v>13914928</v>
      </c>
      <c r="P33" s="4">
        <v>14058153</v>
      </c>
      <c r="Q33" s="4">
        <v>14391255</v>
      </c>
      <c r="R33" s="4">
        <v>12682135</v>
      </c>
      <c r="S33" s="4">
        <v>6695927</v>
      </c>
      <c r="T33" s="5">
        <f t="shared" si="3"/>
        <v>66427435</v>
      </c>
      <c r="W33" s="4"/>
      <c r="X33" s="4"/>
      <c r="Y33" s="4"/>
      <c r="Z33" s="4"/>
      <c r="AA33" s="4"/>
      <c r="AB33" s="4"/>
      <c r="AC33" s="4"/>
    </row>
    <row r="34" spans="2:29" x14ac:dyDescent="0.3">
      <c r="B34">
        <v>2012</v>
      </c>
      <c r="C34" s="5">
        <v>26111767</v>
      </c>
      <c r="D34" s="5">
        <v>23375977</v>
      </c>
      <c r="E34" s="5">
        <v>3824737</v>
      </c>
      <c r="F34" s="5">
        <v>3145002</v>
      </c>
      <c r="G34" s="5">
        <v>120249</v>
      </c>
      <c r="H34" s="5">
        <f t="shared" ref="H34:H44" si="4">SUM(C34:G34)</f>
        <v>56577732</v>
      </c>
      <c r="I34" s="5">
        <f t="shared" ref="I34:I44" si="5">C34+E34+F34</f>
        <v>33081506</v>
      </c>
      <c r="J34" s="86">
        <f t="shared" ref="J34:J44" si="6">I34/H34</f>
        <v>0.58470894520833749</v>
      </c>
      <c r="W34" s="4"/>
      <c r="X34" s="4"/>
      <c r="Y34" s="4"/>
      <c r="Z34" s="4"/>
      <c r="AA34" s="4"/>
      <c r="AB34" s="4"/>
      <c r="AC34" s="4"/>
    </row>
    <row r="35" spans="2:29" x14ac:dyDescent="0.3">
      <c r="B35">
        <v>2013</v>
      </c>
      <c r="C35" s="5">
        <v>26383292</v>
      </c>
      <c r="D35" s="5">
        <v>23560142</v>
      </c>
      <c r="E35" s="5">
        <v>3736325</v>
      </c>
      <c r="F35" s="5">
        <v>3185797</v>
      </c>
      <c r="G35" s="5">
        <v>124188</v>
      </c>
      <c r="H35" s="5">
        <f t="shared" si="4"/>
        <v>56989744</v>
      </c>
      <c r="I35" s="5">
        <f t="shared" si="5"/>
        <v>33305414</v>
      </c>
      <c r="J35" s="86">
        <f t="shared" si="6"/>
        <v>0.58441066167975764</v>
      </c>
      <c r="W35" s="4"/>
      <c r="X35" s="4"/>
      <c r="Y35" s="4"/>
      <c r="Z35" s="4"/>
      <c r="AA35" s="4"/>
      <c r="AB35" s="4"/>
      <c r="AC35" s="4"/>
    </row>
    <row r="36" spans="2:29" x14ac:dyDescent="0.3">
      <c r="B36">
        <v>2014</v>
      </c>
      <c r="C36" s="5">
        <v>26626303</v>
      </c>
      <c r="D36" s="5">
        <v>23894192</v>
      </c>
      <c r="E36" s="5">
        <v>3809428</v>
      </c>
      <c r="F36" s="5">
        <v>2998155</v>
      </c>
      <c r="G36" s="5">
        <v>116028</v>
      </c>
      <c r="H36" s="5">
        <f t="shared" si="4"/>
        <v>57444106</v>
      </c>
      <c r="I36" s="5">
        <f t="shared" si="5"/>
        <v>33433886</v>
      </c>
      <c r="J36" s="86">
        <f t="shared" si="6"/>
        <v>0.58202465541025217</v>
      </c>
      <c r="W36" s="4"/>
      <c r="X36" s="4"/>
      <c r="Y36" s="4"/>
      <c r="Z36" s="4"/>
      <c r="AA36" s="4"/>
      <c r="AB36" s="4"/>
      <c r="AC36" s="4"/>
    </row>
    <row r="37" spans="2:29" x14ac:dyDescent="0.3">
      <c r="B37">
        <v>2015</v>
      </c>
      <c r="C37" s="5">
        <v>27109715</v>
      </c>
      <c r="D37" s="5">
        <v>23790121</v>
      </c>
      <c r="E37" s="5">
        <v>3821223</v>
      </c>
      <c r="F37" s="5">
        <v>3064187</v>
      </c>
      <c r="G37" s="5">
        <v>96171</v>
      </c>
      <c r="H37" s="5">
        <f t="shared" si="4"/>
        <v>57881417</v>
      </c>
      <c r="I37" s="5">
        <f t="shared" si="5"/>
        <v>33995125</v>
      </c>
      <c r="J37" s="86">
        <f t="shared" si="6"/>
        <v>0.58732364827903227</v>
      </c>
      <c r="W37" s="4"/>
      <c r="X37" s="4"/>
      <c r="Y37" s="4"/>
      <c r="Z37" s="4"/>
      <c r="AA37" s="4"/>
      <c r="AB37" s="4"/>
      <c r="AC37" s="4"/>
    </row>
    <row r="38" spans="2:29" x14ac:dyDescent="0.3">
      <c r="B38">
        <v>2016</v>
      </c>
      <c r="C38" s="5">
        <v>27364295</v>
      </c>
      <c r="D38" s="5">
        <v>24127656</v>
      </c>
      <c r="E38" s="5">
        <v>3775780</v>
      </c>
      <c r="F38" s="5">
        <v>3008990</v>
      </c>
      <c r="G38" s="5">
        <v>89478</v>
      </c>
      <c r="H38" s="5">
        <f t="shared" si="4"/>
        <v>58366199</v>
      </c>
      <c r="I38" s="5">
        <f t="shared" si="5"/>
        <v>34149065</v>
      </c>
      <c r="J38" s="86">
        <f t="shared" si="6"/>
        <v>0.58508290046435951</v>
      </c>
      <c r="W38" s="4"/>
      <c r="X38" s="4"/>
      <c r="Y38" s="4"/>
      <c r="Z38" s="4"/>
      <c r="AA38" s="4"/>
      <c r="AB38" s="4"/>
      <c r="AC38" s="4"/>
    </row>
    <row r="39" spans="2:29" x14ac:dyDescent="0.3">
      <c r="B39">
        <v>2017</v>
      </c>
      <c r="C39" s="5">
        <v>27454239</v>
      </c>
      <c r="D39" s="5">
        <v>24322878</v>
      </c>
      <c r="E39" s="5">
        <v>3704569</v>
      </c>
      <c r="F39" s="5">
        <v>3119248</v>
      </c>
      <c r="G39" s="5">
        <v>99976</v>
      </c>
      <c r="H39" s="5">
        <f t="shared" si="4"/>
        <v>58700910</v>
      </c>
      <c r="I39" s="5">
        <f t="shared" si="5"/>
        <v>34278056</v>
      </c>
      <c r="J39" s="86">
        <f t="shared" si="6"/>
        <v>0.58394420120573942</v>
      </c>
      <c r="W39" s="4"/>
      <c r="X39" s="4"/>
      <c r="Y39" s="4"/>
      <c r="Z39" s="4"/>
      <c r="AA39" s="4"/>
      <c r="AB39" s="4"/>
      <c r="AC39" s="4"/>
    </row>
    <row r="40" spans="2:29" x14ac:dyDescent="0.3">
      <c r="B40">
        <v>2018</v>
      </c>
      <c r="C40" s="5">
        <v>27878450</v>
      </c>
      <c r="D40" s="5">
        <v>24191960</v>
      </c>
      <c r="E40" s="5">
        <v>3809073</v>
      </c>
      <c r="F40" s="5">
        <v>3040662</v>
      </c>
      <c r="G40" s="5">
        <v>88221</v>
      </c>
      <c r="H40" s="5">
        <f t="shared" si="4"/>
        <v>59008366</v>
      </c>
      <c r="I40" s="5">
        <f t="shared" si="5"/>
        <v>34728185</v>
      </c>
      <c r="J40" s="86">
        <f t="shared" si="6"/>
        <v>0.58852985354652931</v>
      </c>
      <c r="V40" s="3"/>
      <c r="W40" s="4"/>
      <c r="X40" s="4"/>
      <c r="Y40" s="4"/>
      <c r="Z40" s="4"/>
      <c r="AA40" s="4"/>
      <c r="AB40" s="4"/>
      <c r="AC40" s="4"/>
    </row>
    <row r="41" spans="2:29" x14ac:dyDescent="0.3">
      <c r="B41">
        <v>2019</v>
      </c>
      <c r="C41" s="5">
        <v>28013831</v>
      </c>
      <c r="D41" s="5">
        <v>24208321</v>
      </c>
      <c r="E41" s="5">
        <v>3926907</v>
      </c>
      <c r="F41" s="5">
        <v>3079610</v>
      </c>
      <c r="G41" s="5">
        <v>89117</v>
      </c>
      <c r="H41" s="5">
        <f t="shared" si="4"/>
        <v>59317786</v>
      </c>
      <c r="I41" s="5">
        <f t="shared" si="5"/>
        <v>35020348</v>
      </c>
      <c r="J41" s="86">
        <f t="shared" si="6"/>
        <v>0.59038528511499067</v>
      </c>
      <c r="V41" s="3"/>
      <c r="W41" s="4"/>
      <c r="X41" s="4"/>
      <c r="Y41" s="4"/>
      <c r="Z41" s="4"/>
      <c r="AA41" s="4"/>
      <c r="AB41" s="4"/>
      <c r="AC41" s="4"/>
    </row>
    <row r="42" spans="2:29" x14ac:dyDescent="0.3">
      <c r="B42">
        <v>2020</v>
      </c>
      <c r="C42" s="5">
        <v>28067509</v>
      </c>
      <c r="D42" s="5">
        <v>24382089</v>
      </c>
      <c r="E42" s="5">
        <v>3776573</v>
      </c>
      <c r="F42" s="5">
        <v>3074397</v>
      </c>
      <c r="G42" s="5">
        <v>129879</v>
      </c>
      <c r="H42" s="5">
        <f t="shared" si="4"/>
        <v>59430447</v>
      </c>
      <c r="I42" s="5">
        <f t="shared" si="5"/>
        <v>34918479</v>
      </c>
      <c r="J42" s="86">
        <f t="shared" si="6"/>
        <v>0.58755201689800518</v>
      </c>
    </row>
    <row r="43" spans="2:29" x14ac:dyDescent="0.3">
      <c r="B43">
        <v>2021</v>
      </c>
      <c r="C43" s="5">
        <v>28617252</v>
      </c>
      <c r="D43" s="5">
        <v>24006903</v>
      </c>
      <c r="E43" s="5">
        <v>3738665</v>
      </c>
      <c r="F43" s="5">
        <v>3120759</v>
      </c>
      <c r="G43" s="5">
        <v>176947</v>
      </c>
      <c r="H43" s="5">
        <f t="shared" si="4"/>
        <v>59660526</v>
      </c>
      <c r="I43" s="5">
        <f t="shared" si="5"/>
        <v>35476676</v>
      </c>
      <c r="J43" s="86">
        <f t="shared" si="6"/>
        <v>0.59464236034392326</v>
      </c>
    </row>
    <row r="44" spans="2:29" x14ac:dyDescent="0.3">
      <c r="B44">
        <v>2022</v>
      </c>
      <c r="C44" s="5">
        <v>28980582</v>
      </c>
      <c r="D44" s="5">
        <v>24054519</v>
      </c>
      <c r="E44" s="5">
        <v>3845968</v>
      </c>
      <c r="F44" s="5">
        <v>3134737</v>
      </c>
      <c r="G44" s="5">
        <v>222229</v>
      </c>
      <c r="H44" s="5">
        <f t="shared" si="4"/>
        <v>60238035</v>
      </c>
      <c r="I44" s="5">
        <f t="shared" si="5"/>
        <v>35961287</v>
      </c>
      <c r="J44" s="86">
        <f t="shared" si="6"/>
        <v>0.59698638908125079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8"/>
  <sheetViews>
    <sheetView zoomScaleNormal="100" workbookViewId="0">
      <selection activeCell="T21" sqref="T21"/>
    </sheetView>
  </sheetViews>
  <sheetFormatPr defaultRowHeight="14.4" x14ac:dyDescent="0.3"/>
  <cols>
    <col min="15" max="15" width="12.33203125" bestFit="1" customWidth="1"/>
    <col min="20" max="20" width="12" bestFit="1" customWidth="1"/>
  </cols>
  <sheetData>
    <row r="2" spans="2:17" x14ac:dyDescent="0.3">
      <c r="B2" t="s">
        <v>1</v>
      </c>
      <c r="F2" t="s">
        <v>5</v>
      </c>
      <c r="I2" t="s">
        <v>70</v>
      </c>
      <c r="K2" t="s">
        <v>20</v>
      </c>
      <c r="M2" t="s">
        <v>22</v>
      </c>
      <c r="O2" t="s">
        <v>36</v>
      </c>
      <c r="Q2" t="s">
        <v>97</v>
      </c>
    </row>
    <row r="3" spans="2:17" x14ac:dyDescent="0.3">
      <c r="B3">
        <v>2012</v>
      </c>
      <c r="C3">
        <v>47</v>
      </c>
      <c r="D3" t="s">
        <v>2</v>
      </c>
      <c r="F3" s="2">
        <v>2.8</v>
      </c>
      <c r="G3" s="1" t="s">
        <v>2</v>
      </c>
      <c r="I3" s="11">
        <v>2.5429706710245023E-4</v>
      </c>
      <c r="K3" s="12">
        <v>7.8E-2</v>
      </c>
      <c r="M3">
        <v>3.13</v>
      </c>
      <c r="O3" s="9">
        <v>6.7498604230897275E-6</v>
      </c>
      <c r="Q3" s="13">
        <v>0.58470894520833749</v>
      </c>
    </row>
    <row r="4" spans="2:17" x14ac:dyDescent="0.3">
      <c r="B4">
        <v>2013</v>
      </c>
      <c r="C4">
        <v>48</v>
      </c>
      <c r="D4" t="s">
        <v>2</v>
      </c>
      <c r="F4" s="2">
        <v>2.6</v>
      </c>
      <c r="G4" s="1" t="s">
        <v>2</v>
      </c>
      <c r="I4" s="11">
        <v>2.1838945266299418E-4</v>
      </c>
      <c r="K4" s="12">
        <v>7.1999999999999995E-2</v>
      </c>
      <c r="M4">
        <v>3.03</v>
      </c>
      <c r="O4" s="9">
        <v>7.6124323499672257E-6</v>
      </c>
      <c r="Q4" s="10">
        <v>0.58441066167975764</v>
      </c>
    </row>
    <row r="5" spans="2:17" x14ac:dyDescent="0.3">
      <c r="B5">
        <v>2014</v>
      </c>
      <c r="C5">
        <v>47</v>
      </c>
      <c r="D5" t="s">
        <v>2</v>
      </c>
      <c r="F5" s="2">
        <v>1.5</v>
      </c>
      <c r="G5" s="1" t="s">
        <v>2</v>
      </c>
      <c r="I5" s="11">
        <v>3.5450698821513503E-4</v>
      </c>
      <c r="K5" s="12">
        <v>5.7000000000000002E-2</v>
      </c>
      <c r="M5">
        <v>2.92</v>
      </c>
      <c r="O5" s="9">
        <v>6.8424492921873226E-6</v>
      </c>
      <c r="Q5" s="10">
        <v>0.58202465541025217</v>
      </c>
    </row>
    <row r="6" spans="2:17" x14ac:dyDescent="0.3">
      <c r="B6">
        <v>2015</v>
      </c>
      <c r="C6">
        <v>46</v>
      </c>
      <c r="D6" t="s">
        <v>2</v>
      </c>
      <c r="F6" s="2">
        <v>0</v>
      </c>
      <c r="G6" s="1" t="s">
        <v>2</v>
      </c>
      <c r="I6" s="11">
        <v>2.7645506826458923E-4</v>
      </c>
      <c r="K6" s="12">
        <v>5.0999999999999997E-2</v>
      </c>
      <c r="M6">
        <v>2.86</v>
      </c>
      <c r="O6" s="9">
        <v>7.4950040729510865E-6</v>
      </c>
      <c r="Q6" s="10">
        <v>0.58732364827903227</v>
      </c>
    </row>
    <row r="7" spans="2:17" x14ac:dyDescent="0.3">
      <c r="B7">
        <v>2016</v>
      </c>
      <c r="C7">
        <v>40</v>
      </c>
      <c r="D7" t="s">
        <v>2</v>
      </c>
      <c r="F7" s="2">
        <v>0.7</v>
      </c>
      <c r="G7" s="1" t="s">
        <v>2</v>
      </c>
      <c r="I7" s="11">
        <v>2.7875915131639285E-4</v>
      </c>
      <c r="K7" s="12">
        <v>4.8000000000000001E-2</v>
      </c>
      <c r="M7">
        <v>2.87</v>
      </c>
      <c r="O7" s="9">
        <v>8.0124215077826592E-6</v>
      </c>
      <c r="Q7" s="10">
        <v>0.58508290046435951</v>
      </c>
    </row>
    <row r="8" spans="2:17" x14ac:dyDescent="0.3">
      <c r="B8">
        <v>2017</v>
      </c>
      <c r="C8">
        <v>44</v>
      </c>
      <c r="D8" t="s">
        <v>2</v>
      </c>
      <c r="F8" s="2">
        <v>2.7</v>
      </c>
      <c r="G8" s="1" t="s">
        <v>2</v>
      </c>
      <c r="I8" s="11">
        <v>4.0732745446249408E-4</v>
      </c>
      <c r="K8" s="12">
        <v>4.3999999999999997E-2</v>
      </c>
      <c r="M8">
        <v>2.9</v>
      </c>
      <c r="O8" s="9">
        <v>9.0096593087428984E-6</v>
      </c>
      <c r="Q8" s="10">
        <v>0.58394420120573942</v>
      </c>
    </row>
    <row r="9" spans="2:17" x14ac:dyDescent="0.3">
      <c r="B9">
        <v>2018</v>
      </c>
      <c r="C9">
        <v>45</v>
      </c>
      <c r="D9" t="s">
        <v>2</v>
      </c>
      <c r="F9" s="2">
        <v>2.5</v>
      </c>
      <c r="G9" s="1" t="s">
        <v>2</v>
      </c>
      <c r="I9" s="11">
        <v>3.7780979477462263E-4</v>
      </c>
      <c r="K9" s="12">
        <v>0.04</v>
      </c>
      <c r="M9">
        <v>2.89</v>
      </c>
      <c r="O9" s="9">
        <v>9.0614142013674424E-6</v>
      </c>
      <c r="Q9" s="10">
        <v>0.58852985354652931</v>
      </c>
    </row>
    <row r="10" spans="2:17" x14ac:dyDescent="0.3">
      <c r="B10">
        <v>2019</v>
      </c>
      <c r="C10">
        <v>40</v>
      </c>
      <c r="D10" t="s">
        <v>2</v>
      </c>
      <c r="F10" s="2">
        <v>1.8</v>
      </c>
      <c r="G10" s="1" t="s">
        <v>2</v>
      </c>
      <c r="I10" s="11">
        <v>3.2636291022657582E-4</v>
      </c>
      <c r="K10" s="12">
        <v>0.04</v>
      </c>
      <c r="M10">
        <v>2.87</v>
      </c>
      <c r="O10" s="9">
        <v>1.2395802278330494E-5</v>
      </c>
      <c r="Q10" s="10">
        <v>0.59038528511499067</v>
      </c>
    </row>
    <row r="11" spans="2:17" x14ac:dyDescent="0.3">
      <c r="B11">
        <v>2020</v>
      </c>
      <c r="C11">
        <v>41</v>
      </c>
      <c r="D11" t="s">
        <v>2</v>
      </c>
      <c r="F11" s="2">
        <v>0.9</v>
      </c>
      <c r="G11" s="1" t="s">
        <v>2</v>
      </c>
      <c r="I11" s="11">
        <v>4.2485803517827513E-4</v>
      </c>
      <c r="K11" s="12">
        <v>5.2999999999999999E-2</v>
      </c>
      <c r="M11">
        <v>3.05</v>
      </c>
      <c r="O11" s="9">
        <v>1.2268707471990191E-5</v>
      </c>
      <c r="Q11" s="10">
        <v>0.58755201689800518</v>
      </c>
    </row>
    <row r="12" spans="2:17" x14ac:dyDescent="0.3">
      <c r="B12">
        <v>2021</v>
      </c>
      <c r="C12">
        <v>59</v>
      </c>
      <c r="D12" t="s">
        <v>2</v>
      </c>
      <c r="F12" s="2">
        <v>2.6</v>
      </c>
      <c r="G12" s="1" t="s">
        <v>2</v>
      </c>
      <c r="I12" s="11">
        <v>3.8237213283939082E-4</v>
      </c>
      <c r="K12" s="12">
        <v>4.1000000000000002E-2</v>
      </c>
      <c r="M12">
        <v>3.31</v>
      </c>
      <c r="O12" s="9">
        <v>1.3759375173826898E-5</v>
      </c>
      <c r="Q12" s="10">
        <v>0.59464236034392326</v>
      </c>
    </row>
    <row r="13" spans="2:17" x14ac:dyDescent="0.3">
      <c r="B13">
        <v>2022</v>
      </c>
      <c r="C13">
        <v>62</v>
      </c>
      <c r="D13" t="s">
        <v>2</v>
      </c>
      <c r="F13" s="2">
        <v>9.1</v>
      </c>
      <c r="G13" s="1" t="s">
        <v>2</v>
      </c>
      <c r="I13" s="11">
        <v>3.9735099337748344E-4</v>
      </c>
      <c r="K13" s="12">
        <v>3.7999999999999999E-2</v>
      </c>
      <c r="M13">
        <v>3.12</v>
      </c>
      <c r="O13" s="9">
        <v>1.2877115526122149E-5</v>
      </c>
      <c r="Q13" s="10">
        <v>0.59698638908125079</v>
      </c>
    </row>
    <row r="14" spans="2:17" x14ac:dyDescent="0.3">
      <c r="B14">
        <v>2023</v>
      </c>
      <c r="C14">
        <v>57</v>
      </c>
      <c r="D14" t="s">
        <v>2</v>
      </c>
      <c r="F14" s="2">
        <v>7.3</v>
      </c>
      <c r="G14" s="1" t="s">
        <v>2</v>
      </c>
      <c r="I14" s="11">
        <v>4.2917826278013771E-4</v>
      </c>
      <c r="K14" s="12">
        <v>3.9E-2</v>
      </c>
      <c r="M14">
        <v>3.23</v>
      </c>
    </row>
    <row r="15" spans="2:17" x14ac:dyDescent="0.3">
      <c r="K15" s="12"/>
    </row>
    <row r="16" spans="2:17" x14ac:dyDescent="0.3">
      <c r="B16" s="43" t="s">
        <v>1</v>
      </c>
      <c r="C16" s="43"/>
      <c r="D16" s="43"/>
      <c r="E16" s="43"/>
      <c r="F16" s="43" t="s">
        <v>5</v>
      </c>
      <c r="G16" s="43"/>
      <c r="H16" s="43"/>
      <c r="I16" s="43" t="s">
        <v>70</v>
      </c>
      <c r="J16" s="43"/>
      <c r="K16" s="43" t="s">
        <v>20</v>
      </c>
      <c r="L16" s="43"/>
      <c r="M16" s="43" t="s">
        <v>22</v>
      </c>
      <c r="N16" s="43"/>
      <c r="O16" s="43" t="s">
        <v>36</v>
      </c>
      <c r="P16" s="43"/>
      <c r="Q16" s="43" t="s">
        <v>97</v>
      </c>
    </row>
    <row r="17" spans="2:17" x14ac:dyDescent="0.3">
      <c r="B17">
        <v>2012</v>
      </c>
      <c r="C17" s="14">
        <f>C3/100</f>
        <v>0.47</v>
      </c>
      <c r="F17" s="7">
        <f>F3/100</f>
        <v>2.7999999999999997E-2</v>
      </c>
      <c r="I17" s="11">
        <v>2.5429706710245023E-4</v>
      </c>
      <c r="K17" s="12">
        <v>7.8E-2</v>
      </c>
      <c r="M17">
        <v>3.13</v>
      </c>
      <c r="O17" s="9">
        <v>6.7498604230897275E-6</v>
      </c>
      <c r="Q17" s="13">
        <v>0.58470894520833749</v>
      </c>
    </row>
    <row r="18" spans="2:17" x14ac:dyDescent="0.3">
      <c r="B18">
        <v>2013</v>
      </c>
      <c r="C18" s="14">
        <f t="shared" ref="C18:C28" si="0">C4/100</f>
        <v>0.48</v>
      </c>
      <c r="F18" s="7">
        <f t="shared" ref="F18:F27" si="1">F4/100</f>
        <v>2.6000000000000002E-2</v>
      </c>
      <c r="I18" s="11">
        <v>2.1838945266299418E-4</v>
      </c>
      <c r="K18" s="12">
        <v>7.1999999999999995E-2</v>
      </c>
      <c r="M18">
        <v>3.03</v>
      </c>
      <c r="O18" s="9">
        <v>7.6124323499672257E-6</v>
      </c>
      <c r="Q18" s="10">
        <v>0.58441066167975764</v>
      </c>
    </row>
    <row r="19" spans="2:17" x14ac:dyDescent="0.3">
      <c r="B19">
        <v>2014</v>
      </c>
      <c r="C19" s="14">
        <f t="shared" si="0"/>
        <v>0.47</v>
      </c>
      <c r="F19" s="7">
        <f t="shared" si="1"/>
        <v>1.4999999999999999E-2</v>
      </c>
      <c r="I19" s="11">
        <v>3.5450698821513503E-4</v>
      </c>
      <c r="K19" s="12">
        <v>5.7000000000000002E-2</v>
      </c>
      <c r="M19">
        <v>2.92</v>
      </c>
      <c r="O19" s="9">
        <v>6.8424492921873226E-6</v>
      </c>
      <c r="Q19" s="10">
        <v>0.58202465541025217</v>
      </c>
    </row>
    <row r="20" spans="2:17" x14ac:dyDescent="0.3">
      <c r="B20">
        <v>2015</v>
      </c>
      <c r="C20" s="14">
        <f t="shared" si="0"/>
        <v>0.46</v>
      </c>
      <c r="F20" s="7">
        <f t="shared" si="1"/>
        <v>0</v>
      </c>
      <c r="I20" s="11">
        <v>2.7645506826458923E-4</v>
      </c>
      <c r="K20" s="12">
        <v>5.0999999999999997E-2</v>
      </c>
      <c r="M20">
        <v>2.86</v>
      </c>
      <c r="O20" s="9">
        <v>7.4950040729510865E-6</v>
      </c>
      <c r="Q20" s="10">
        <v>0.58732364827903227</v>
      </c>
    </row>
    <row r="21" spans="2:17" x14ac:dyDescent="0.3">
      <c r="B21">
        <v>2016</v>
      </c>
      <c r="C21" s="14">
        <f t="shared" si="0"/>
        <v>0.4</v>
      </c>
      <c r="F21" s="7">
        <f t="shared" si="1"/>
        <v>6.9999999999999993E-3</v>
      </c>
      <c r="I21" s="11">
        <v>2.7875915131639285E-4</v>
      </c>
      <c r="K21" s="12">
        <v>4.8000000000000001E-2</v>
      </c>
      <c r="M21">
        <v>2.87</v>
      </c>
      <c r="O21" s="9">
        <v>8.0124215077826592E-6</v>
      </c>
      <c r="Q21" s="10">
        <v>0.58508290046435951</v>
      </c>
    </row>
    <row r="22" spans="2:17" x14ac:dyDescent="0.3">
      <c r="B22">
        <v>2017</v>
      </c>
      <c r="C22" s="14">
        <f t="shared" si="0"/>
        <v>0.44</v>
      </c>
      <c r="F22" s="7">
        <f t="shared" si="1"/>
        <v>2.7000000000000003E-2</v>
      </c>
      <c r="I22" s="11">
        <v>4.0732745446249408E-4</v>
      </c>
      <c r="K22" s="12">
        <v>4.3999999999999997E-2</v>
      </c>
      <c r="M22">
        <v>2.9</v>
      </c>
      <c r="O22" s="9">
        <v>9.0096593087428984E-6</v>
      </c>
      <c r="Q22" s="10">
        <v>0.58394420120573942</v>
      </c>
    </row>
    <row r="23" spans="2:17" x14ac:dyDescent="0.3">
      <c r="B23">
        <v>2018</v>
      </c>
      <c r="C23" s="14">
        <f t="shared" si="0"/>
        <v>0.45</v>
      </c>
      <c r="F23" s="7">
        <f t="shared" si="1"/>
        <v>2.5000000000000001E-2</v>
      </c>
      <c r="I23" s="11">
        <v>3.7780979477462263E-4</v>
      </c>
      <c r="K23" s="12">
        <v>0.04</v>
      </c>
      <c r="M23">
        <v>2.89</v>
      </c>
      <c r="O23" s="9">
        <v>9.0614142013674424E-6</v>
      </c>
      <c r="Q23" s="10">
        <v>0.58852985354652931</v>
      </c>
    </row>
    <row r="24" spans="2:17" x14ac:dyDescent="0.3">
      <c r="B24">
        <v>2019</v>
      </c>
      <c r="C24" s="14">
        <f t="shared" si="0"/>
        <v>0.4</v>
      </c>
      <c r="F24" s="7">
        <f t="shared" si="1"/>
        <v>1.8000000000000002E-2</v>
      </c>
      <c r="I24" s="11">
        <v>3.2636291022657582E-4</v>
      </c>
      <c r="K24" s="12">
        <v>0.04</v>
      </c>
      <c r="M24">
        <v>2.87</v>
      </c>
      <c r="O24" s="9">
        <v>1.2395802278330494E-5</v>
      </c>
      <c r="Q24" s="10">
        <v>0.59038528511499067</v>
      </c>
    </row>
    <row r="25" spans="2:17" x14ac:dyDescent="0.3">
      <c r="B25">
        <v>2020</v>
      </c>
      <c r="C25" s="14">
        <f t="shared" si="0"/>
        <v>0.41</v>
      </c>
      <c r="F25" s="7">
        <f t="shared" si="1"/>
        <v>9.0000000000000011E-3</v>
      </c>
      <c r="I25" s="11">
        <v>4.2485803517827513E-4</v>
      </c>
      <c r="K25" s="12">
        <v>5.2999999999999999E-2</v>
      </c>
      <c r="M25">
        <v>3.05</v>
      </c>
      <c r="O25" s="9">
        <v>1.2268707471990191E-5</v>
      </c>
      <c r="Q25" s="10">
        <v>0.58755201689800518</v>
      </c>
    </row>
    <row r="26" spans="2:17" x14ac:dyDescent="0.3">
      <c r="B26">
        <v>2021</v>
      </c>
      <c r="C26" s="14">
        <f t="shared" si="0"/>
        <v>0.59</v>
      </c>
      <c r="F26" s="7">
        <f t="shared" si="1"/>
        <v>2.6000000000000002E-2</v>
      </c>
      <c r="I26" s="11">
        <v>3.8237213283939082E-4</v>
      </c>
      <c r="K26" s="12">
        <v>4.1000000000000002E-2</v>
      </c>
      <c r="M26">
        <v>3.31</v>
      </c>
      <c r="O26" s="9">
        <v>1.3759375173826898E-5</v>
      </c>
      <c r="Q26" s="10">
        <v>0.59464236034392326</v>
      </c>
    </row>
    <row r="27" spans="2:17" x14ac:dyDescent="0.3">
      <c r="B27">
        <v>2022</v>
      </c>
      <c r="C27" s="14">
        <f t="shared" si="0"/>
        <v>0.62</v>
      </c>
      <c r="F27" s="7">
        <f t="shared" si="1"/>
        <v>9.0999999999999998E-2</v>
      </c>
      <c r="I27" s="11">
        <v>3.9735099337748344E-4</v>
      </c>
      <c r="K27" s="12">
        <v>3.7999999999999999E-2</v>
      </c>
      <c r="M27">
        <v>3.12</v>
      </c>
      <c r="O27" s="9">
        <v>1.2877115526122149E-5</v>
      </c>
      <c r="Q27" s="10">
        <v>0.59698638908125079</v>
      </c>
    </row>
    <row r="28" spans="2:17" x14ac:dyDescent="0.3">
      <c r="B28">
        <v>2023</v>
      </c>
      <c r="C28" s="14">
        <f t="shared" si="0"/>
        <v>0.56999999999999995</v>
      </c>
      <c r="F28" s="7">
        <f>F14/100</f>
        <v>7.2999999999999995E-2</v>
      </c>
      <c r="I28" s="11">
        <v>4.2917826278013771E-4</v>
      </c>
      <c r="K28" s="12">
        <v>3.9E-2</v>
      </c>
      <c r="M28">
        <v>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22"/>
  <sheetViews>
    <sheetView workbookViewId="0">
      <selection activeCell="B17" sqref="B17"/>
    </sheetView>
  </sheetViews>
  <sheetFormatPr defaultRowHeight="14.4" x14ac:dyDescent="0.3"/>
  <cols>
    <col min="3" max="3" width="16.6640625" customWidth="1"/>
    <col min="5" max="5" width="12" bestFit="1" customWidth="1"/>
  </cols>
  <sheetData>
    <row r="2" spans="1:18" x14ac:dyDescent="0.3">
      <c r="B2" s="43" t="s">
        <v>36</v>
      </c>
      <c r="C2" s="43"/>
      <c r="F2" s="43" t="s">
        <v>98</v>
      </c>
    </row>
    <row r="3" spans="1:18" x14ac:dyDescent="0.3">
      <c r="B3">
        <v>2012</v>
      </c>
      <c r="C3" s="9">
        <v>6.7498604230897275E-6</v>
      </c>
      <c r="F3">
        <v>2012</v>
      </c>
      <c r="G3" s="89">
        <v>0.58470894520833749</v>
      </c>
      <c r="H3" s="30"/>
      <c r="I3" s="30"/>
    </row>
    <row r="4" spans="1:18" x14ac:dyDescent="0.3">
      <c r="B4">
        <v>2013</v>
      </c>
      <c r="C4" s="9">
        <v>7.6124323499672257E-6</v>
      </c>
      <c r="F4">
        <v>2013</v>
      </c>
      <c r="G4" s="10">
        <v>0.58441066167975764</v>
      </c>
      <c r="M4" s="30"/>
      <c r="N4" s="30"/>
    </row>
    <row r="5" spans="1:18" x14ac:dyDescent="0.3">
      <c r="B5">
        <v>2014</v>
      </c>
      <c r="C5" s="9">
        <v>6.8424492921873226E-6</v>
      </c>
      <c r="F5">
        <v>2014</v>
      </c>
      <c r="G5" s="10">
        <v>0.58202465541025217</v>
      </c>
    </row>
    <row r="6" spans="1:18" x14ac:dyDescent="0.3">
      <c r="B6">
        <v>2015</v>
      </c>
      <c r="C6" s="9">
        <v>7.4950040729510865E-6</v>
      </c>
      <c r="F6">
        <v>2015</v>
      </c>
      <c r="G6" s="10">
        <v>0.58732364827903227</v>
      </c>
    </row>
    <row r="7" spans="1:18" x14ac:dyDescent="0.3">
      <c r="B7">
        <v>2016</v>
      </c>
      <c r="C7" s="9">
        <v>8.0124215077826592E-6</v>
      </c>
      <c r="F7">
        <v>2016</v>
      </c>
      <c r="G7" s="10">
        <v>0.58508290046435951</v>
      </c>
    </row>
    <row r="8" spans="1:18" x14ac:dyDescent="0.3">
      <c r="B8">
        <v>2017</v>
      </c>
      <c r="C8" s="9">
        <v>9.0096593087428984E-6</v>
      </c>
      <c r="F8">
        <v>2017</v>
      </c>
      <c r="G8" s="10">
        <v>0.58394420120573942</v>
      </c>
    </row>
    <row r="9" spans="1:18" x14ac:dyDescent="0.3">
      <c r="B9">
        <v>2018</v>
      </c>
      <c r="C9" s="9">
        <v>9.0614142013674424E-6</v>
      </c>
      <c r="F9">
        <v>2018</v>
      </c>
      <c r="G9" s="10">
        <v>0.58852985354652931</v>
      </c>
    </row>
    <row r="10" spans="1:18" x14ac:dyDescent="0.3">
      <c r="B10">
        <v>2019</v>
      </c>
      <c r="C10" s="9">
        <v>1.2395802278330494E-5</v>
      </c>
      <c r="F10">
        <v>2019</v>
      </c>
      <c r="G10" s="10">
        <v>0.59038528511499067</v>
      </c>
    </row>
    <row r="11" spans="1:18" x14ac:dyDescent="0.3">
      <c r="B11">
        <v>2020</v>
      </c>
      <c r="C11" s="9">
        <v>1.2268707471990191E-5</v>
      </c>
      <c r="F11">
        <v>2020</v>
      </c>
      <c r="G11" s="10">
        <v>0.58755201689800518</v>
      </c>
    </row>
    <row r="12" spans="1:18" x14ac:dyDescent="0.3">
      <c r="B12">
        <v>2021</v>
      </c>
      <c r="C12" s="9">
        <v>1.3759375173826898E-5</v>
      </c>
      <c r="F12">
        <v>2021</v>
      </c>
      <c r="G12" s="10">
        <v>0.59464236034392326</v>
      </c>
      <c r="M12" s="31"/>
      <c r="N12" s="31"/>
      <c r="O12" s="31"/>
      <c r="P12" s="31"/>
      <c r="Q12" s="31"/>
      <c r="R12" s="31"/>
    </row>
    <row r="13" spans="1:18" x14ac:dyDescent="0.3">
      <c r="B13">
        <v>2022</v>
      </c>
      <c r="C13" s="9">
        <v>1.2877115526122149E-5</v>
      </c>
      <c r="F13">
        <v>2022</v>
      </c>
      <c r="G13" s="10">
        <v>0.59698638908125079</v>
      </c>
    </row>
    <row r="14" spans="1:18" x14ac:dyDescent="0.3">
      <c r="A14" t="s">
        <v>300</v>
      </c>
      <c r="B14">
        <v>2023</v>
      </c>
      <c r="C14" s="9">
        <f>B18*B14+C18</f>
        <v>1.4136026170815394E-5</v>
      </c>
      <c r="E14" t="s">
        <v>300</v>
      </c>
      <c r="F14">
        <v>2023</v>
      </c>
      <c r="G14" s="10">
        <f>F14*$F$18+$G$18</f>
        <v>0.59478824657957441</v>
      </c>
    </row>
    <row r="15" spans="1:18" x14ac:dyDescent="0.3">
      <c r="G15" s="10"/>
    </row>
    <row r="16" spans="1:18" x14ac:dyDescent="0.3">
      <c r="G16" s="10"/>
    </row>
    <row r="17" spans="2:21" x14ac:dyDescent="0.3">
      <c r="B17" t="s">
        <v>301</v>
      </c>
      <c r="F17" t="s">
        <v>301</v>
      </c>
      <c r="M17" s="31"/>
      <c r="N17" s="31"/>
      <c r="O17" s="31"/>
      <c r="P17" s="31"/>
      <c r="Q17" s="31"/>
      <c r="R17" s="31"/>
      <c r="S17" s="31"/>
      <c r="T17" s="31"/>
      <c r="U17" s="31"/>
    </row>
    <row r="18" spans="2:21" x14ac:dyDescent="0.3">
      <c r="B18" cm="1">
        <f t="array" ref="B18:C22">LINEST(C3:C13,B3:B13,TRUE,TRUE)</f>
        <v>7.4866736776684542E-7</v>
      </c>
      <c r="C18">
        <v>-1.5004180588215129E-3</v>
      </c>
      <c r="F18" cm="1">
        <f t="array" ref="F18:G22">LINEST(G3:G13,F3:F13,TRUE,TRUE)</f>
        <v>1.167875683987042E-3</v>
      </c>
      <c r="G18">
        <v>-1.7678242621262115</v>
      </c>
    </row>
    <row r="19" spans="2:21" x14ac:dyDescent="0.3">
      <c r="B19">
        <v>9.3038313245189039E-8</v>
      </c>
      <c r="C19">
        <v>1.8765850845078692E-4</v>
      </c>
      <c r="F19">
        <v>2.5687007497617791E-4</v>
      </c>
      <c r="G19">
        <v>0.51810757798926399</v>
      </c>
    </row>
    <row r="20" spans="2:21" x14ac:dyDescent="0.3">
      <c r="B20">
        <v>0.87796964891903806</v>
      </c>
      <c r="C20">
        <v>9.757940615038046E-7</v>
      </c>
      <c r="F20">
        <v>0.6966758164877751</v>
      </c>
      <c r="G20">
        <v>2.6940760746514561E-3</v>
      </c>
    </row>
    <row r="21" spans="2:21" x14ac:dyDescent="0.3">
      <c r="B21">
        <v>64.752143792726429</v>
      </c>
      <c r="C21">
        <v>9</v>
      </c>
      <c r="F21">
        <v>20.671224680432612</v>
      </c>
      <c r="G21">
        <v>9</v>
      </c>
    </row>
    <row r="22" spans="2:21" x14ac:dyDescent="0.3">
      <c r="B22">
        <v>6.1655311031483074E-11</v>
      </c>
      <c r="C22">
        <v>8.569566454194818E-12</v>
      </c>
      <c r="F22">
        <v>1.5003269745730209E-4</v>
      </c>
      <c r="G22">
        <v>6.5322413064084574E-5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J4" sqref="J4"/>
    </sheetView>
  </sheetViews>
  <sheetFormatPr defaultRowHeight="14.4" x14ac:dyDescent="0.3"/>
  <cols>
    <col min="7" max="7" width="11.6640625" customWidth="1"/>
  </cols>
  <sheetData>
    <row r="1" spans="1:8" x14ac:dyDescent="0.3">
      <c r="A1" s="18" t="s">
        <v>272</v>
      </c>
      <c r="B1" s="18" t="s">
        <v>266</v>
      </c>
      <c r="C1" s="18" t="s">
        <v>267</v>
      </c>
      <c r="D1" s="18" t="s">
        <v>268</v>
      </c>
      <c r="E1" s="18" t="s">
        <v>269</v>
      </c>
      <c r="F1" s="18" t="s">
        <v>270</v>
      </c>
      <c r="G1" s="18" t="s">
        <v>273</v>
      </c>
      <c r="H1" s="18" t="s">
        <v>327</v>
      </c>
    </row>
    <row r="2" spans="1:8" x14ac:dyDescent="0.3">
      <c r="A2" s="18">
        <v>2012</v>
      </c>
      <c r="B2" s="66">
        <v>0.47</v>
      </c>
      <c r="C2" s="60">
        <v>2.7999999999999997E-2</v>
      </c>
      <c r="D2" s="67">
        <v>2.5429706710245023E-4</v>
      </c>
      <c r="E2" s="60">
        <v>7.8E-2</v>
      </c>
      <c r="F2" s="18">
        <v>3.13</v>
      </c>
      <c r="G2" s="68">
        <v>6.7498604230897275E-6</v>
      </c>
      <c r="H2" s="60">
        <v>0.58470894520833749</v>
      </c>
    </row>
    <row r="3" spans="1:8" x14ac:dyDescent="0.3">
      <c r="A3" s="18">
        <v>2013</v>
      </c>
      <c r="B3" s="66">
        <v>0.48</v>
      </c>
      <c r="C3" s="60">
        <v>2.6000000000000002E-2</v>
      </c>
      <c r="D3" s="67">
        <v>2.1838945266299418E-4</v>
      </c>
      <c r="E3" s="60">
        <v>7.1999999999999995E-2</v>
      </c>
      <c r="F3" s="18">
        <v>3.03</v>
      </c>
      <c r="G3" s="68">
        <v>7.6124323499672257E-6</v>
      </c>
      <c r="H3" s="60">
        <v>0.58441066167975764</v>
      </c>
    </row>
    <row r="4" spans="1:8" x14ac:dyDescent="0.3">
      <c r="A4" s="18">
        <v>2014</v>
      </c>
      <c r="B4" s="66">
        <v>0.47</v>
      </c>
      <c r="C4" s="60">
        <v>1.4999999999999999E-2</v>
      </c>
      <c r="D4" s="67">
        <v>3.5450698821513503E-4</v>
      </c>
      <c r="E4" s="60">
        <v>5.7000000000000002E-2</v>
      </c>
      <c r="F4" s="18">
        <v>2.92</v>
      </c>
      <c r="G4" s="68">
        <v>6.8424492921873226E-6</v>
      </c>
      <c r="H4" s="60">
        <v>0.58202465541025217</v>
      </c>
    </row>
    <row r="5" spans="1:8" x14ac:dyDescent="0.3">
      <c r="A5" s="18">
        <v>2015</v>
      </c>
      <c r="B5" s="66">
        <v>0.46</v>
      </c>
      <c r="C5" s="60">
        <v>0</v>
      </c>
      <c r="D5" s="67">
        <v>2.7645506826458923E-4</v>
      </c>
      <c r="E5" s="60">
        <v>5.0999999999999997E-2</v>
      </c>
      <c r="F5" s="18">
        <v>2.86</v>
      </c>
      <c r="G5" s="68">
        <v>7.4950040729510865E-6</v>
      </c>
      <c r="H5" s="60">
        <v>0.58732364827903227</v>
      </c>
    </row>
    <row r="6" spans="1:8" x14ac:dyDescent="0.3">
      <c r="A6" s="18">
        <v>2016</v>
      </c>
      <c r="B6" s="66">
        <v>0.4</v>
      </c>
      <c r="C6" s="60">
        <v>6.9999999999999993E-3</v>
      </c>
      <c r="D6" s="67">
        <v>2.7875915131639285E-4</v>
      </c>
      <c r="E6" s="60">
        <v>4.8000000000000001E-2</v>
      </c>
      <c r="F6" s="18">
        <v>2.87</v>
      </c>
      <c r="G6" s="68">
        <v>8.0124215077826592E-6</v>
      </c>
      <c r="H6" s="60">
        <v>0.58508290046435951</v>
      </c>
    </row>
    <row r="7" spans="1:8" x14ac:dyDescent="0.3">
      <c r="A7" s="18">
        <v>2017</v>
      </c>
      <c r="B7" s="66">
        <v>0.44</v>
      </c>
      <c r="C7" s="60">
        <v>2.7000000000000003E-2</v>
      </c>
      <c r="D7" s="67">
        <v>4.0732745446249408E-4</v>
      </c>
      <c r="E7" s="60">
        <v>4.3999999999999997E-2</v>
      </c>
      <c r="F7" s="18">
        <v>2.9</v>
      </c>
      <c r="G7" s="68">
        <v>9.0096593087428984E-6</v>
      </c>
      <c r="H7" s="60">
        <v>0.58394420120573942</v>
      </c>
    </row>
    <row r="8" spans="1:8" x14ac:dyDescent="0.3">
      <c r="A8" s="18">
        <v>2018</v>
      </c>
      <c r="B8" s="66">
        <v>0.45</v>
      </c>
      <c r="C8" s="60">
        <v>2.5000000000000001E-2</v>
      </c>
      <c r="D8" s="67">
        <v>3.7780979477462263E-4</v>
      </c>
      <c r="E8" s="60">
        <v>0.04</v>
      </c>
      <c r="F8" s="18">
        <v>2.89</v>
      </c>
      <c r="G8" s="68">
        <v>9.0614142013674424E-6</v>
      </c>
      <c r="H8" s="60">
        <v>0.58852985354652931</v>
      </c>
    </row>
    <row r="9" spans="1:8" x14ac:dyDescent="0.3">
      <c r="A9" s="18">
        <v>2019</v>
      </c>
      <c r="B9" s="66">
        <v>0.4</v>
      </c>
      <c r="C9" s="60">
        <v>1.8000000000000002E-2</v>
      </c>
      <c r="D9" s="67">
        <v>3.2636291022657582E-4</v>
      </c>
      <c r="E9" s="60">
        <v>0.04</v>
      </c>
      <c r="F9" s="18">
        <v>2.87</v>
      </c>
      <c r="G9" s="68">
        <v>1.2395802278330494E-5</v>
      </c>
      <c r="H9" s="60">
        <v>0.59038528511499067</v>
      </c>
    </row>
    <row r="10" spans="1:8" x14ac:dyDescent="0.3">
      <c r="A10" s="18">
        <v>2020</v>
      </c>
      <c r="B10" s="66">
        <v>0.41</v>
      </c>
      <c r="C10" s="60">
        <v>9.0000000000000011E-3</v>
      </c>
      <c r="D10" s="67">
        <v>4.2485803517827513E-4</v>
      </c>
      <c r="E10" s="60">
        <v>5.2999999999999999E-2</v>
      </c>
      <c r="F10" s="18">
        <v>3.05</v>
      </c>
      <c r="G10" s="68">
        <v>1.2268707471990191E-5</v>
      </c>
      <c r="H10" s="60">
        <v>0.58755201689800518</v>
      </c>
    </row>
    <row r="11" spans="1:8" x14ac:dyDescent="0.3">
      <c r="A11" s="18">
        <v>2021</v>
      </c>
      <c r="B11" s="66">
        <v>0.59</v>
      </c>
      <c r="C11" s="60">
        <v>2.6000000000000002E-2</v>
      </c>
      <c r="D11" s="67">
        <v>3.8237213283939082E-4</v>
      </c>
      <c r="E11" s="60">
        <v>4.1000000000000002E-2</v>
      </c>
      <c r="F11" s="18">
        <v>3.31</v>
      </c>
      <c r="G11" s="68">
        <v>1.3759375173826898E-5</v>
      </c>
      <c r="H11" s="60">
        <v>0.59464236034392326</v>
      </c>
    </row>
    <row r="12" spans="1:8" x14ac:dyDescent="0.3">
      <c r="A12" s="18">
        <v>2022</v>
      </c>
      <c r="B12" s="66">
        <v>0.62</v>
      </c>
      <c r="C12" s="60">
        <v>9.0999999999999998E-2</v>
      </c>
      <c r="D12" s="67">
        <v>3.9735099337748344E-4</v>
      </c>
      <c r="E12" s="60">
        <v>3.7999999999999999E-2</v>
      </c>
      <c r="F12" s="18">
        <v>3.12</v>
      </c>
      <c r="G12" s="68">
        <v>1.2877115526122149E-5</v>
      </c>
      <c r="H12" s="60">
        <v>0.59698638908125079</v>
      </c>
    </row>
    <row r="13" spans="1:8" x14ac:dyDescent="0.3">
      <c r="A13" s="18">
        <v>2023</v>
      </c>
      <c r="B13" s="66">
        <v>0.56999999999999995</v>
      </c>
      <c r="C13" s="60">
        <v>7.2999999999999995E-2</v>
      </c>
      <c r="D13" s="67">
        <v>4.2917826278013771E-4</v>
      </c>
      <c r="E13" s="60">
        <v>3.9E-2</v>
      </c>
      <c r="F13" s="18">
        <v>3.23</v>
      </c>
      <c r="G13" s="69">
        <v>1.4136026170815394E-5</v>
      </c>
      <c r="H13" s="70">
        <v>0.59478824657957441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workbookViewId="0">
      <selection activeCell="K7" sqref="K7"/>
    </sheetView>
  </sheetViews>
  <sheetFormatPr defaultRowHeight="14.4" x14ac:dyDescent="0.3"/>
  <cols>
    <col min="7" max="7" width="13.33203125" customWidth="1"/>
    <col min="14" max="14" width="11.88671875" customWidth="1"/>
  </cols>
  <sheetData>
    <row r="1" spans="1:11" x14ac:dyDescent="0.3">
      <c r="A1" s="18" t="s">
        <v>272</v>
      </c>
      <c r="B1" s="18" t="s">
        <v>266</v>
      </c>
      <c r="C1" s="18" t="s">
        <v>267</v>
      </c>
      <c r="D1" s="18" t="s">
        <v>268</v>
      </c>
      <c r="E1" s="18" t="s">
        <v>269</v>
      </c>
      <c r="F1" s="18" t="s">
        <v>270</v>
      </c>
      <c r="G1" s="71" t="s">
        <v>271</v>
      </c>
      <c r="H1" s="18" t="s">
        <v>327</v>
      </c>
    </row>
    <row r="2" spans="1:11" x14ac:dyDescent="0.3">
      <c r="A2" s="18">
        <v>2012</v>
      </c>
      <c r="B2" s="66">
        <v>0.47</v>
      </c>
      <c r="C2" s="60">
        <v>2.7999999999999997E-2</v>
      </c>
      <c r="D2" s="67">
        <v>2.5429706710245023E-4</v>
      </c>
      <c r="E2" s="60">
        <v>7.8E-2</v>
      </c>
      <c r="F2" s="18">
        <v>3.13</v>
      </c>
      <c r="G2" s="72">
        <v>6.7498604230897275E-6</v>
      </c>
      <c r="H2" s="60">
        <v>0.58470894520833749</v>
      </c>
      <c r="K2" s="74">
        <v>10000</v>
      </c>
    </row>
    <row r="3" spans="1:11" x14ac:dyDescent="0.3">
      <c r="A3" s="18">
        <v>2013</v>
      </c>
      <c r="B3" s="66">
        <v>0.48</v>
      </c>
      <c r="C3" s="60">
        <v>2.6000000000000002E-2</v>
      </c>
      <c r="D3" s="67">
        <v>2.1838945266299418E-4</v>
      </c>
      <c r="E3" s="60">
        <v>7.1999999999999995E-2</v>
      </c>
      <c r="F3" s="18">
        <v>3.03</v>
      </c>
      <c r="G3" s="72">
        <v>7.6124323499672257E-6</v>
      </c>
      <c r="H3" s="60">
        <v>0.58441066167975764</v>
      </c>
    </row>
    <row r="4" spans="1:11" x14ac:dyDescent="0.3">
      <c r="A4" s="18">
        <v>2014</v>
      </c>
      <c r="B4" s="66">
        <v>0.47</v>
      </c>
      <c r="C4" s="60">
        <v>1.4999999999999999E-2</v>
      </c>
      <c r="D4" s="67">
        <v>3.5450698821513503E-4</v>
      </c>
      <c r="E4" s="60">
        <v>5.7000000000000002E-2</v>
      </c>
      <c r="F4" s="18">
        <v>2.92</v>
      </c>
      <c r="G4" s="72">
        <v>6.8424492921873226E-6</v>
      </c>
      <c r="H4" s="60">
        <v>0.58202465541025217</v>
      </c>
    </row>
    <row r="5" spans="1:11" x14ac:dyDescent="0.3">
      <c r="A5" s="18">
        <v>2015</v>
      </c>
      <c r="B5" s="66">
        <v>0.46</v>
      </c>
      <c r="C5" s="60">
        <v>0</v>
      </c>
      <c r="D5" s="67">
        <v>2.7645506826458923E-4</v>
      </c>
      <c r="E5" s="60">
        <v>5.0999999999999997E-2</v>
      </c>
      <c r="F5" s="18">
        <v>2.86</v>
      </c>
      <c r="G5" s="72">
        <v>7.4950040729510865E-6</v>
      </c>
      <c r="H5" s="60">
        <v>0.58732364827903227</v>
      </c>
    </row>
    <row r="6" spans="1:11" x14ac:dyDescent="0.3">
      <c r="A6" s="18">
        <v>2016</v>
      </c>
      <c r="B6" s="66">
        <v>0.4</v>
      </c>
      <c r="C6" s="60">
        <v>6.9999999999999993E-3</v>
      </c>
      <c r="D6" s="67">
        <v>2.7875915131639285E-4</v>
      </c>
      <c r="E6" s="60">
        <v>4.8000000000000001E-2</v>
      </c>
      <c r="F6" s="18">
        <v>2.87</v>
      </c>
      <c r="G6" s="72">
        <v>8.0124215077826592E-6</v>
      </c>
      <c r="H6" s="60">
        <v>0.58508290046435951</v>
      </c>
    </row>
    <row r="7" spans="1:11" x14ac:dyDescent="0.3">
      <c r="A7" s="18">
        <v>2017</v>
      </c>
      <c r="B7" s="66">
        <v>0.44</v>
      </c>
      <c r="C7" s="60">
        <v>2.7000000000000003E-2</v>
      </c>
      <c r="D7" s="67">
        <v>4.0732745446249408E-4</v>
      </c>
      <c r="E7" s="60">
        <v>4.3999999999999997E-2</v>
      </c>
      <c r="F7" s="18">
        <v>2.9</v>
      </c>
      <c r="G7" s="72">
        <v>9.0096593087428984E-6</v>
      </c>
      <c r="H7" s="60">
        <v>0.58394420120573942</v>
      </c>
    </row>
    <row r="8" spans="1:11" x14ac:dyDescent="0.3">
      <c r="A8" s="18">
        <v>2018</v>
      </c>
      <c r="B8" s="66">
        <v>0.45</v>
      </c>
      <c r="C8" s="60">
        <v>2.5000000000000001E-2</v>
      </c>
      <c r="D8" s="67">
        <v>3.7780979477462263E-4</v>
      </c>
      <c r="E8" s="60">
        <v>0.04</v>
      </c>
      <c r="F8" s="18">
        <v>2.89</v>
      </c>
      <c r="G8" s="72">
        <v>9.0614142013674424E-6</v>
      </c>
      <c r="H8" s="60">
        <v>0.58852985354652931</v>
      </c>
    </row>
    <row r="9" spans="1:11" x14ac:dyDescent="0.3">
      <c r="A9" s="18">
        <v>2019</v>
      </c>
      <c r="B9" s="66">
        <v>0.4</v>
      </c>
      <c r="C9" s="60">
        <v>1.8000000000000002E-2</v>
      </c>
      <c r="D9" s="67">
        <v>3.2636291022657582E-4</v>
      </c>
      <c r="E9" s="60">
        <v>0.04</v>
      </c>
      <c r="F9" s="18">
        <v>2.87</v>
      </c>
      <c r="G9" s="72">
        <v>1.2395802278330494E-5</v>
      </c>
      <c r="H9" s="60">
        <v>0.59038528511499067</v>
      </c>
    </row>
    <row r="10" spans="1:11" x14ac:dyDescent="0.3">
      <c r="A10" s="18">
        <v>2020</v>
      </c>
      <c r="B10" s="66">
        <v>0.41</v>
      </c>
      <c r="C10" s="60">
        <v>9.0000000000000011E-3</v>
      </c>
      <c r="D10" s="67">
        <v>4.2485803517827513E-4</v>
      </c>
      <c r="E10" s="60">
        <v>5.2999999999999999E-2</v>
      </c>
      <c r="F10" s="18">
        <v>3.05</v>
      </c>
      <c r="G10" s="72">
        <v>1.2268707471990191E-5</v>
      </c>
      <c r="H10" s="60">
        <v>0.58755201689800518</v>
      </c>
    </row>
    <row r="11" spans="1:11" x14ac:dyDescent="0.3">
      <c r="A11" s="18">
        <v>2021</v>
      </c>
      <c r="B11" s="66">
        <v>0.59</v>
      </c>
      <c r="C11" s="60">
        <v>2.6000000000000002E-2</v>
      </c>
      <c r="D11" s="67">
        <v>3.8237213283939082E-4</v>
      </c>
      <c r="E11" s="60">
        <v>4.1000000000000002E-2</v>
      </c>
      <c r="F11" s="18">
        <v>3.31</v>
      </c>
      <c r="G11" s="72">
        <v>1.3759375173826898E-5</v>
      </c>
      <c r="H11" s="60">
        <v>0.59464236034392326</v>
      </c>
    </row>
    <row r="12" spans="1:11" x14ac:dyDescent="0.3">
      <c r="A12" s="18">
        <v>2022</v>
      </c>
      <c r="B12" s="66">
        <v>0.62</v>
      </c>
      <c r="C12" s="60">
        <v>9.0999999999999998E-2</v>
      </c>
      <c r="D12" s="67">
        <v>3.9735099337748344E-4</v>
      </c>
      <c r="E12" s="60">
        <v>3.7999999999999999E-2</v>
      </c>
      <c r="F12" s="18">
        <v>3.12</v>
      </c>
      <c r="G12" s="72">
        <v>1.2877115526122149E-5</v>
      </c>
      <c r="H12" s="60">
        <v>0.59698638908125079</v>
      </c>
    </row>
    <row r="13" spans="1:11" x14ac:dyDescent="0.3">
      <c r="A13" s="18">
        <v>2023</v>
      </c>
      <c r="B13" s="66">
        <v>0.56999999999999995</v>
      </c>
      <c r="C13" s="60">
        <v>7.2999999999999995E-2</v>
      </c>
      <c r="D13" s="67">
        <v>4.2917826278013771E-4</v>
      </c>
      <c r="E13" s="60">
        <v>3.9E-2</v>
      </c>
      <c r="F13" s="18">
        <v>3.23</v>
      </c>
      <c r="G13" s="73">
        <v>1.4136026170815394E-5</v>
      </c>
      <c r="H13" s="70">
        <v>0.59478824657957441</v>
      </c>
    </row>
    <row r="15" spans="1:11" x14ac:dyDescent="0.3">
      <c r="A15" s="18" t="s">
        <v>272</v>
      </c>
      <c r="B15" s="18" t="s">
        <v>266</v>
      </c>
      <c r="C15" s="18" t="s">
        <v>267</v>
      </c>
      <c r="D15" s="18" t="s">
        <v>268</v>
      </c>
      <c r="E15" s="18" t="s">
        <v>269</v>
      </c>
      <c r="F15" s="18" t="s">
        <v>270</v>
      </c>
      <c r="G15" s="71" t="s">
        <v>302</v>
      </c>
      <c r="H15" s="18" t="s">
        <v>327</v>
      </c>
    </row>
    <row r="16" spans="1:11" x14ac:dyDescent="0.3">
      <c r="A16" s="18">
        <v>2012</v>
      </c>
      <c r="B16" s="66">
        <v>0.47</v>
      </c>
      <c r="C16" s="60">
        <v>2.7999999999999997E-2</v>
      </c>
      <c r="D16" s="67">
        <v>2.5429706710245023E-4</v>
      </c>
      <c r="E16" s="60">
        <v>7.8E-2</v>
      </c>
      <c r="F16" s="18">
        <v>3.13</v>
      </c>
      <c r="G16" s="72">
        <f>G2*$K$2</f>
        <v>6.7498604230897277E-2</v>
      </c>
      <c r="H16" s="60">
        <v>0.58470894520833749</v>
      </c>
    </row>
    <row r="17" spans="1:8" x14ac:dyDescent="0.3">
      <c r="A17" s="18">
        <v>2013</v>
      </c>
      <c r="B17" s="66">
        <v>0.48</v>
      </c>
      <c r="C17" s="60">
        <v>2.6000000000000002E-2</v>
      </c>
      <c r="D17" s="67">
        <v>2.1838945266299418E-4</v>
      </c>
      <c r="E17" s="60">
        <v>7.1999999999999995E-2</v>
      </c>
      <c r="F17" s="18">
        <v>3.03</v>
      </c>
      <c r="G17" s="72">
        <f t="shared" ref="G17:G27" si="0">G3*$K$2</f>
        <v>7.6124323499672256E-2</v>
      </c>
      <c r="H17" s="60">
        <v>0.58441066167975764</v>
      </c>
    </row>
    <row r="18" spans="1:8" x14ac:dyDescent="0.3">
      <c r="A18" s="18">
        <v>2014</v>
      </c>
      <c r="B18" s="66">
        <v>0.47</v>
      </c>
      <c r="C18" s="60">
        <v>1.4999999999999999E-2</v>
      </c>
      <c r="D18" s="67">
        <v>3.5450698821513503E-4</v>
      </c>
      <c r="E18" s="60">
        <v>5.7000000000000002E-2</v>
      </c>
      <c r="F18" s="18">
        <v>2.92</v>
      </c>
      <c r="G18" s="72">
        <f t="shared" si="0"/>
        <v>6.842449292187322E-2</v>
      </c>
      <c r="H18" s="60">
        <v>0.58202465541025217</v>
      </c>
    </row>
    <row r="19" spans="1:8" x14ac:dyDescent="0.3">
      <c r="A19" s="18">
        <v>2015</v>
      </c>
      <c r="B19" s="66">
        <v>0.46</v>
      </c>
      <c r="C19" s="60">
        <v>0</v>
      </c>
      <c r="D19" s="67">
        <v>2.7645506826458923E-4</v>
      </c>
      <c r="E19" s="60">
        <v>5.0999999999999997E-2</v>
      </c>
      <c r="F19" s="18">
        <v>2.86</v>
      </c>
      <c r="G19" s="72">
        <f t="shared" si="0"/>
        <v>7.4950040729510864E-2</v>
      </c>
      <c r="H19" s="60">
        <v>0.58732364827903227</v>
      </c>
    </row>
    <row r="20" spans="1:8" x14ac:dyDescent="0.3">
      <c r="A20" s="18">
        <v>2016</v>
      </c>
      <c r="B20" s="66">
        <v>0.4</v>
      </c>
      <c r="C20" s="60">
        <v>6.9999999999999993E-3</v>
      </c>
      <c r="D20" s="67">
        <v>2.7875915131639285E-4</v>
      </c>
      <c r="E20" s="60">
        <v>4.8000000000000001E-2</v>
      </c>
      <c r="F20" s="18">
        <v>2.87</v>
      </c>
      <c r="G20" s="72">
        <f t="shared" si="0"/>
        <v>8.0124215077826591E-2</v>
      </c>
      <c r="H20" s="60">
        <v>0.58508290046435951</v>
      </c>
    </row>
    <row r="21" spans="1:8" x14ac:dyDescent="0.3">
      <c r="A21" s="18">
        <v>2017</v>
      </c>
      <c r="B21" s="66">
        <v>0.44</v>
      </c>
      <c r="C21" s="60">
        <v>2.7000000000000003E-2</v>
      </c>
      <c r="D21" s="67">
        <v>4.0732745446249408E-4</v>
      </c>
      <c r="E21" s="60">
        <v>4.3999999999999997E-2</v>
      </c>
      <c r="F21" s="18">
        <v>2.9</v>
      </c>
      <c r="G21" s="72">
        <f t="shared" si="0"/>
        <v>9.0096593087428983E-2</v>
      </c>
      <c r="H21" s="60">
        <v>0.58394420120573942</v>
      </c>
    </row>
    <row r="22" spans="1:8" x14ac:dyDescent="0.3">
      <c r="A22" s="18">
        <v>2018</v>
      </c>
      <c r="B22" s="66">
        <v>0.45</v>
      </c>
      <c r="C22" s="60">
        <v>2.5000000000000001E-2</v>
      </c>
      <c r="D22" s="67">
        <v>3.7780979477462263E-4</v>
      </c>
      <c r="E22" s="60">
        <v>0.04</v>
      </c>
      <c r="F22" s="18">
        <v>2.89</v>
      </c>
      <c r="G22" s="72">
        <f t="shared" si="0"/>
        <v>9.0614142013674417E-2</v>
      </c>
      <c r="H22" s="60">
        <v>0.58852985354652931</v>
      </c>
    </row>
    <row r="23" spans="1:8" x14ac:dyDescent="0.3">
      <c r="A23" s="18">
        <v>2019</v>
      </c>
      <c r="B23" s="66">
        <v>0.4</v>
      </c>
      <c r="C23" s="60">
        <v>1.8000000000000002E-2</v>
      </c>
      <c r="D23" s="67">
        <v>3.2636291022657582E-4</v>
      </c>
      <c r="E23" s="60">
        <v>0.04</v>
      </c>
      <c r="F23" s="18">
        <v>2.87</v>
      </c>
      <c r="G23" s="72">
        <f t="shared" si="0"/>
        <v>0.12395802278330495</v>
      </c>
      <c r="H23" s="60">
        <v>0.59038528511499067</v>
      </c>
    </row>
    <row r="24" spans="1:8" x14ac:dyDescent="0.3">
      <c r="A24" s="18">
        <v>2020</v>
      </c>
      <c r="B24" s="66">
        <v>0.41</v>
      </c>
      <c r="C24" s="60">
        <v>9.0000000000000011E-3</v>
      </c>
      <c r="D24" s="67">
        <v>4.2485803517827513E-4</v>
      </c>
      <c r="E24" s="60">
        <v>5.2999999999999999E-2</v>
      </c>
      <c r="F24" s="18">
        <v>3.05</v>
      </c>
      <c r="G24" s="72">
        <f t="shared" si="0"/>
        <v>0.12268707471990191</v>
      </c>
      <c r="H24" s="60">
        <v>0.58755201689800518</v>
      </c>
    </row>
    <row r="25" spans="1:8" x14ac:dyDescent="0.3">
      <c r="A25" s="18">
        <v>2021</v>
      </c>
      <c r="B25" s="66">
        <v>0.59</v>
      </c>
      <c r="C25" s="60">
        <v>2.6000000000000002E-2</v>
      </c>
      <c r="D25" s="67">
        <v>3.8237213283939082E-4</v>
      </c>
      <c r="E25" s="60">
        <v>4.1000000000000002E-2</v>
      </c>
      <c r="F25" s="18">
        <v>3.31</v>
      </c>
      <c r="G25" s="72">
        <f t="shared" si="0"/>
        <v>0.13759375173826899</v>
      </c>
      <c r="H25" s="60">
        <v>0.59464236034392326</v>
      </c>
    </row>
    <row r="26" spans="1:8" x14ac:dyDescent="0.3">
      <c r="A26" s="18">
        <v>2022</v>
      </c>
      <c r="B26" s="66">
        <v>0.62</v>
      </c>
      <c r="C26" s="60">
        <v>9.0999999999999998E-2</v>
      </c>
      <c r="D26" s="67">
        <v>3.9735099337748344E-4</v>
      </c>
      <c r="E26" s="60">
        <v>3.7999999999999999E-2</v>
      </c>
      <c r="F26" s="18">
        <v>3.12</v>
      </c>
      <c r="G26" s="72">
        <f t="shared" si="0"/>
        <v>0.12877115526122149</v>
      </c>
      <c r="H26" s="60">
        <v>0.59698638908125079</v>
      </c>
    </row>
    <row r="27" spans="1:8" x14ac:dyDescent="0.3">
      <c r="A27" s="18">
        <v>2023</v>
      </c>
      <c r="B27" s="66">
        <v>0.56999999999999995</v>
      </c>
      <c r="C27" s="60">
        <v>7.2999999999999995E-2</v>
      </c>
      <c r="D27" s="67">
        <v>4.2917826278013771E-4</v>
      </c>
      <c r="E27" s="60">
        <v>3.9E-2</v>
      </c>
      <c r="F27" s="18">
        <v>3.23</v>
      </c>
      <c r="G27" s="72">
        <f t="shared" si="0"/>
        <v>0.14136026170815394</v>
      </c>
      <c r="H27" s="70">
        <v>0.59478824657957441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2"/>
  <sheetViews>
    <sheetView workbookViewId="0">
      <selection activeCell="K7" sqref="K7"/>
    </sheetView>
  </sheetViews>
  <sheetFormatPr defaultRowHeight="14.4" x14ac:dyDescent="0.3"/>
  <cols>
    <col min="1" max="1" width="17.5546875" bestFit="1" customWidth="1"/>
    <col min="7" max="7" width="13.33203125" customWidth="1"/>
    <col min="13" max="13" width="13.33203125" bestFit="1" customWidth="1"/>
    <col min="14" max="14" width="11.88671875" customWidth="1"/>
  </cols>
  <sheetData>
    <row r="1" spans="1:23" x14ac:dyDescent="0.3">
      <c r="A1" s="18" t="s">
        <v>272</v>
      </c>
      <c r="B1" s="18" t="s">
        <v>266</v>
      </c>
      <c r="C1" s="18" t="s">
        <v>276</v>
      </c>
      <c r="D1" s="18" t="s">
        <v>304</v>
      </c>
      <c r="E1" s="18" t="s">
        <v>277</v>
      </c>
      <c r="F1" s="18" t="s">
        <v>278</v>
      </c>
      <c r="G1" s="75" t="s">
        <v>305</v>
      </c>
      <c r="H1" s="18" t="s">
        <v>326</v>
      </c>
      <c r="L1" t="s">
        <v>72</v>
      </c>
    </row>
    <row r="2" spans="1:23" ht="15" thickBot="1" x14ac:dyDescent="0.35">
      <c r="A2" s="18">
        <v>2012</v>
      </c>
      <c r="B2" s="66">
        <v>0.47</v>
      </c>
      <c r="C2" s="60">
        <v>2.7999999999999997E-2</v>
      </c>
      <c r="D2" s="67">
        <v>2.5429706710245023E-4</v>
      </c>
      <c r="E2" s="60">
        <v>7.8E-2</v>
      </c>
      <c r="F2" s="18">
        <v>3.13</v>
      </c>
      <c r="G2" s="68">
        <v>6.7498604230897277E-2</v>
      </c>
      <c r="H2" s="60">
        <v>0.58470894520833749</v>
      </c>
    </row>
    <row r="3" spans="1:23" x14ac:dyDescent="0.3">
      <c r="A3" s="18">
        <v>2013</v>
      </c>
      <c r="B3" s="66">
        <v>0.48</v>
      </c>
      <c r="C3" s="60">
        <v>2.6000000000000002E-2</v>
      </c>
      <c r="D3" s="67">
        <v>2.1838945266299418E-4</v>
      </c>
      <c r="E3" s="60">
        <v>7.1999999999999995E-2</v>
      </c>
      <c r="F3" s="18">
        <v>3.03</v>
      </c>
      <c r="G3" s="68">
        <v>7.6124323499672256E-2</v>
      </c>
      <c r="H3" s="60">
        <v>0.58441066167975764</v>
      </c>
      <c r="L3" s="17" t="s">
        <v>73</v>
      </c>
      <c r="M3" s="17"/>
    </row>
    <row r="4" spans="1:23" x14ac:dyDescent="0.3">
      <c r="A4" s="18">
        <v>2014</v>
      </c>
      <c r="B4" s="66">
        <v>0.47</v>
      </c>
      <c r="C4" s="60">
        <v>1.4999999999999999E-2</v>
      </c>
      <c r="D4" s="67">
        <v>3.5450698821513503E-4</v>
      </c>
      <c r="E4" s="60">
        <v>5.7000000000000002E-2</v>
      </c>
      <c r="F4" s="18">
        <v>2.92</v>
      </c>
      <c r="G4" s="68">
        <v>6.842449292187322E-2</v>
      </c>
      <c r="H4" s="60">
        <v>0.58202465541025217</v>
      </c>
      <c r="L4" t="s">
        <v>74</v>
      </c>
      <c r="M4">
        <v>0.95599717960834019</v>
      </c>
    </row>
    <row r="5" spans="1:23" x14ac:dyDescent="0.3">
      <c r="A5" s="18">
        <v>2015</v>
      </c>
      <c r="B5" s="66">
        <v>0.46</v>
      </c>
      <c r="C5" s="60">
        <v>0</v>
      </c>
      <c r="D5" s="67">
        <v>2.7645506826458923E-4</v>
      </c>
      <c r="E5" s="60">
        <v>5.0999999999999997E-2</v>
      </c>
      <c r="F5" s="18">
        <v>2.86</v>
      </c>
      <c r="G5" s="68">
        <v>7.4950040729510864E-2</v>
      </c>
      <c r="H5" s="60">
        <v>0.58732364827903227</v>
      </c>
      <c r="L5" t="s">
        <v>75</v>
      </c>
      <c r="M5" s="40">
        <v>0.91393060741910104</v>
      </c>
      <c r="N5" s="43" t="s">
        <v>251</v>
      </c>
      <c r="O5" s="43"/>
      <c r="P5" s="43"/>
    </row>
    <row r="6" spans="1:23" x14ac:dyDescent="0.3">
      <c r="A6" s="18">
        <v>2016</v>
      </c>
      <c r="B6" s="66">
        <v>0.4</v>
      </c>
      <c r="C6" s="60">
        <v>6.9999999999999993E-3</v>
      </c>
      <c r="D6" s="67">
        <v>2.7875915131639285E-4</v>
      </c>
      <c r="E6" s="60">
        <v>4.8000000000000001E-2</v>
      </c>
      <c r="F6" s="18">
        <v>2.87</v>
      </c>
      <c r="G6" s="68">
        <v>8.0124215077826591E-2</v>
      </c>
      <c r="H6" s="60">
        <v>0.58508290046435951</v>
      </c>
      <c r="L6" t="s">
        <v>76</v>
      </c>
      <c r="M6">
        <v>0.81064733632202213</v>
      </c>
      <c r="N6" s="43"/>
      <c r="O6" s="43"/>
      <c r="P6" s="43"/>
    </row>
    <row r="7" spans="1:23" x14ac:dyDescent="0.3">
      <c r="A7" s="18">
        <v>2017</v>
      </c>
      <c r="B7" s="66">
        <v>0.44</v>
      </c>
      <c r="C7" s="60">
        <v>2.7000000000000003E-2</v>
      </c>
      <c r="D7" s="67">
        <v>4.0732745446249408E-4</v>
      </c>
      <c r="E7" s="60">
        <v>4.3999999999999997E-2</v>
      </c>
      <c r="F7" s="18">
        <v>2.9</v>
      </c>
      <c r="G7" s="68">
        <v>9.0096593087428983E-2</v>
      </c>
      <c r="H7" s="60">
        <v>0.58394420120573942</v>
      </c>
      <c r="L7" t="s">
        <v>71</v>
      </c>
      <c r="M7">
        <v>3.2298003623761257E-2</v>
      </c>
      <c r="N7" s="43" t="s">
        <v>176</v>
      </c>
      <c r="O7" s="13">
        <f>M7/AVERAGE(B2:B13)</f>
        <v>6.7287507549502606E-2</v>
      </c>
      <c r="P7" s="43" t="s">
        <v>287</v>
      </c>
    </row>
    <row r="8" spans="1:23" ht="15" thickBot="1" x14ac:dyDescent="0.35">
      <c r="A8" s="18">
        <v>2018</v>
      </c>
      <c r="B8" s="66">
        <v>0.45</v>
      </c>
      <c r="C8" s="60">
        <v>2.5000000000000001E-2</v>
      </c>
      <c r="D8" s="67">
        <v>3.7780979477462263E-4</v>
      </c>
      <c r="E8" s="60">
        <v>0.04</v>
      </c>
      <c r="F8" s="18">
        <v>2.89</v>
      </c>
      <c r="G8" s="68">
        <v>9.0614142013674417E-2</v>
      </c>
      <c r="H8" s="60">
        <v>0.58852985354652931</v>
      </c>
      <c r="L8" s="15" t="s">
        <v>77</v>
      </c>
      <c r="M8" s="15">
        <v>12</v>
      </c>
    </row>
    <row r="9" spans="1:23" x14ac:dyDescent="0.3">
      <c r="A9" s="18">
        <v>2019</v>
      </c>
      <c r="B9" s="66">
        <v>0.4</v>
      </c>
      <c r="C9" s="60">
        <v>1.8000000000000002E-2</v>
      </c>
      <c r="D9" s="67">
        <v>3.2636291022657582E-4</v>
      </c>
      <c r="E9" s="60">
        <v>0.04</v>
      </c>
      <c r="F9" s="18">
        <v>2.87</v>
      </c>
      <c r="G9" s="68">
        <v>0.12395802278330495</v>
      </c>
      <c r="H9" s="60">
        <v>0.59038528511499067</v>
      </c>
    </row>
    <row r="10" spans="1:23" ht="15" thickBot="1" x14ac:dyDescent="0.35">
      <c r="A10" s="18">
        <v>2020</v>
      </c>
      <c r="B10" s="66">
        <v>0.41</v>
      </c>
      <c r="C10" s="60">
        <v>9.0000000000000011E-3</v>
      </c>
      <c r="D10" s="67">
        <v>4.2485803517827513E-4</v>
      </c>
      <c r="E10" s="60">
        <v>5.2999999999999999E-2</v>
      </c>
      <c r="F10" s="18">
        <v>3.05</v>
      </c>
      <c r="G10" s="68">
        <v>0.12268707471990191</v>
      </c>
      <c r="H10" s="60">
        <v>0.58755201689800518</v>
      </c>
      <c r="L10" t="s">
        <v>78</v>
      </c>
    </row>
    <row r="11" spans="1:23" x14ac:dyDescent="0.3">
      <c r="A11" s="18">
        <v>2021</v>
      </c>
      <c r="B11" s="66">
        <v>0.59</v>
      </c>
      <c r="C11" s="60">
        <v>2.6000000000000002E-2</v>
      </c>
      <c r="D11" s="67">
        <v>3.8237213283939082E-4</v>
      </c>
      <c r="E11" s="60">
        <v>4.1000000000000002E-2</v>
      </c>
      <c r="F11" s="18">
        <v>3.31</v>
      </c>
      <c r="G11" s="68">
        <v>0.13759375173826899</v>
      </c>
      <c r="H11" s="60">
        <v>0.59464236034392326</v>
      </c>
      <c r="L11" s="16"/>
      <c r="M11" s="16" t="s">
        <v>83</v>
      </c>
      <c r="N11" s="16" t="s">
        <v>84</v>
      </c>
      <c r="O11" s="16" t="s">
        <v>85</v>
      </c>
      <c r="P11" s="16" t="s">
        <v>86</v>
      </c>
      <c r="Q11" s="16" t="s">
        <v>87</v>
      </c>
    </row>
    <row r="12" spans="1:23" x14ac:dyDescent="0.3">
      <c r="A12" s="18">
        <v>2022</v>
      </c>
      <c r="B12" s="66">
        <v>0.62</v>
      </c>
      <c r="C12" s="60">
        <v>9.0999999999999998E-2</v>
      </c>
      <c r="D12" s="67">
        <v>3.9735099337748344E-4</v>
      </c>
      <c r="E12" s="60">
        <v>3.7999999999999999E-2</v>
      </c>
      <c r="F12" s="18">
        <v>3.12</v>
      </c>
      <c r="G12" s="68">
        <v>0.12877115526122149</v>
      </c>
      <c r="H12" s="60">
        <v>0.59698638908125079</v>
      </c>
      <c r="L12" t="s">
        <v>79</v>
      </c>
      <c r="M12">
        <v>6</v>
      </c>
      <c r="N12">
        <v>5.5384194809597498E-2</v>
      </c>
      <c r="O12">
        <v>9.2306991349329157E-3</v>
      </c>
      <c r="P12">
        <v>8.8487767448812935</v>
      </c>
      <c r="Q12">
        <v>1.5080884394450331E-2</v>
      </c>
    </row>
    <row r="13" spans="1:23" x14ac:dyDescent="0.3">
      <c r="A13" s="18">
        <v>2023</v>
      </c>
      <c r="B13" s="66">
        <v>0.56999999999999995</v>
      </c>
      <c r="C13" s="60">
        <v>7.2999999999999995E-2</v>
      </c>
      <c r="D13" s="67">
        <v>4.2917826278013771E-4</v>
      </c>
      <c r="E13" s="60">
        <v>3.9E-2</v>
      </c>
      <c r="F13" s="18">
        <v>3.23</v>
      </c>
      <c r="G13" s="69">
        <v>0.14136026170815394</v>
      </c>
      <c r="H13" s="70">
        <v>0.59478824657957441</v>
      </c>
      <c r="L13" t="s">
        <v>80</v>
      </c>
      <c r="M13">
        <v>5</v>
      </c>
      <c r="N13">
        <v>5.2158051904024763E-3</v>
      </c>
      <c r="O13">
        <v>1.0431610380804953E-3</v>
      </c>
    </row>
    <row r="14" spans="1:23" ht="15" thickBot="1" x14ac:dyDescent="0.35">
      <c r="L14" s="15" t="s">
        <v>81</v>
      </c>
      <c r="M14" s="15">
        <v>11</v>
      </c>
      <c r="N14" s="15">
        <v>6.0599999999999973E-2</v>
      </c>
      <c r="O14" s="15"/>
      <c r="P14" s="15"/>
      <c r="Q14" s="15"/>
    </row>
    <row r="15" spans="1:23" ht="15" thickBot="1" x14ac:dyDescent="0.35">
      <c r="A15" t="s">
        <v>110</v>
      </c>
      <c r="D15" t="s">
        <v>104</v>
      </c>
    </row>
    <row r="16" spans="1:23" x14ac:dyDescent="0.3">
      <c r="A16">
        <f t="array" ref="A16:B20">LINEST(B2:B13,A2:A13,1,1)</f>
        <v>1.0349650349650351E-2</v>
      </c>
      <c r="B16">
        <v>-20.40041958041958</v>
      </c>
      <c r="D16" t="s">
        <v>111</v>
      </c>
      <c r="E16" t="s">
        <v>118</v>
      </c>
      <c r="G16" s="32"/>
      <c r="L16" s="16"/>
      <c r="M16" s="16" t="s">
        <v>88</v>
      </c>
      <c r="N16" s="16" t="s">
        <v>71</v>
      </c>
      <c r="O16" s="16" t="s">
        <v>89</v>
      </c>
      <c r="P16" s="16" t="s">
        <v>90</v>
      </c>
      <c r="Q16" s="16" t="s">
        <v>91</v>
      </c>
      <c r="R16" s="16" t="s">
        <v>92</v>
      </c>
      <c r="S16" s="16" t="s">
        <v>93</v>
      </c>
      <c r="T16" s="16" t="s">
        <v>94</v>
      </c>
      <c r="V16" s="18" t="s">
        <v>311</v>
      </c>
      <c r="W16" s="91" t="s">
        <v>90</v>
      </c>
    </row>
    <row r="17" spans="1:23" x14ac:dyDescent="0.3">
      <c r="A17">
        <v>5.6272636460024342E-3</v>
      </c>
      <c r="B17">
        <v>11.353021024936561</v>
      </c>
      <c r="K17" t="s">
        <v>207</v>
      </c>
      <c r="L17" t="s">
        <v>82</v>
      </c>
      <c r="M17" s="40">
        <v>-4.8255316034822728</v>
      </c>
      <c r="N17">
        <v>4.3220914870224414</v>
      </c>
      <c r="O17">
        <v>-1.1164806709833575</v>
      </c>
      <c r="P17" s="40">
        <v>0.31497694252543745</v>
      </c>
      <c r="Q17">
        <v>-15.93582147198051</v>
      </c>
      <c r="R17">
        <v>6.2847582650159657</v>
      </c>
      <c r="S17">
        <v>-15.93582147198051</v>
      </c>
      <c r="T17">
        <v>6.2847582650159657</v>
      </c>
      <c r="V17" s="18" t="s">
        <v>207</v>
      </c>
      <c r="W17" s="92">
        <v>0.31497694252543745</v>
      </c>
    </row>
    <row r="18" spans="1:23" x14ac:dyDescent="0.3">
      <c r="A18">
        <v>0.25276373791225271</v>
      </c>
      <c r="B18">
        <v>6.729228594907255E-2</v>
      </c>
      <c r="K18" t="s">
        <v>172</v>
      </c>
      <c r="L18" t="s">
        <v>267</v>
      </c>
      <c r="M18" s="40">
        <v>0.88311446598282861</v>
      </c>
      <c r="N18">
        <v>0.61424780303024373</v>
      </c>
      <c r="O18">
        <v>1.437716930571336</v>
      </c>
      <c r="P18" s="40">
        <v>0.21002626294353346</v>
      </c>
      <c r="Q18">
        <v>-0.69585977906622898</v>
      </c>
      <c r="R18">
        <v>2.4620887110318863</v>
      </c>
      <c r="S18">
        <v>-0.69585977906622898</v>
      </c>
      <c r="T18">
        <v>2.4620887110318863</v>
      </c>
      <c r="V18" s="18" t="s">
        <v>172</v>
      </c>
      <c r="W18" s="92">
        <v>0.21002626294353346</v>
      </c>
    </row>
    <row r="19" spans="1:23" x14ac:dyDescent="0.3">
      <c r="A19">
        <v>3.382648176174444</v>
      </c>
      <c r="B19">
        <v>10</v>
      </c>
      <c r="K19" t="s">
        <v>177</v>
      </c>
      <c r="L19" t="s">
        <v>303</v>
      </c>
      <c r="M19" s="40">
        <v>3.1453076581582717</v>
      </c>
      <c r="N19">
        <v>302.68261503839034</v>
      </c>
      <c r="O19">
        <v>1.0391438100134496E-2</v>
      </c>
      <c r="P19" s="40">
        <v>0.99211085153707268</v>
      </c>
      <c r="Q19">
        <v>-774.92512452242727</v>
      </c>
      <c r="R19">
        <v>781.21573983874373</v>
      </c>
      <c r="S19">
        <v>-774.92512452242727</v>
      </c>
      <c r="T19">
        <v>781.21573983874373</v>
      </c>
      <c r="V19" s="18" t="s">
        <v>177</v>
      </c>
      <c r="W19" s="92">
        <v>0.99211085153707268</v>
      </c>
    </row>
    <row r="20" spans="1:23" x14ac:dyDescent="0.3">
      <c r="A20">
        <v>1.5317482517482509E-2</v>
      </c>
      <c r="B20">
        <v>4.5282517482517465E-2</v>
      </c>
      <c r="K20" t="s">
        <v>189</v>
      </c>
      <c r="L20" t="s">
        <v>269</v>
      </c>
      <c r="M20" s="40">
        <v>-2.285287713964022</v>
      </c>
      <c r="N20">
        <v>2.1977220219878206</v>
      </c>
      <c r="O20">
        <v>-1.0398438433523995</v>
      </c>
      <c r="P20" s="40">
        <v>0.34605881728808874</v>
      </c>
      <c r="Q20">
        <v>-7.9347120234638275</v>
      </c>
      <c r="R20">
        <v>3.364136595535784</v>
      </c>
      <c r="S20">
        <v>-7.9347120234638275</v>
      </c>
      <c r="T20">
        <v>3.364136595535784</v>
      </c>
      <c r="V20" s="18" t="s">
        <v>189</v>
      </c>
      <c r="W20" s="92">
        <v>0.34605881728808874</v>
      </c>
    </row>
    <row r="21" spans="1:23" x14ac:dyDescent="0.3">
      <c r="K21" t="s">
        <v>307</v>
      </c>
      <c r="L21" t="s">
        <v>270</v>
      </c>
      <c r="M21" s="40">
        <v>0.38107186522199965</v>
      </c>
      <c r="N21">
        <v>0.14199992817016258</v>
      </c>
      <c r="O21">
        <v>2.6836060421477841</v>
      </c>
      <c r="P21" s="40">
        <v>4.3631299857900596E-2</v>
      </c>
      <c r="Q21">
        <v>1.6049429206118238E-2</v>
      </c>
      <c r="R21">
        <v>0.74609430123788112</v>
      </c>
      <c r="S21">
        <v>1.6049429206118238E-2</v>
      </c>
      <c r="T21">
        <v>0.74609430123788112</v>
      </c>
      <c r="V21" s="18" t="s">
        <v>307</v>
      </c>
      <c r="W21" s="92">
        <v>4.3631299857900596E-2</v>
      </c>
    </row>
    <row r="22" spans="1:23" x14ac:dyDescent="0.3">
      <c r="D22" t="s">
        <v>105</v>
      </c>
      <c r="K22" t="s">
        <v>308</v>
      </c>
      <c r="L22" t="s">
        <v>302</v>
      </c>
      <c r="M22" s="40">
        <v>-2.1999566472594725</v>
      </c>
      <c r="N22">
        <v>0.99428311336354469</v>
      </c>
      <c r="O22">
        <v>-2.2126058641560085</v>
      </c>
      <c r="P22" s="40">
        <v>7.7848826556992781E-2</v>
      </c>
      <c r="Q22">
        <v>-4.755842757951724</v>
      </c>
      <c r="R22">
        <v>0.35592946343277854</v>
      </c>
      <c r="S22">
        <v>-4.755842757951724</v>
      </c>
      <c r="T22">
        <v>0.35592946343277854</v>
      </c>
      <c r="V22" s="18" t="s">
        <v>308</v>
      </c>
      <c r="W22" s="92">
        <v>7.7848826556992781E-2</v>
      </c>
    </row>
    <row r="23" spans="1:23" ht="15" thickBot="1" x14ac:dyDescent="0.35">
      <c r="A23">
        <f t="array" ref="A23:B27">LINEST(C2:C13,A2:A13,1,1)</f>
        <v>4.311188811188812E-3</v>
      </c>
      <c r="B23">
        <v>-8.6690734265734282</v>
      </c>
      <c r="D23" t="s">
        <v>111</v>
      </c>
      <c r="E23" t="s">
        <v>112</v>
      </c>
      <c r="K23" t="s">
        <v>309</v>
      </c>
      <c r="L23" s="15" t="s">
        <v>327</v>
      </c>
      <c r="M23" s="50">
        <v>7.5887983249854019</v>
      </c>
      <c r="N23" s="15">
        <v>7.5878608056568293</v>
      </c>
      <c r="O23" s="15">
        <v>1.0001235551563985</v>
      </c>
      <c r="P23" s="50">
        <v>0.36316318585924262</v>
      </c>
      <c r="Q23" s="15">
        <v>-11.916418833372781</v>
      </c>
      <c r="R23" s="15">
        <v>27.094015483343583</v>
      </c>
      <c r="S23" s="15">
        <v>-11.916418833372781</v>
      </c>
      <c r="T23" s="15">
        <v>27.094015483343583</v>
      </c>
      <c r="V23" s="18" t="s">
        <v>309</v>
      </c>
      <c r="W23" s="92">
        <v>0.36316318585924262</v>
      </c>
    </row>
    <row r="24" spans="1:23" x14ac:dyDescent="0.3">
      <c r="A24">
        <v>1.9073655719621142E-3</v>
      </c>
      <c r="B24">
        <v>3.8481156745000078</v>
      </c>
      <c r="P24" s="43" t="s">
        <v>310</v>
      </c>
    </row>
    <row r="25" spans="1:23" x14ac:dyDescent="0.3">
      <c r="A25">
        <v>0.33813783303303363</v>
      </c>
      <c r="B25">
        <v>2.280877484193769E-2</v>
      </c>
      <c r="L25" s="43" t="s">
        <v>274</v>
      </c>
    </row>
    <row r="26" spans="1:23" x14ac:dyDescent="0.3">
      <c r="A26">
        <v>5.10888595706529</v>
      </c>
      <c r="B26">
        <v>10</v>
      </c>
      <c r="L26" s="43" t="s">
        <v>275</v>
      </c>
    </row>
    <row r="27" spans="1:23" x14ac:dyDescent="0.3">
      <c r="A27">
        <v>2.657847902097903E-3</v>
      </c>
      <c r="B27">
        <v>5.202402097902098E-3</v>
      </c>
    </row>
    <row r="29" spans="1:23" x14ac:dyDescent="0.3">
      <c r="D29" t="s">
        <v>106</v>
      </c>
      <c r="L29" s="31"/>
      <c r="M29" s="31"/>
      <c r="N29" s="31"/>
    </row>
    <row r="30" spans="1:23" x14ac:dyDescent="0.3">
      <c r="A30" s="33">
        <f t="array" ref="A30:B34">LINEST(D2:D13,A2:A13,1,1)</f>
        <v>1.6030459730300219E-5</v>
      </c>
      <c r="B30">
        <v>-3.1997480229947313E-2</v>
      </c>
      <c r="D30" t="s">
        <v>111</v>
      </c>
      <c r="E30" t="s">
        <v>113</v>
      </c>
    </row>
    <row r="31" spans="1:23" x14ac:dyDescent="0.3">
      <c r="A31">
        <v>3.7005788730070762E-6</v>
      </c>
      <c r="B31">
        <v>7.465928805296145E-3</v>
      </c>
    </row>
    <row r="32" spans="1:23" x14ac:dyDescent="0.3">
      <c r="A32">
        <v>0.65235741095467159</v>
      </c>
      <c r="B32">
        <v>4.4252487063830934E-5</v>
      </c>
    </row>
    <row r="33" spans="1:5" x14ac:dyDescent="0.3">
      <c r="A33">
        <v>18.765175255026413</v>
      </c>
      <c r="B33">
        <v>10</v>
      </c>
    </row>
    <row r="34" spans="1:5" x14ac:dyDescent="0.3">
      <c r="A34">
        <v>3.6747516400563122E-8</v>
      </c>
      <c r="B34">
        <v>1.9582826113345242E-8</v>
      </c>
    </row>
    <row r="36" spans="1:5" x14ac:dyDescent="0.3">
      <c r="D36" t="s">
        <v>107</v>
      </c>
    </row>
    <row r="37" spans="1:5" x14ac:dyDescent="0.3">
      <c r="A37">
        <f t="array" ref="A37:B41">LINEST(E2:E13,A2:A13,1,1)</f>
        <v>-3.0244755244755251E-3</v>
      </c>
      <c r="B37">
        <v>6.1519627039627052</v>
      </c>
      <c r="D37" t="s">
        <v>111</v>
      </c>
      <c r="E37" s="32" t="s">
        <v>114</v>
      </c>
    </row>
    <row r="38" spans="1:5" x14ac:dyDescent="0.3">
      <c r="A38">
        <v>6.5035278340975296E-4</v>
      </c>
      <c r="B38">
        <v>1.3120886612309519</v>
      </c>
    </row>
    <row r="39" spans="1:5" x14ac:dyDescent="0.3">
      <c r="A39">
        <v>0.68381738061546371</v>
      </c>
      <c r="B39">
        <v>7.7770881590155747E-3</v>
      </c>
    </row>
    <row r="40" spans="1:5" x14ac:dyDescent="0.3">
      <c r="A40">
        <v>21.627291909547242</v>
      </c>
      <c r="B40">
        <v>10</v>
      </c>
    </row>
    <row r="41" spans="1:5" x14ac:dyDescent="0.3">
      <c r="A41">
        <v>1.3080856643356642E-3</v>
      </c>
      <c r="B41">
        <v>6.0483100233100259E-4</v>
      </c>
    </row>
    <row r="43" spans="1:5" x14ac:dyDescent="0.3">
      <c r="D43" t="s">
        <v>99</v>
      </c>
    </row>
    <row r="44" spans="1:5" x14ac:dyDescent="0.3">
      <c r="A44">
        <f t="array" ref="A44:B48">LINEST(F2:F13,A2:A13,1,1)</f>
        <v>1.9510489510489528E-2</v>
      </c>
      <c r="B44">
        <v>-36.34741258741262</v>
      </c>
      <c r="D44" t="s">
        <v>111</v>
      </c>
      <c r="E44" t="s">
        <v>115</v>
      </c>
    </row>
    <row r="45" spans="1:5" x14ac:dyDescent="0.3">
      <c r="A45">
        <v>1.2073948556800367E-2</v>
      </c>
      <c r="B45">
        <v>24.359226871613636</v>
      </c>
    </row>
    <row r="46" spans="1:5" x14ac:dyDescent="0.3">
      <c r="A46">
        <v>0.20705312184962285</v>
      </c>
      <c r="B46">
        <v>0.14438342504101159</v>
      </c>
    </row>
    <row r="47" spans="1:5" x14ac:dyDescent="0.3">
      <c r="A47">
        <v>2.6111852830872309</v>
      </c>
      <c r="B47">
        <v>10</v>
      </c>
    </row>
    <row r="48" spans="1:5" x14ac:dyDescent="0.3">
      <c r="A48">
        <v>5.4434265734265852E-2</v>
      </c>
      <c r="B48">
        <v>0.20846573426573417</v>
      </c>
    </row>
    <row r="50" spans="1:5" x14ac:dyDescent="0.3">
      <c r="D50" t="s">
        <v>108</v>
      </c>
    </row>
    <row r="51" spans="1:5" x14ac:dyDescent="0.3">
      <c r="A51" s="34">
        <f t="array" ref="A51:B55">LINEST(G2:G13,A2:A13,1,1)</f>
        <v>7.4866736776684345E-3</v>
      </c>
      <c r="B51">
        <v>-15.004180588215089</v>
      </c>
      <c r="D51" t="s">
        <v>111</v>
      </c>
      <c r="E51" t="s">
        <v>116</v>
      </c>
    </row>
    <row r="52" spans="1:5" x14ac:dyDescent="0.3">
      <c r="A52">
        <v>7.7412555920356081E-4</v>
      </c>
      <c r="B52">
        <v>1.5618006019359336</v>
      </c>
    </row>
    <row r="53" spans="1:5" x14ac:dyDescent="0.3">
      <c r="A53">
        <v>0.90341045546929832</v>
      </c>
      <c r="B53">
        <v>9.2571952848553574E-3</v>
      </c>
    </row>
    <row r="54" spans="1:5" x14ac:dyDescent="0.3">
      <c r="A54">
        <v>93.530874367270911</v>
      </c>
      <c r="B54">
        <v>10</v>
      </c>
    </row>
    <row r="55" spans="1:5" x14ac:dyDescent="0.3">
      <c r="A55">
        <v>8.0151904340927567E-3</v>
      </c>
      <c r="B55">
        <v>8.569566454194827E-4</v>
      </c>
    </row>
    <row r="57" spans="1:5" x14ac:dyDescent="0.3">
      <c r="D57" t="s">
        <v>109</v>
      </c>
    </row>
    <row r="58" spans="1:5" x14ac:dyDescent="0.3">
      <c r="A58">
        <f t="array" ref="A58:B62">LINEST(H2:H13,A2:A13,1,1)</f>
        <v>1.1678756839870279E-3</v>
      </c>
      <c r="B58">
        <v>-1.767824262126183</v>
      </c>
      <c r="D58" t="s">
        <v>111</v>
      </c>
      <c r="E58" t="s">
        <v>117</v>
      </c>
    </row>
    <row r="59" spans="1:5" x14ac:dyDescent="0.3">
      <c r="A59">
        <v>2.1372882149051279E-4</v>
      </c>
      <c r="B59">
        <v>0.43119852856733476</v>
      </c>
    </row>
    <row r="60" spans="1:5" x14ac:dyDescent="0.3">
      <c r="A60">
        <v>0.74911208036529742</v>
      </c>
      <c r="B60">
        <v>2.5558249756993255E-3</v>
      </c>
    </row>
    <row r="61" spans="1:5" x14ac:dyDescent="0.3">
      <c r="A61">
        <v>29.858435649513066</v>
      </c>
      <c r="B61">
        <v>10</v>
      </c>
    </row>
    <row r="62" spans="1:5" x14ac:dyDescent="0.3">
      <c r="A62">
        <v>1.9504250669448808E-4</v>
      </c>
      <c r="B62">
        <v>6.5322413064084574E-5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1"/>
  <sheetViews>
    <sheetView workbookViewId="0">
      <selection activeCell="I17" sqref="I17"/>
    </sheetView>
  </sheetViews>
  <sheetFormatPr defaultRowHeight="14.4" x14ac:dyDescent="0.3"/>
  <cols>
    <col min="1" max="1" width="17.5546875" bestFit="1" customWidth="1"/>
    <col min="7" max="7" width="13.33203125" customWidth="1"/>
    <col min="8" max="8" width="11" customWidth="1"/>
    <col min="14" max="14" width="11.88671875" customWidth="1"/>
  </cols>
  <sheetData>
    <row r="1" spans="1:20" x14ac:dyDescent="0.3">
      <c r="A1" s="18" t="s">
        <v>171</v>
      </c>
      <c r="B1" s="18" t="s">
        <v>272</v>
      </c>
      <c r="C1" s="18" t="s">
        <v>266</v>
      </c>
      <c r="D1" s="18" t="s">
        <v>267</v>
      </c>
      <c r="E1" s="18" t="s">
        <v>306</v>
      </c>
      <c r="F1" s="18" t="s">
        <v>269</v>
      </c>
      <c r="G1" s="18" t="s">
        <v>270</v>
      </c>
      <c r="H1" s="75" t="s">
        <v>302</v>
      </c>
      <c r="I1" s="18" t="s">
        <v>327</v>
      </c>
    </row>
    <row r="2" spans="1:20" x14ac:dyDescent="0.3">
      <c r="A2" s="18">
        <v>1</v>
      </c>
      <c r="B2" s="18">
        <v>2012</v>
      </c>
      <c r="C2" s="66">
        <v>0.47</v>
      </c>
      <c r="D2" s="60">
        <v>2.7999999999999997E-2</v>
      </c>
      <c r="E2" s="67">
        <v>2.5429706710245023E-4</v>
      </c>
      <c r="F2" s="60">
        <v>7.8E-2</v>
      </c>
      <c r="G2" s="18">
        <v>3.13</v>
      </c>
      <c r="H2" s="68">
        <v>6.7498604230897275E-6</v>
      </c>
      <c r="I2" s="60">
        <v>0.58470894520833749</v>
      </c>
    </row>
    <row r="3" spans="1:20" x14ac:dyDescent="0.3">
      <c r="A3" s="18">
        <v>2</v>
      </c>
      <c r="B3" s="18">
        <v>2013</v>
      </c>
      <c r="C3" s="66">
        <v>0.48</v>
      </c>
      <c r="D3" s="60">
        <v>2.6000000000000002E-2</v>
      </c>
      <c r="E3" s="67">
        <v>2.1838945266299418E-4</v>
      </c>
      <c r="F3" s="60">
        <v>7.1999999999999995E-2</v>
      </c>
      <c r="G3" s="18">
        <v>3.03</v>
      </c>
      <c r="H3" s="68">
        <v>7.6124323499672257E-6</v>
      </c>
      <c r="I3" s="60">
        <v>0.58441066167975764</v>
      </c>
      <c r="L3" s="30"/>
      <c r="M3" s="30"/>
    </row>
    <row r="4" spans="1:20" x14ac:dyDescent="0.3">
      <c r="A4" s="18">
        <v>3</v>
      </c>
      <c r="B4" s="18">
        <v>2014</v>
      </c>
      <c r="C4" s="66">
        <v>0.47</v>
      </c>
      <c r="D4" s="60">
        <v>1.4999999999999999E-2</v>
      </c>
      <c r="E4" s="67">
        <v>3.5450698821513503E-4</v>
      </c>
      <c r="F4" s="60">
        <v>5.7000000000000002E-2</v>
      </c>
      <c r="G4" s="18">
        <v>2.92</v>
      </c>
      <c r="H4" s="68">
        <v>6.8424492921873226E-6</v>
      </c>
      <c r="I4" s="60">
        <v>0.58202465541025217</v>
      </c>
    </row>
    <row r="5" spans="1:20" x14ac:dyDescent="0.3">
      <c r="A5" s="18">
        <v>4</v>
      </c>
      <c r="B5" s="18">
        <v>2015</v>
      </c>
      <c r="C5" s="66">
        <v>0.46</v>
      </c>
      <c r="D5" s="60">
        <v>0</v>
      </c>
      <c r="E5" s="67">
        <v>2.7645506826458923E-4</v>
      </c>
      <c r="F5" s="60">
        <v>5.0999999999999997E-2</v>
      </c>
      <c r="G5" s="18">
        <v>2.86</v>
      </c>
      <c r="H5" s="68">
        <v>7.4950040729510865E-6</v>
      </c>
      <c r="I5" s="60">
        <v>0.58732364827903227</v>
      </c>
    </row>
    <row r="6" spans="1:20" x14ac:dyDescent="0.3">
      <c r="A6" s="18">
        <v>5</v>
      </c>
      <c r="B6" s="18">
        <v>2016</v>
      </c>
      <c r="C6" s="66">
        <v>0.4</v>
      </c>
      <c r="D6" s="60">
        <v>6.9999999999999993E-3</v>
      </c>
      <c r="E6" s="67">
        <v>2.7875915131639285E-4</v>
      </c>
      <c r="F6" s="60">
        <v>4.8000000000000001E-2</v>
      </c>
      <c r="G6" s="18">
        <v>2.87</v>
      </c>
      <c r="H6" s="68">
        <v>8.0124215077826592E-6</v>
      </c>
      <c r="I6" s="60">
        <v>0.58508290046435951</v>
      </c>
    </row>
    <row r="7" spans="1:20" x14ac:dyDescent="0.3">
      <c r="A7" s="18">
        <v>6</v>
      </c>
      <c r="B7" s="18">
        <v>2017</v>
      </c>
      <c r="C7" s="66">
        <v>0.44</v>
      </c>
      <c r="D7" s="60">
        <v>2.7000000000000003E-2</v>
      </c>
      <c r="E7" s="67">
        <v>4.0732745446249408E-4</v>
      </c>
      <c r="F7" s="60">
        <v>4.3999999999999997E-2</v>
      </c>
      <c r="G7" s="18">
        <v>2.9</v>
      </c>
      <c r="H7" s="68">
        <v>9.0096593087428984E-6</v>
      </c>
      <c r="I7" s="60">
        <v>0.58394420120573942</v>
      </c>
    </row>
    <row r="8" spans="1:20" x14ac:dyDescent="0.3">
      <c r="A8" s="18">
        <v>7</v>
      </c>
      <c r="B8" s="18">
        <v>2018</v>
      </c>
      <c r="C8" s="66">
        <v>0.45</v>
      </c>
      <c r="D8" s="60">
        <v>2.5000000000000001E-2</v>
      </c>
      <c r="E8" s="67">
        <v>3.7780979477462263E-4</v>
      </c>
      <c r="F8" s="60">
        <v>0.04</v>
      </c>
      <c r="G8" s="18">
        <v>2.89</v>
      </c>
      <c r="H8" s="68">
        <v>9.0614142013674424E-6</v>
      </c>
      <c r="I8" s="60">
        <v>0.58852985354652931</v>
      </c>
    </row>
    <row r="9" spans="1:20" x14ac:dyDescent="0.3">
      <c r="A9" s="18">
        <v>8</v>
      </c>
      <c r="B9" s="18">
        <v>2019</v>
      </c>
      <c r="C9" s="66">
        <v>0.4</v>
      </c>
      <c r="D9" s="60">
        <v>1.8000000000000002E-2</v>
      </c>
      <c r="E9" s="67">
        <v>3.2636291022657582E-4</v>
      </c>
      <c r="F9" s="60">
        <v>0.04</v>
      </c>
      <c r="G9" s="18">
        <v>2.87</v>
      </c>
      <c r="H9" s="68">
        <v>1.2395802278330494E-5</v>
      </c>
      <c r="I9" s="60">
        <v>0.59038528511499067</v>
      </c>
    </row>
    <row r="10" spans="1:20" x14ac:dyDescent="0.3">
      <c r="A10" s="18">
        <v>9</v>
      </c>
      <c r="B10" s="18">
        <v>2020</v>
      </c>
      <c r="C10" s="66">
        <v>0.41</v>
      </c>
      <c r="D10" s="60">
        <v>9.0000000000000011E-3</v>
      </c>
      <c r="E10" s="67">
        <v>4.2485803517827513E-4</v>
      </c>
      <c r="F10" s="60">
        <v>5.2999999999999999E-2</v>
      </c>
      <c r="G10" s="18">
        <v>3.05</v>
      </c>
      <c r="H10" s="68">
        <v>1.2268707471990191E-5</v>
      </c>
      <c r="I10" s="60">
        <v>0.58755201689800518</v>
      </c>
    </row>
    <row r="11" spans="1:20" x14ac:dyDescent="0.3">
      <c r="A11" s="18">
        <v>10</v>
      </c>
      <c r="B11" s="18">
        <v>2021</v>
      </c>
      <c r="C11" s="66">
        <v>0.59</v>
      </c>
      <c r="D11" s="60">
        <v>2.6000000000000002E-2</v>
      </c>
      <c r="E11" s="67">
        <v>3.8237213283939082E-4</v>
      </c>
      <c r="F11" s="60">
        <v>4.1000000000000002E-2</v>
      </c>
      <c r="G11" s="18">
        <v>3.31</v>
      </c>
      <c r="H11" s="68">
        <v>1.3759375173826898E-5</v>
      </c>
      <c r="I11" s="60">
        <v>0.59464236034392326</v>
      </c>
      <c r="L11" s="31"/>
      <c r="M11" s="31"/>
      <c r="N11" s="31"/>
      <c r="O11" s="31"/>
      <c r="P11" s="31"/>
      <c r="Q11" s="31"/>
    </row>
    <row r="12" spans="1:20" x14ac:dyDescent="0.3">
      <c r="A12" s="18">
        <v>11</v>
      </c>
      <c r="B12" s="18">
        <v>2022</v>
      </c>
      <c r="C12" s="66">
        <v>0.62</v>
      </c>
      <c r="D12" s="60">
        <v>9.0999999999999998E-2</v>
      </c>
      <c r="E12" s="67">
        <v>3.9735099337748344E-4</v>
      </c>
      <c r="F12" s="60">
        <v>3.7999999999999999E-2</v>
      </c>
      <c r="G12" s="18">
        <v>3.12</v>
      </c>
      <c r="H12" s="68">
        <v>1.2877115526122149E-5</v>
      </c>
      <c r="I12" s="60">
        <v>0.59698638908125079</v>
      </c>
    </row>
    <row r="13" spans="1:20" x14ac:dyDescent="0.3">
      <c r="A13" s="18">
        <v>12</v>
      </c>
      <c r="B13" s="18">
        <v>2023</v>
      </c>
      <c r="C13" s="66">
        <v>0.56999999999999995</v>
      </c>
      <c r="D13" s="60">
        <v>7.2999999999999995E-2</v>
      </c>
      <c r="E13" s="67">
        <v>4.2917826278013771E-4</v>
      </c>
      <c r="F13" s="60">
        <v>3.9E-2</v>
      </c>
      <c r="G13" s="18">
        <v>3.23</v>
      </c>
      <c r="H13" s="69">
        <v>1.4136026170815394E-5</v>
      </c>
      <c r="I13" s="70">
        <v>0.59478824657957441</v>
      </c>
    </row>
    <row r="16" spans="1:20" x14ac:dyDescent="0.3">
      <c r="G16" s="32"/>
      <c r="L16" s="31"/>
      <c r="M16" s="31"/>
      <c r="N16" s="31"/>
      <c r="O16" s="31"/>
      <c r="P16" s="31"/>
      <c r="Q16" s="31"/>
      <c r="R16" s="31"/>
      <c r="S16" s="31"/>
      <c r="T16" s="31"/>
    </row>
    <row r="29" spans="1:14" x14ac:dyDescent="0.3">
      <c r="L29" s="31"/>
      <c r="M29" s="31"/>
      <c r="N29" s="31"/>
    </row>
    <row r="30" spans="1:14" x14ac:dyDescent="0.3">
      <c r="A30" s="33"/>
    </row>
    <row r="37" spans="5:5" x14ac:dyDescent="0.3">
      <c r="E37" s="32"/>
    </row>
    <row r="51" spans="1:1" x14ac:dyDescent="0.3">
      <c r="A51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37"/>
  <sheetViews>
    <sheetView topLeftCell="A25" zoomScale="107" zoomScaleNormal="130" zoomScaleSheetLayoutView="100" workbookViewId="0">
      <selection activeCell="A36" sqref="A36"/>
    </sheetView>
  </sheetViews>
  <sheetFormatPr defaultRowHeight="14.4" x14ac:dyDescent="0.3"/>
  <cols>
    <col min="1" max="1" width="6.6640625" customWidth="1"/>
    <col min="3" max="3" width="14.88671875" customWidth="1"/>
    <col min="4" max="4" width="10.33203125" customWidth="1"/>
    <col min="5" max="6" width="11" customWidth="1"/>
    <col min="7" max="7" width="12.6640625" customWidth="1"/>
    <col min="8" max="8" width="19.88671875" customWidth="1"/>
    <col min="9" max="9" width="13.5546875" bestFit="1" customWidth="1"/>
    <col min="10" max="10" width="15.109375" customWidth="1"/>
    <col min="11" max="11" width="11.44140625" bestFit="1" customWidth="1"/>
    <col min="12" max="12" width="10.44140625" bestFit="1" customWidth="1"/>
    <col min="13" max="16" width="13.5546875" bestFit="1" customWidth="1"/>
  </cols>
  <sheetData>
    <row r="1" spans="1:16" x14ac:dyDescent="0.3">
      <c r="A1" s="43" t="s">
        <v>316</v>
      </c>
      <c r="C1" s="18" t="s">
        <v>266</v>
      </c>
      <c r="D1" s="57" t="s">
        <v>171</v>
      </c>
      <c r="E1" s="58" t="s">
        <v>173</v>
      </c>
    </row>
    <row r="2" spans="1:16" x14ac:dyDescent="0.3">
      <c r="C2" s="66">
        <v>0.47</v>
      </c>
      <c r="D2" s="18">
        <v>1</v>
      </c>
      <c r="E2" s="59">
        <f>1/D2</f>
        <v>1</v>
      </c>
    </row>
    <row r="3" spans="1:16" x14ac:dyDescent="0.3">
      <c r="C3" s="66">
        <v>0.48</v>
      </c>
      <c r="D3" s="18">
        <v>2</v>
      </c>
      <c r="E3" s="59">
        <f t="shared" ref="E3:E13" si="0">1/D3</f>
        <v>0.5</v>
      </c>
    </row>
    <row r="4" spans="1:16" x14ac:dyDescent="0.3">
      <c r="C4" s="66">
        <v>0.47</v>
      </c>
      <c r="D4" s="18">
        <v>3</v>
      </c>
      <c r="E4" s="59">
        <f t="shared" si="0"/>
        <v>0.33333333333333331</v>
      </c>
    </row>
    <row r="5" spans="1:16" x14ac:dyDescent="0.3">
      <c r="C5" s="66">
        <v>0.46</v>
      </c>
      <c r="D5" s="18">
        <v>4</v>
      </c>
      <c r="E5" s="59">
        <f t="shared" si="0"/>
        <v>0.25</v>
      </c>
    </row>
    <row r="6" spans="1:16" x14ac:dyDescent="0.3">
      <c r="C6" s="66">
        <v>0.4</v>
      </c>
      <c r="D6" s="18">
        <v>5</v>
      </c>
      <c r="E6" s="59">
        <f t="shared" si="0"/>
        <v>0.2</v>
      </c>
      <c r="G6" s="45"/>
    </row>
    <row r="7" spans="1:16" x14ac:dyDescent="0.3">
      <c r="B7" s="45"/>
      <c r="C7" s="66">
        <v>0.44</v>
      </c>
      <c r="D7" s="18">
        <v>6</v>
      </c>
      <c r="E7" s="59">
        <f t="shared" si="0"/>
        <v>0.16666666666666666</v>
      </c>
    </row>
    <row r="8" spans="1:16" x14ac:dyDescent="0.3">
      <c r="B8" s="45"/>
      <c r="C8" s="66">
        <v>0.45</v>
      </c>
      <c r="D8" s="18">
        <v>7</v>
      </c>
      <c r="E8" s="59">
        <f t="shared" si="0"/>
        <v>0.14285714285714285</v>
      </c>
      <c r="H8" s="45"/>
      <c r="P8" s="45"/>
    </row>
    <row r="9" spans="1:16" x14ac:dyDescent="0.3">
      <c r="B9" s="45"/>
      <c r="C9" s="66">
        <v>0.4</v>
      </c>
      <c r="D9" s="18">
        <v>8</v>
      </c>
      <c r="E9" s="59">
        <f t="shared" si="0"/>
        <v>0.125</v>
      </c>
      <c r="P9" s="45"/>
    </row>
    <row r="10" spans="1:16" x14ac:dyDescent="0.3">
      <c r="B10" s="45"/>
      <c r="C10" s="66">
        <v>0.41</v>
      </c>
      <c r="D10" s="18">
        <v>9</v>
      </c>
      <c r="E10" s="59">
        <f t="shared" si="0"/>
        <v>0.1111111111111111</v>
      </c>
      <c r="P10" s="45"/>
    </row>
    <row r="11" spans="1:16" x14ac:dyDescent="0.3">
      <c r="B11" s="45"/>
      <c r="C11" s="66">
        <v>0.59</v>
      </c>
      <c r="D11" s="18">
        <v>10</v>
      </c>
      <c r="E11" s="59">
        <f t="shared" si="0"/>
        <v>0.1</v>
      </c>
      <c r="P11" s="45"/>
    </row>
    <row r="12" spans="1:16" x14ac:dyDescent="0.3">
      <c r="B12" s="45"/>
      <c r="C12" s="66">
        <v>0.62</v>
      </c>
      <c r="D12" s="18">
        <v>11</v>
      </c>
      <c r="E12" s="59">
        <f t="shared" si="0"/>
        <v>9.0909090909090912E-2</v>
      </c>
      <c r="P12" s="45"/>
    </row>
    <row r="13" spans="1:16" x14ac:dyDescent="0.3">
      <c r="B13" s="45"/>
      <c r="C13" s="66">
        <v>0.56999999999999995</v>
      </c>
      <c r="D13" s="18">
        <v>12</v>
      </c>
      <c r="E13" s="59">
        <f t="shared" si="0"/>
        <v>8.3333333333333329E-2</v>
      </c>
    </row>
    <row r="15" spans="1:16" x14ac:dyDescent="0.3">
      <c r="C15" t="s">
        <v>201</v>
      </c>
      <c r="E15" t="s">
        <v>196</v>
      </c>
    </row>
    <row r="16" spans="1:16" ht="15.6" x14ac:dyDescent="0.3">
      <c r="B16" t="s">
        <v>174</v>
      </c>
      <c r="C16" s="54" t="s">
        <v>216</v>
      </c>
      <c r="E16" s="54" t="s">
        <v>217</v>
      </c>
      <c r="H16" t="s">
        <v>72</v>
      </c>
    </row>
    <row r="17" spans="3:16" ht="16.2" thickBot="1" x14ac:dyDescent="0.35">
      <c r="C17" s="54" t="s">
        <v>249</v>
      </c>
      <c r="D17" s="55"/>
      <c r="E17" s="54" t="s">
        <v>250</v>
      </c>
    </row>
    <row r="18" spans="3:16" ht="15.6" x14ac:dyDescent="0.3">
      <c r="C18" s="54" t="s">
        <v>175</v>
      </c>
      <c r="H18" s="17" t="s">
        <v>73</v>
      </c>
      <c r="I18" s="17"/>
    </row>
    <row r="19" spans="3:16" x14ac:dyDescent="0.3">
      <c r="C19" t="s">
        <v>181</v>
      </c>
      <c r="H19" t="s">
        <v>74</v>
      </c>
      <c r="I19">
        <v>0.14810506932586784</v>
      </c>
    </row>
    <row r="20" spans="3:16" x14ac:dyDescent="0.3">
      <c r="H20" t="s">
        <v>75</v>
      </c>
      <c r="I20">
        <v>2.1935111560020117E-2</v>
      </c>
      <c r="J20" s="43" t="s">
        <v>238</v>
      </c>
    </row>
    <row r="21" spans="3:16" x14ac:dyDescent="0.3">
      <c r="H21" t="s">
        <v>76</v>
      </c>
      <c r="I21">
        <v>-7.5871377283977873E-2</v>
      </c>
    </row>
    <row r="22" spans="3:16" x14ac:dyDescent="0.3">
      <c r="H22" t="s">
        <v>71</v>
      </c>
      <c r="I22">
        <v>7.6987487450534936E-2</v>
      </c>
      <c r="J22" s="43" t="s">
        <v>176</v>
      </c>
      <c r="K22" s="63">
        <f>I22/AVERAGE(C2:C13)</f>
        <v>0.16039059885528109</v>
      </c>
      <c r="L22" s="43" t="s">
        <v>245</v>
      </c>
    </row>
    <row r="23" spans="3:16" ht="15" thickBot="1" x14ac:dyDescent="0.35">
      <c r="H23" s="15" t="s">
        <v>77</v>
      </c>
      <c r="I23" s="15">
        <v>12</v>
      </c>
    </row>
    <row r="25" spans="3:16" ht="15" thickBot="1" x14ac:dyDescent="0.35">
      <c r="H25" t="s">
        <v>78</v>
      </c>
    </row>
    <row r="26" spans="3:16" x14ac:dyDescent="0.3">
      <c r="H26" s="16"/>
      <c r="I26" s="16" t="s">
        <v>83</v>
      </c>
      <c r="J26" s="16" t="s">
        <v>84</v>
      </c>
      <c r="K26" s="16" t="s">
        <v>85</v>
      </c>
      <c r="L26" s="16" t="s">
        <v>86</v>
      </c>
      <c r="M26" s="16" t="s">
        <v>87</v>
      </c>
    </row>
    <row r="27" spans="3:16" x14ac:dyDescent="0.3">
      <c r="H27" t="s">
        <v>79</v>
      </c>
      <c r="I27">
        <v>1</v>
      </c>
      <c r="J27">
        <v>1.3292677605372186E-3</v>
      </c>
      <c r="K27">
        <v>1.3292677605372186E-3</v>
      </c>
      <c r="L27">
        <v>0.22427051435213843</v>
      </c>
      <c r="M27">
        <v>0.64597422904681134</v>
      </c>
    </row>
    <row r="28" spans="3:16" x14ac:dyDescent="0.3">
      <c r="H28" t="s">
        <v>80</v>
      </c>
      <c r="I28">
        <v>10</v>
      </c>
      <c r="J28">
        <v>5.9270732239462755E-2</v>
      </c>
      <c r="K28">
        <v>5.9270732239462753E-3</v>
      </c>
    </row>
    <row r="29" spans="3:16" ht="15" thickBot="1" x14ac:dyDescent="0.35">
      <c r="H29" s="15" t="s">
        <v>81</v>
      </c>
      <c r="I29" s="15">
        <v>11</v>
      </c>
      <c r="J29" s="15">
        <v>6.0599999999999973E-2</v>
      </c>
      <c r="K29" s="15"/>
      <c r="L29" s="15"/>
      <c r="M29" s="15"/>
    </row>
    <row r="30" spans="3:16" ht="15" thickBot="1" x14ac:dyDescent="0.35"/>
    <row r="31" spans="3:16" x14ac:dyDescent="0.3">
      <c r="H31" s="16"/>
      <c r="I31" s="16" t="s">
        <v>88</v>
      </c>
      <c r="J31" s="16" t="s">
        <v>71</v>
      </c>
      <c r="K31" s="16" t="s">
        <v>89</v>
      </c>
      <c r="L31" s="16" t="s">
        <v>90</v>
      </c>
      <c r="M31" s="16" t="s">
        <v>91</v>
      </c>
      <c r="N31" s="16" t="s">
        <v>92</v>
      </c>
      <c r="O31" s="16" t="s">
        <v>93</v>
      </c>
      <c r="P31" s="16" t="s">
        <v>94</v>
      </c>
    </row>
    <row r="32" spans="3:16" x14ac:dyDescent="0.3">
      <c r="G32" s="51" t="s">
        <v>172</v>
      </c>
      <c r="H32" t="s">
        <v>82</v>
      </c>
      <c r="I32" s="40">
        <v>0.49079744495081895</v>
      </c>
      <c r="J32">
        <v>3.1839643796333084E-2</v>
      </c>
      <c r="K32">
        <v>15.414665066301502</v>
      </c>
      <c r="L32" s="40">
        <v>2.6895678053140314E-8</v>
      </c>
      <c r="M32">
        <v>0.41985429757480547</v>
      </c>
      <c r="N32">
        <v>0.56174059232683249</v>
      </c>
      <c r="O32">
        <v>0.41985429757480547</v>
      </c>
      <c r="P32">
        <v>0.56174059232683249</v>
      </c>
    </row>
    <row r="33" spans="1:27" ht="15" thickBot="1" x14ac:dyDescent="0.35">
      <c r="G33" s="51" t="s">
        <v>177</v>
      </c>
      <c r="H33" s="15" t="s">
        <v>173</v>
      </c>
      <c r="I33" s="49">
        <v>-4.1753317078857627E-2</v>
      </c>
      <c r="J33" s="15">
        <v>8.8166762565531867E-2</v>
      </c>
      <c r="K33" s="15">
        <v>-0.47357207936294093</v>
      </c>
      <c r="L33" s="50">
        <v>0.64597422904681046</v>
      </c>
      <c r="M33" s="15">
        <v>-0.23820110620496823</v>
      </c>
      <c r="N33" s="15">
        <v>0.15469447204725298</v>
      </c>
      <c r="O33" s="15">
        <v>-0.23820110620496823</v>
      </c>
      <c r="P33" s="15">
        <v>0.15469447204725298</v>
      </c>
    </row>
    <row r="34" spans="1:27" ht="15" thickBot="1" x14ac:dyDescent="0.3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5" t="s">
        <v>246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5" thickTop="1" x14ac:dyDescent="0.3">
      <c r="A35" s="43" t="s">
        <v>193</v>
      </c>
    </row>
    <row r="36" spans="1:27" x14ac:dyDescent="0.3">
      <c r="C36" s="18" t="str">
        <f>C1</f>
        <v>Odsetek gospodarstw domowych posiadających zwierzę domowe w UK</v>
      </c>
      <c r="D36" s="57" t="str">
        <f>D1</f>
        <v>X</v>
      </c>
      <c r="E36" s="58" t="s">
        <v>182</v>
      </c>
      <c r="H36" t="s">
        <v>72</v>
      </c>
    </row>
    <row r="37" spans="1:27" ht="15" thickBot="1" x14ac:dyDescent="0.35">
      <c r="C37" s="60">
        <f t="shared" ref="C37:D48" si="1">C2</f>
        <v>0.47</v>
      </c>
      <c r="D37" s="18">
        <f t="shared" si="1"/>
        <v>1</v>
      </c>
      <c r="E37" s="59">
        <f>D37^2</f>
        <v>1</v>
      </c>
    </row>
    <row r="38" spans="1:27" x14ac:dyDescent="0.3">
      <c r="C38" s="60">
        <f t="shared" si="1"/>
        <v>0.48</v>
      </c>
      <c r="D38" s="18">
        <f t="shared" si="1"/>
        <v>2</v>
      </c>
      <c r="E38" s="59">
        <f t="shared" ref="E38:E48" si="2">D38^2</f>
        <v>4</v>
      </c>
      <c r="H38" s="17" t="s">
        <v>73</v>
      </c>
      <c r="I38" s="17"/>
    </row>
    <row r="39" spans="1:27" x14ac:dyDescent="0.3">
      <c r="C39" s="60">
        <f t="shared" si="1"/>
        <v>0.47</v>
      </c>
      <c r="D39" s="18">
        <f t="shared" si="1"/>
        <v>3</v>
      </c>
      <c r="E39" s="59">
        <f t="shared" si="2"/>
        <v>9</v>
      </c>
      <c r="H39" t="s">
        <v>74</v>
      </c>
      <c r="I39">
        <v>0.79512942688478871</v>
      </c>
    </row>
    <row r="40" spans="1:27" x14ac:dyDescent="0.3">
      <c r="C40" s="60">
        <f t="shared" si="1"/>
        <v>0.46</v>
      </c>
      <c r="D40" s="18">
        <f t="shared" si="1"/>
        <v>4</v>
      </c>
      <c r="E40" s="59">
        <f t="shared" si="2"/>
        <v>16</v>
      </c>
      <c r="H40" t="s">
        <v>75</v>
      </c>
      <c r="I40">
        <v>0.63223080549813249</v>
      </c>
      <c r="J40" s="43" t="s">
        <v>251</v>
      </c>
      <c r="K40" s="43"/>
      <c r="L40" s="43"/>
    </row>
    <row r="41" spans="1:27" x14ac:dyDescent="0.3">
      <c r="C41" s="60">
        <f t="shared" si="1"/>
        <v>0.4</v>
      </c>
      <c r="D41" s="18">
        <f t="shared" si="1"/>
        <v>5</v>
      </c>
      <c r="E41" s="59">
        <f t="shared" si="2"/>
        <v>25</v>
      </c>
      <c r="H41" t="s">
        <v>76</v>
      </c>
      <c r="I41">
        <v>0.55050431783105092</v>
      </c>
      <c r="J41" s="43"/>
      <c r="K41" s="43"/>
      <c r="L41" s="43"/>
    </row>
    <row r="42" spans="1:27" x14ac:dyDescent="0.3">
      <c r="C42" s="60">
        <f t="shared" si="1"/>
        <v>0.44</v>
      </c>
      <c r="D42" s="18">
        <f t="shared" si="1"/>
        <v>6</v>
      </c>
      <c r="E42" s="59">
        <f t="shared" si="2"/>
        <v>36</v>
      </c>
      <c r="H42" t="s">
        <v>71</v>
      </c>
      <c r="I42">
        <v>4.9762561995063861E-2</v>
      </c>
      <c r="J42" s="43" t="s">
        <v>176</v>
      </c>
      <c r="K42" s="63">
        <f>I42/AVERAGE(C37:C48)</f>
        <v>0.10367200415638303</v>
      </c>
      <c r="L42" s="43" t="s">
        <v>252</v>
      </c>
    </row>
    <row r="43" spans="1:27" ht="15" thickBot="1" x14ac:dyDescent="0.35">
      <c r="C43" s="60">
        <f t="shared" si="1"/>
        <v>0.45</v>
      </c>
      <c r="D43" s="18">
        <f t="shared" si="1"/>
        <v>7</v>
      </c>
      <c r="E43" s="59">
        <f t="shared" si="2"/>
        <v>49</v>
      </c>
      <c r="H43" s="15" t="s">
        <v>77</v>
      </c>
      <c r="I43" s="15">
        <v>12</v>
      </c>
    </row>
    <row r="44" spans="1:27" x14ac:dyDescent="0.3">
      <c r="C44" s="60">
        <f t="shared" si="1"/>
        <v>0.4</v>
      </c>
      <c r="D44" s="18">
        <f t="shared" si="1"/>
        <v>8</v>
      </c>
      <c r="E44" s="59">
        <f t="shared" si="2"/>
        <v>64</v>
      </c>
    </row>
    <row r="45" spans="1:27" ht="15" thickBot="1" x14ac:dyDescent="0.35">
      <c r="C45" s="60">
        <f t="shared" si="1"/>
        <v>0.41</v>
      </c>
      <c r="D45" s="18">
        <f t="shared" si="1"/>
        <v>9</v>
      </c>
      <c r="E45" s="59">
        <f t="shared" si="2"/>
        <v>81</v>
      </c>
      <c r="H45" t="s">
        <v>78</v>
      </c>
    </row>
    <row r="46" spans="1:27" x14ac:dyDescent="0.3">
      <c r="C46" s="60">
        <f t="shared" si="1"/>
        <v>0.59</v>
      </c>
      <c r="D46" s="18">
        <f t="shared" si="1"/>
        <v>10</v>
      </c>
      <c r="E46" s="59">
        <f t="shared" si="2"/>
        <v>100</v>
      </c>
      <c r="H46" s="16"/>
      <c r="I46" s="16" t="s">
        <v>83</v>
      </c>
      <c r="J46" s="16" t="s">
        <v>84</v>
      </c>
      <c r="K46" s="16" t="s">
        <v>85</v>
      </c>
      <c r="L46" s="16" t="s">
        <v>86</v>
      </c>
      <c r="M46" s="16" t="s">
        <v>87</v>
      </c>
    </row>
    <row r="47" spans="1:27" x14ac:dyDescent="0.3">
      <c r="C47" s="60">
        <f t="shared" si="1"/>
        <v>0.62</v>
      </c>
      <c r="D47" s="18">
        <f t="shared" si="1"/>
        <v>11</v>
      </c>
      <c r="E47" s="59">
        <f t="shared" si="2"/>
        <v>121</v>
      </c>
      <c r="H47" t="s">
        <v>79</v>
      </c>
      <c r="I47">
        <v>2</v>
      </c>
      <c r="J47">
        <v>3.8313186813186809E-2</v>
      </c>
      <c r="K47">
        <v>1.9156593406593404E-2</v>
      </c>
      <c r="L47">
        <v>7.7359351116808899</v>
      </c>
      <c r="M47">
        <v>1.1094023168788672E-2</v>
      </c>
    </row>
    <row r="48" spans="1:27" x14ac:dyDescent="0.3">
      <c r="C48" s="60">
        <f t="shared" si="1"/>
        <v>0.56999999999999995</v>
      </c>
      <c r="D48" s="18">
        <f t="shared" si="1"/>
        <v>12</v>
      </c>
      <c r="E48" s="59">
        <f t="shared" si="2"/>
        <v>144</v>
      </c>
      <c r="H48" t="s">
        <v>80</v>
      </c>
      <c r="I48">
        <v>9</v>
      </c>
      <c r="J48">
        <v>2.2286813186813168E-2</v>
      </c>
      <c r="K48">
        <v>2.4763125763125741E-3</v>
      </c>
      <c r="R48" s="45"/>
    </row>
    <row r="49" spans="1:27" ht="15" thickBot="1" x14ac:dyDescent="0.35">
      <c r="H49" s="15" t="s">
        <v>81</v>
      </c>
      <c r="I49" s="15">
        <v>11</v>
      </c>
      <c r="J49" s="15">
        <v>6.0599999999999973E-2</v>
      </c>
      <c r="K49" s="15"/>
      <c r="L49" s="15"/>
      <c r="M49" s="15"/>
      <c r="R49" s="45"/>
    </row>
    <row r="50" spans="1:27" ht="15" thickBot="1" x14ac:dyDescent="0.35">
      <c r="R50" s="45"/>
    </row>
    <row r="51" spans="1:27" x14ac:dyDescent="0.3">
      <c r="H51" s="16"/>
      <c r="I51" s="16" t="s">
        <v>88</v>
      </c>
      <c r="J51" s="16" t="s">
        <v>71</v>
      </c>
      <c r="K51" s="16" t="s">
        <v>89</v>
      </c>
      <c r="L51" s="16" t="s">
        <v>90</v>
      </c>
      <c r="M51" s="16" t="s">
        <v>91</v>
      </c>
      <c r="N51" s="16" t="s">
        <v>92</v>
      </c>
      <c r="O51" s="16" t="s">
        <v>93</v>
      </c>
      <c r="P51" s="16" t="s">
        <v>94</v>
      </c>
      <c r="R51" s="45"/>
    </row>
    <row r="52" spans="1:27" x14ac:dyDescent="0.3">
      <c r="F52" s="46"/>
      <c r="G52" s="53" t="s">
        <v>172</v>
      </c>
      <c r="H52" t="s">
        <v>82</v>
      </c>
      <c r="I52" s="40">
        <v>0.5386363636363638</v>
      </c>
      <c r="J52">
        <v>5.1431041892538706E-2</v>
      </c>
      <c r="K52">
        <v>10.472981759961309</v>
      </c>
      <c r="L52" s="40">
        <v>2.4324826442139662E-6</v>
      </c>
      <c r="M52">
        <v>0.4222912638289828</v>
      </c>
      <c r="N52">
        <v>0.65498146344374475</v>
      </c>
      <c r="O52">
        <v>0.4222912638289828</v>
      </c>
      <c r="P52">
        <v>0.65498146344374475</v>
      </c>
    </row>
    <row r="53" spans="1:27" x14ac:dyDescent="0.3">
      <c r="G53" s="51" t="s">
        <v>177</v>
      </c>
      <c r="H53" t="s">
        <v>171</v>
      </c>
      <c r="I53" s="40">
        <v>-4.3611388611388628E-2</v>
      </c>
      <c r="J53">
        <v>1.8189995358731028E-2</v>
      </c>
      <c r="K53">
        <v>-2.3975480890079264</v>
      </c>
      <c r="L53" s="40">
        <v>4.0058600113962561E-2</v>
      </c>
      <c r="M53">
        <v>-8.4760016903408134E-2</v>
      </c>
      <c r="N53">
        <v>-2.4627603193691228E-3</v>
      </c>
      <c r="O53">
        <v>-8.4760016903408134E-2</v>
      </c>
      <c r="P53">
        <v>-2.4627603193691228E-3</v>
      </c>
    </row>
    <row r="54" spans="1:27" ht="15" thickBot="1" x14ac:dyDescent="0.35">
      <c r="G54" s="51" t="s">
        <v>189</v>
      </c>
      <c r="H54" s="15" t="s">
        <v>182</v>
      </c>
      <c r="I54" s="49">
        <v>4.1508491508491516E-3</v>
      </c>
      <c r="J54" s="15">
        <v>1.3621229948801434E-3</v>
      </c>
      <c r="K54" s="15">
        <v>3.0473379910999849</v>
      </c>
      <c r="L54" s="50">
        <v>1.3852434189351939E-2</v>
      </c>
      <c r="M54" s="15">
        <v>1.0695128613688919E-3</v>
      </c>
      <c r="N54" s="15">
        <v>7.2321854403294113E-3</v>
      </c>
      <c r="O54" s="15">
        <v>1.0695128613688919E-3</v>
      </c>
      <c r="P54" s="15">
        <v>7.2321854403294113E-3</v>
      </c>
    </row>
    <row r="55" spans="1:27" ht="18" x14ac:dyDescent="0.35">
      <c r="C55" t="s">
        <v>187</v>
      </c>
      <c r="D55" t="s">
        <v>188</v>
      </c>
      <c r="F55" s="52"/>
      <c r="G55" s="54" t="s">
        <v>183</v>
      </c>
      <c r="L55" s="43" t="s">
        <v>253</v>
      </c>
    </row>
    <row r="56" spans="1:27" ht="15.6" x14ac:dyDescent="0.3">
      <c r="C56" s="54" t="s">
        <v>229</v>
      </c>
      <c r="E56" s="54" t="s">
        <v>230</v>
      </c>
      <c r="G56" t="s">
        <v>184</v>
      </c>
      <c r="H56" s="40">
        <f>I53^2-(4*I52*I54)</f>
        <v>-7.0412399538523447E-3</v>
      </c>
    </row>
    <row r="57" spans="1:27" ht="15.6" x14ac:dyDescent="0.3">
      <c r="C57" s="54" t="s">
        <v>254</v>
      </c>
      <c r="E57" s="54" t="s">
        <v>255</v>
      </c>
      <c r="G57" t="s">
        <v>185</v>
      </c>
      <c r="H57" s="40">
        <f>-H56/(4*I54)</f>
        <v>0.42408430768990346</v>
      </c>
    </row>
    <row r="58" spans="1:27" x14ac:dyDescent="0.3">
      <c r="G58" t="s">
        <v>186</v>
      </c>
      <c r="H58" s="40">
        <f>-I53/(2*I54)</f>
        <v>5.2533092659446456</v>
      </c>
    </row>
    <row r="59" spans="1:27" ht="18" x14ac:dyDescent="0.35">
      <c r="F59" s="52"/>
    </row>
    <row r="60" spans="1:27" ht="18" x14ac:dyDescent="0.35">
      <c r="F60" s="52"/>
      <c r="G60" s="54" t="s">
        <v>175</v>
      </c>
    </row>
    <row r="61" spans="1:27" x14ac:dyDescent="0.3">
      <c r="G61" t="s">
        <v>256</v>
      </c>
    </row>
    <row r="62" spans="1:27" ht="18" x14ac:dyDescent="0.35">
      <c r="F62" s="47"/>
    </row>
    <row r="64" spans="1:27" ht="15" thickBot="1" x14ac:dyDescent="0.3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5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5" thickTop="1" x14ac:dyDescent="0.3">
      <c r="A65" s="43" t="s">
        <v>194</v>
      </c>
    </row>
    <row r="66" spans="1:27" ht="18" x14ac:dyDescent="0.35">
      <c r="C66" s="18" t="str">
        <f>C1</f>
        <v>Odsetek gospodarstw domowych posiadających zwierzę domowe w UK</v>
      </c>
      <c r="D66" s="57" t="str">
        <f>D1</f>
        <v>X</v>
      </c>
      <c r="E66" s="58" t="s">
        <v>195</v>
      </c>
      <c r="H66" t="s">
        <v>72</v>
      </c>
      <c r="X66" s="52"/>
      <c r="Y66" s="52"/>
      <c r="Z66" s="52"/>
      <c r="AA66" s="52"/>
    </row>
    <row r="67" spans="1:27" ht="18.600000000000001" thickBot="1" x14ac:dyDescent="0.4">
      <c r="C67" s="60">
        <f t="shared" ref="C67:D78" si="3">C2</f>
        <v>0.47</v>
      </c>
      <c r="D67" s="18">
        <f t="shared" si="3"/>
        <v>1</v>
      </c>
      <c r="E67" s="59">
        <f>LN(C67)</f>
        <v>-0.75502258427803282</v>
      </c>
      <c r="X67" s="52"/>
      <c r="Y67" s="52"/>
      <c r="Z67" s="52"/>
      <c r="AA67" s="52"/>
    </row>
    <row r="68" spans="1:27" ht="18" x14ac:dyDescent="0.35">
      <c r="C68" s="60">
        <f t="shared" si="3"/>
        <v>0.48</v>
      </c>
      <c r="D68" s="18">
        <f t="shared" si="3"/>
        <v>2</v>
      </c>
      <c r="E68" s="59">
        <f t="shared" ref="E68:E78" si="4">LN(C68)</f>
        <v>-0.73396917508020043</v>
      </c>
      <c r="H68" s="17" t="s">
        <v>73</v>
      </c>
      <c r="I68" s="17"/>
      <c r="X68" s="52"/>
      <c r="Y68" s="52"/>
      <c r="Z68" s="52"/>
      <c r="AA68" s="52"/>
    </row>
    <row r="69" spans="1:27" ht="18" x14ac:dyDescent="0.35">
      <c r="C69" s="60">
        <f t="shared" si="3"/>
        <v>0.47</v>
      </c>
      <c r="D69" s="18">
        <f t="shared" si="3"/>
        <v>3</v>
      </c>
      <c r="E69" s="59">
        <f t="shared" si="4"/>
        <v>-0.75502258427803282</v>
      </c>
      <c r="H69" t="s">
        <v>74</v>
      </c>
      <c r="I69">
        <v>0.46435033456198693</v>
      </c>
      <c r="X69" s="52"/>
      <c r="Y69" s="52"/>
      <c r="Z69" s="52"/>
      <c r="AA69" s="52"/>
    </row>
    <row r="70" spans="1:27" ht="18" x14ac:dyDescent="0.35">
      <c r="C70" s="60">
        <f t="shared" si="3"/>
        <v>0.46</v>
      </c>
      <c r="D70" s="18">
        <f t="shared" si="3"/>
        <v>4</v>
      </c>
      <c r="E70" s="59">
        <f t="shared" si="4"/>
        <v>-0.77652878949899629</v>
      </c>
      <c r="H70" t="s">
        <v>75</v>
      </c>
      <c r="I70">
        <v>0.21562123320782919</v>
      </c>
      <c r="J70" s="43" t="s">
        <v>221</v>
      </c>
      <c r="K70" s="43"/>
      <c r="L70" s="43"/>
      <c r="X70" s="52"/>
      <c r="Y70" s="52"/>
      <c r="Z70" s="52"/>
      <c r="AA70" s="52"/>
    </row>
    <row r="71" spans="1:27" ht="18" x14ac:dyDescent="0.35">
      <c r="C71" s="60">
        <f t="shared" si="3"/>
        <v>0.4</v>
      </c>
      <c r="D71" s="18">
        <f t="shared" si="3"/>
        <v>5</v>
      </c>
      <c r="E71" s="59">
        <f t="shared" si="4"/>
        <v>-0.916290731874155</v>
      </c>
      <c r="H71" t="s">
        <v>76</v>
      </c>
      <c r="I71">
        <v>0.1371833565286121</v>
      </c>
      <c r="J71" s="43"/>
      <c r="K71" s="43"/>
      <c r="L71" s="43"/>
      <c r="R71" s="44"/>
      <c r="X71" s="52"/>
      <c r="Y71" s="52"/>
      <c r="Z71" s="52"/>
      <c r="AA71" s="52"/>
    </row>
    <row r="72" spans="1:27" ht="18" x14ac:dyDescent="0.35">
      <c r="C72" s="60">
        <f t="shared" si="3"/>
        <v>0.44</v>
      </c>
      <c r="D72" s="18">
        <f t="shared" si="3"/>
        <v>6</v>
      </c>
      <c r="E72" s="59">
        <f t="shared" si="4"/>
        <v>-0.82098055206983023</v>
      </c>
      <c r="H72" t="s">
        <v>71</v>
      </c>
      <c r="I72">
        <v>0.13779878556007844</v>
      </c>
      <c r="J72" s="43" t="s">
        <v>176</v>
      </c>
      <c r="K72" s="63">
        <f>I72/AVERAGE(C67:C78)</f>
        <v>0.28708080325016339</v>
      </c>
      <c r="L72" s="43" t="s">
        <v>257</v>
      </c>
      <c r="X72" s="52"/>
      <c r="Y72" s="52"/>
      <c r="Z72" s="52"/>
      <c r="AA72" s="52"/>
    </row>
    <row r="73" spans="1:27" ht="18.600000000000001" thickBot="1" x14ac:dyDescent="0.4">
      <c r="C73" s="60">
        <f t="shared" si="3"/>
        <v>0.45</v>
      </c>
      <c r="D73" s="18">
        <f t="shared" si="3"/>
        <v>7</v>
      </c>
      <c r="E73" s="59">
        <f t="shared" si="4"/>
        <v>-0.79850769621777162</v>
      </c>
      <c r="H73" s="15" t="s">
        <v>77</v>
      </c>
      <c r="I73" s="15">
        <v>12</v>
      </c>
      <c r="X73" s="52"/>
      <c r="Y73" s="52"/>
      <c r="Z73" s="52"/>
      <c r="AA73" s="52"/>
    </row>
    <row r="74" spans="1:27" ht="18" x14ac:dyDescent="0.35">
      <c r="C74" s="60">
        <f t="shared" si="3"/>
        <v>0.4</v>
      </c>
      <c r="D74" s="18">
        <f t="shared" si="3"/>
        <v>8</v>
      </c>
      <c r="E74" s="59">
        <f t="shared" si="4"/>
        <v>-0.916290731874155</v>
      </c>
      <c r="X74" s="52"/>
      <c r="Y74" s="52"/>
      <c r="Z74" s="52"/>
      <c r="AA74" s="52"/>
    </row>
    <row r="75" spans="1:27" ht="18.600000000000001" thickBot="1" x14ac:dyDescent="0.4">
      <c r="C75" s="60">
        <f t="shared" si="3"/>
        <v>0.41</v>
      </c>
      <c r="D75" s="18">
        <f t="shared" si="3"/>
        <v>9</v>
      </c>
      <c r="E75" s="59">
        <f t="shared" si="4"/>
        <v>-0.89159811928378363</v>
      </c>
      <c r="H75" t="s">
        <v>78</v>
      </c>
      <c r="X75" s="52"/>
      <c r="Y75" s="52"/>
      <c r="Z75" s="52"/>
      <c r="AA75" s="52"/>
    </row>
    <row r="76" spans="1:27" x14ac:dyDescent="0.3">
      <c r="C76" s="60">
        <f t="shared" si="3"/>
        <v>0.59</v>
      </c>
      <c r="D76" s="18">
        <f t="shared" si="3"/>
        <v>10</v>
      </c>
      <c r="E76" s="59">
        <f t="shared" si="4"/>
        <v>-0.52763274208237199</v>
      </c>
      <c r="H76" s="16"/>
      <c r="I76" s="16" t="s">
        <v>83</v>
      </c>
      <c r="J76" s="16" t="s">
        <v>84</v>
      </c>
      <c r="K76" s="16" t="s">
        <v>85</v>
      </c>
      <c r="L76" s="16" t="s">
        <v>86</v>
      </c>
      <c r="M76" s="16" t="s">
        <v>87</v>
      </c>
      <c r="R76" s="44"/>
    </row>
    <row r="77" spans="1:27" x14ac:dyDescent="0.3">
      <c r="C77" s="60">
        <f t="shared" si="3"/>
        <v>0.62</v>
      </c>
      <c r="D77" s="18">
        <f t="shared" si="3"/>
        <v>11</v>
      </c>
      <c r="E77" s="59">
        <f t="shared" si="4"/>
        <v>-0.4780358009429998</v>
      </c>
      <c r="H77" t="s">
        <v>79</v>
      </c>
      <c r="I77">
        <v>1</v>
      </c>
      <c r="J77">
        <v>5.2198314172868937E-2</v>
      </c>
      <c r="K77">
        <v>5.2198314172868937E-2</v>
      </c>
      <c r="L77">
        <v>2.748942760009212</v>
      </c>
      <c r="M77">
        <v>0.12831121904100951</v>
      </c>
    </row>
    <row r="78" spans="1:27" x14ac:dyDescent="0.3">
      <c r="C78" s="60">
        <f t="shared" si="3"/>
        <v>0.56999999999999995</v>
      </c>
      <c r="D78" s="18">
        <f t="shared" si="3"/>
        <v>12</v>
      </c>
      <c r="E78" s="59">
        <f t="shared" si="4"/>
        <v>-0.56211891815354131</v>
      </c>
      <c r="H78" t="s">
        <v>80</v>
      </c>
      <c r="I78">
        <v>10</v>
      </c>
      <c r="J78">
        <v>0.18988505301832481</v>
      </c>
      <c r="K78">
        <v>1.8988505301832482E-2</v>
      </c>
    </row>
    <row r="79" spans="1:27" ht="15" thickBot="1" x14ac:dyDescent="0.35">
      <c r="H79" s="15" t="s">
        <v>81</v>
      </c>
      <c r="I79" s="15">
        <v>11</v>
      </c>
      <c r="J79" s="15">
        <v>0.24208336719119375</v>
      </c>
      <c r="K79" s="15"/>
      <c r="L79" s="15"/>
      <c r="M79" s="15"/>
      <c r="V79" s="45"/>
    </row>
    <row r="80" spans="1:27" ht="15" thickBot="1" x14ac:dyDescent="0.35">
      <c r="V80" s="45"/>
    </row>
    <row r="81" spans="1:27" x14ac:dyDescent="0.3">
      <c r="C81" t="s">
        <v>201</v>
      </c>
      <c r="H81" s="16"/>
      <c r="I81" s="16" t="s">
        <v>88</v>
      </c>
      <c r="J81" s="16" t="s">
        <v>71</v>
      </c>
      <c r="K81" s="16" t="s">
        <v>89</v>
      </c>
      <c r="L81" s="16" t="s">
        <v>90</v>
      </c>
      <c r="M81" s="16" t="s">
        <v>91</v>
      </c>
      <c r="N81" s="16" t="s">
        <v>92</v>
      </c>
      <c r="O81" s="16" t="s">
        <v>93</v>
      </c>
      <c r="P81" s="16" t="s">
        <v>94</v>
      </c>
      <c r="V81" s="45"/>
    </row>
    <row r="82" spans="1:27" x14ac:dyDescent="0.3">
      <c r="G82" t="s">
        <v>197</v>
      </c>
      <c r="H82" t="s">
        <v>82</v>
      </c>
      <c r="I82" s="40">
        <v>-0.86851947024756393</v>
      </c>
      <c r="J82">
        <v>8.4809289848657016E-2</v>
      </c>
      <c r="K82">
        <v>-10.240852998503408</v>
      </c>
      <c r="L82" s="40">
        <v>1.2774760155418175E-6</v>
      </c>
      <c r="M82">
        <v>-1.0574863439687219</v>
      </c>
      <c r="N82">
        <v>-0.67955259652640609</v>
      </c>
      <c r="O82">
        <v>-1.0574863439687219</v>
      </c>
      <c r="P82">
        <v>-0.67955259652640609</v>
      </c>
      <c r="V82" s="45"/>
    </row>
    <row r="83" spans="1:27" ht="15" thickBot="1" x14ac:dyDescent="0.35">
      <c r="G83" t="s">
        <v>177</v>
      </c>
      <c r="H83" s="15" t="s">
        <v>171</v>
      </c>
      <c r="I83" s="50">
        <v>1.9105579709447405E-2</v>
      </c>
      <c r="J83" s="15">
        <v>1.1523313341329607E-2</v>
      </c>
      <c r="K83" s="15">
        <v>1.6579935946828053</v>
      </c>
      <c r="L83" s="50">
        <v>0.12831121904100959</v>
      </c>
      <c r="M83" s="15">
        <v>-6.5699624499808672E-3</v>
      </c>
      <c r="N83" s="15">
        <v>4.4781121868875673E-2</v>
      </c>
      <c r="O83" s="15">
        <v>-6.5699624499808672E-3</v>
      </c>
      <c r="P83" s="15">
        <v>4.4781121868875673E-2</v>
      </c>
      <c r="V83" s="45"/>
    </row>
    <row r="84" spans="1:27" x14ac:dyDescent="0.3">
      <c r="L84" s="43" t="s">
        <v>258</v>
      </c>
    </row>
    <row r="86" spans="1:27" x14ac:dyDescent="0.3">
      <c r="G86" t="s">
        <v>198</v>
      </c>
      <c r="H86" s="40">
        <f>I82</f>
        <v>-0.86851947024756393</v>
      </c>
    </row>
    <row r="87" spans="1:27" x14ac:dyDescent="0.3">
      <c r="C87" t="s">
        <v>196</v>
      </c>
      <c r="G87" t="s">
        <v>199</v>
      </c>
      <c r="H87" s="40">
        <f>I83</f>
        <v>1.9105579709447405E-2</v>
      </c>
    </row>
    <row r="88" spans="1:27" x14ac:dyDescent="0.3">
      <c r="G88" t="s">
        <v>200</v>
      </c>
      <c r="H88" s="40">
        <f>EXP(H86)</f>
        <v>0.41957227887208293</v>
      </c>
    </row>
    <row r="91" spans="1:27" ht="15.6" x14ac:dyDescent="0.3">
      <c r="G91" s="54" t="s">
        <v>175</v>
      </c>
    </row>
    <row r="92" spans="1:27" x14ac:dyDescent="0.3">
      <c r="F92" t="s">
        <v>172</v>
      </c>
      <c r="G92" s="40">
        <f>H88</f>
        <v>0.41957227887208293</v>
      </c>
      <c r="H92" t="s">
        <v>259</v>
      </c>
    </row>
    <row r="93" spans="1:27" x14ac:dyDescent="0.3">
      <c r="F93" t="s">
        <v>177</v>
      </c>
      <c r="G93" s="40">
        <f>H87</f>
        <v>1.9105579709447405E-2</v>
      </c>
      <c r="H93" t="s">
        <v>260</v>
      </c>
    </row>
    <row r="94" spans="1:27" ht="15" thickBot="1" x14ac:dyDescent="0.3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5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15" thickTop="1" x14ac:dyDescent="0.3">
      <c r="A95" s="43" t="s">
        <v>214</v>
      </c>
      <c r="C95" t="s">
        <v>206</v>
      </c>
      <c r="E95" s="14"/>
    </row>
    <row r="96" spans="1:27" x14ac:dyDescent="0.3">
      <c r="C96" s="18" t="str">
        <f>C1</f>
        <v>Odsetek gospodarstw domowych posiadających zwierzę domowe w UK</v>
      </c>
      <c r="D96" s="57" t="str">
        <f>D1</f>
        <v>X</v>
      </c>
      <c r="E96" s="58" t="s">
        <v>195</v>
      </c>
      <c r="F96" s="18" t="s">
        <v>208</v>
      </c>
      <c r="H96" t="s">
        <v>72</v>
      </c>
    </row>
    <row r="97" spans="2:16" ht="15" thickBot="1" x14ac:dyDescent="0.35">
      <c r="C97" s="66">
        <f t="shared" ref="C97:D108" si="5">C2</f>
        <v>0.47</v>
      </c>
      <c r="D97" s="18">
        <f t="shared" si="5"/>
        <v>1</v>
      </c>
      <c r="E97" s="59">
        <f>LN(C97)</f>
        <v>-0.75502258427803282</v>
      </c>
      <c r="F97" s="61">
        <f>LN(D97)</f>
        <v>0</v>
      </c>
    </row>
    <row r="98" spans="2:16" x14ac:dyDescent="0.3">
      <c r="C98" s="66">
        <f t="shared" si="5"/>
        <v>0.48</v>
      </c>
      <c r="D98" s="18">
        <f t="shared" si="5"/>
        <v>2</v>
      </c>
      <c r="E98" s="59">
        <f t="shared" ref="E98:F108" si="6">LN(C98)</f>
        <v>-0.73396917508020043</v>
      </c>
      <c r="F98" s="61">
        <f t="shared" si="6"/>
        <v>0.69314718055994529</v>
      </c>
      <c r="H98" s="17" t="s">
        <v>73</v>
      </c>
      <c r="I98" s="17"/>
    </row>
    <row r="99" spans="2:16" x14ac:dyDescent="0.3">
      <c r="C99" s="66">
        <f t="shared" si="5"/>
        <v>0.47</v>
      </c>
      <c r="D99" s="18">
        <f t="shared" si="5"/>
        <v>3</v>
      </c>
      <c r="E99" s="59">
        <f t="shared" si="6"/>
        <v>-0.75502258427803282</v>
      </c>
      <c r="F99" s="61">
        <f t="shared" si="6"/>
        <v>1.0986122886681098</v>
      </c>
      <c r="H99" t="s">
        <v>74</v>
      </c>
      <c r="I99">
        <v>0.27603258001530961</v>
      </c>
    </row>
    <row r="100" spans="2:16" x14ac:dyDescent="0.3">
      <c r="C100" s="66">
        <f t="shared" si="5"/>
        <v>0.46</v>
      </c>
      <c r="D100" s="18">
        <f t="shared" si="5"/>
        <v>4</v>
      </c>
      <c r="E100" s="59">
        <f t="shared" si="6"/>
        <v>-0.77652878949899629</v>
      </c>
      <c r="F100" s="61">
        <f t="shared" si="6"/>
        <v>1.3862943611198906</v>
      </c>
      <c r="H100" t="s">
        <v>75</v>
      </c>
      <c r="I100">
        <v>7.6193985229908306E-2</v>
      </c>
      <c r="J100" s="43" t="s">
        <v>261</v>
      </c>
      <c r="K100" s="43"/>
      <c r="L100" s="43"/>
    </row>
    <row r="101" spans="2:16" x14ac:dyDescent="0.3">
      <c r="C101" s="66">
        <f t="shared" si="5"/>
        <v>0.4</v>
      </c>
      <c r="D101" s="18">
        <f t="shared" si="5"/>
        <v>5</v>
      </c>
      <c r="E101" s="59">
        <f t="shared" si="6"/>
        <v>-0.916290731874155</v>
      </c>
      <c r="F101" s="61">
        <f t="shared" si="6"/>
        <v>1.6094379124341003</v>
      </c>
      <c r="H101" t="s">
        <v>76</v>
      </c>
      <c r="I101">
        <v>-1.6186616247100861E-2</v>
      </c>
      <c r="J101" s="43"/>
      <c r="K101" s="43"/>
      <c r="L101" s="43"/>
    </row>
    <row r="102" spans="2:16" x14ac:dyDescent="0.3">
      <c r="C102" s="66">
        <f t="shared" si="5"/>
        <v>0.44</v>
      </c>
      <c r="D102" s="18">
        <f t="shared" si="5"/>
        <v>6</v>
      </c>
      <c r="E102" s="59">
        <f t="shared" si="6"/>
        <v>-0.82098055206983023</v>
      </c>
      <c r="F102" s="61">
        <f t="shared" si="6"/>
        <v>1.791759469228055</v>
      </c>
      <c r="H102" t="s">
        <v>71</v>
      </c>
      <c r="I102">
        <v>0.14954533449326377</v>
      </c>
      <c r="J102" s="43" t="s">
        <v>176</v>
      </c>
      <c r="K102" s="63">
        <f>I102/AVERAGE(C97:C108)</f>
        <v>0.31155278019429949</v>
      </c>
      <c r="L102" s="43" t="s">
        <v>262</v>
      </c>
    </row>
    <row r="103" spans="2:16" ht="15" thickBot="1" x14ac:dyDescent="0.35">
      <c r="C103" s="66">
        <f t="shared" si="5"/>
        <v>0.45</v>
      </c>
      <c r="D103" s="18">
        <f t="shared" si="5"/>
        <v>7</v>
      </c>
      <c r="E103" s="59">
        <f t="shared" si="6"/>
        <v>-0.79850769621777162</v>
      </c>
      <c r="F103" s="61">
        <f t="shared" si="6"/>
        <v>1.9459101490553132</v>
      </c>
      <c r="H103" s="15" t="s">
        <v>77</v>
      </c>
      <c r="I103" s="15">
        <v>12</v>
      </c>
    </row>
    <row r="104" spans="2:16" x14ac:dyDescent="0.3">
      <c r="C104" s="66">
        <f t="shared" si="5"/>
        <v>0.4</v>
      </c>
      <c r="D104" s="18">
        <f t="shared" si="5"/>
        <v>8</v>
      </c>
      <c r="E104" s="59">
        <f t="shared" si="6"/>
        <v>-0.916290731874155</v>
      </c>
      <c r="F104" s="61">
        <f t="shared" si="6"/>
        <v>2.0794415416798357</v>
      </c>
    </row>
    <row r="105" spans="2:16" ht="15" thickBot="1" x14ac:dyDescent="0.35">
      <c r="C105" s="66">
        <f t="shared" si="5"/>
        <v>0.41</v>
      </c>
      <c r="D105" s="18">
        <f t="shared" si="5"/>
        <v>9</v>
      </c>
      <c r="E105" s="59">
        <f t="shared" si="6"/>
        <v>-0.89159811928378363</v>
      </c>
      <c r="F105" s="61">
        <f t="shared" si="6"/>
        <v>2.1972245773362196</v>
      </c>
      <c r="H105" t="s">
        <v>78</v>
      </c>
    </row>
    <row r="106" spans="2:16" x14ac:dyDescent="0.3">
      <c r="C106" s="66">
        <f t="shared" si="5"/>
        <v>0.59</v>
      </c>
      <c r="D106" s="18">
        <f t="shared" si="5"/>
        <v>10</v>
      </c>
      <c r="E106" s="59">
        <f t="shared" si="6"/>
        <v>-0.52763274208237199</v>
      </c>
      <c r="F106" s="61">
        <f t="shared" si="6"/>
        <v>2.3025850929940459</v>
      </c>
      <c r="H106" s="16"/>
      <c r="I106" s="16" t="s">
        <v>83</v>
      </c>
      <c r="J106" s="16" t="s">
        <v>84</v>
      </c>
      <c r="K106" s="16" t="s">
        <v>85</v>
      </c>
      <c r="L106" s="16" t="s">
        <v>86</v>
      </c>
      <c r="M106" s="16" t="s">
        <v>87</v>
      </c>
    </row>
    <row r="107" spans="2:16" x14ac:dyDescent="0.3">
      <c r="C107" s="66">
        <f t="shared" si="5"/>
        <v>0.62</v>
      </c>
      <c r="D107" s="18">
        <f t="shared" si="5"/>
        <v>11</v>
      </c>
      <c r="E107" s="59">
        <f t="shared" si="6"/>
        <v>-0.4780358009429998</v>
      </c>
      <c r="F107" s="61">
        <f t="shared" si="6"/>
        <v>2.3978952727983707</v>
      </c>
      <c r="H107" t="s">
        <v>79</v>
      </c>
      <c r="I107">
        <v>1</v>
      </c>
      <c r="J107">
        <v>1.8445296504172287E-2</v>
      </c>
      <c r="K107">
        <v>1.8445296504172287E-2</v>
      </c>
      <c r="L107">
        <v>0.82478338538281504</v>
      </c>
      <c r="M107">
        <v>0.38514913478780055</v>
      </c>
    </row>
    <row r="108" spans="2:16" x14ac:dyDescent="0.3">
      <c r="C108" s="66">
        <f t="shared" si="5"/>
        <v>0.56999999999999995</v>
      </c>
      <c r="D108" s="18">
        <f t="shared" si="5"/>
        <v>12</v>
      </c>
      <c r="E108" s="59">
        <f t="shared" si="6"/>
        <v>-0.56211891815354131</v>
      </c>
      <c r="F108" s="61">
        <f t="shared" si="6"/>
        <v>2.4849066497880004</v>
      </c>
      <c r="H108" t="s">
        <v>80</v>
      </c>
      <c r="I108">
        <v>10</v>
      </c>
      <c r="J108">
        <v>0.22363807068702146</v>
      </c>
      <c r="K108">
        <v>2.2363807068702148E-2</v>
      </c>
    </row>
    <row r="109" spans="2:16" ht="15" thickBot="1" x14ac:dyDescent="0.35">
      <c r="H109" s="15" t="s">
        <v>81</v>
      </c>
      <c r="I109" s="15">
        <v>11</v>
      </c>
      <c r="J109" s="15">
        <v>0.24208336719119375</v>
      </c>
      <c r="K109" s="15"/>
      <c r="L109" s="15"/>
      <c r="M109" s="15"/>
    </row>
    <row r="110" spans="2:16" ht="15" thickBot="1" x14ac:dyDescent="0.35"/>
    <row r="111" spans="2:16" x14ac:dyDescent="0.3">
      <c r="B111" t="s">
        <v>201</v>
      </c>
      <c r="H111" s="16"/>
      <c r="I111" s="16" t="s">
        <v>88</v>
      </c>
      <c r="J111" s="16" t="s">
        <v>71</v>
      </c>
      <c r="K111" s="16" t="s">
        <v>89</v>
      </c>
      <c r="L111" s="16" t="s">
        <v>90</v>
      </c>
      <c r="M111" s="16" t="s">
        <v>91</v>
      </c>
      <c r="N111" s="16" t="s">
        <v>92</v>
      </c>
      <c r="O111" s="16" t="s">
        <v>93</v>
      </c>
      <c r="P111" s="16" t="s">
        <v>94</v>
      </c>
    </row>
    <row r="112" spans="2:16" x14ac:dyDescent="0.3">
      <c r="G112" t="s">
        <v>202</v>
      </c>
      <c r="H112" t="s">
        <v>82</v>
      </c>
      <c r="I112" s="40">
        <v>-0.83457123277482692</v>
      </c>
      <c r="J112">
        <v>0.10833479251563759</v>
      </c>
      <c r="K112">
        <v>-7.7036306932914531</v>
      </c>
      <c r="L112" s="40">
        <v>1.6363700440760456E-5</v>
      </c>
      <c r="M112">
        <v>-1.0759561930007908</v>
      </c>
      <c r="N112">
        <v>-0.59318627254886303</v>
      </c>
      <c r="O112">
        <v>-1.0759561930007908</v>
      </c>
      <c r="P112">
        <v>-0.59318627254886303</v>
      </c>
    </row>
    <row r="113" spans="2:16" ht="15" thickBot="1" x14ac:dyDescent="0.35">
      <c r="G113" t="s">
        <v>172</v>
      </c>
      <c r="H113" s="15" t="s">
        <v>208</v>
      </c>
      <c r="I113" s="50">
        <v>5.4177452686019867E-2</v>
      </c>
      <c r="J113" s="15">
        <v>5.9655244443411914E-2</v>
      </c>
      <c r="K113" s="15">
        <v>0.90817585597879491</v>
      </c>
      <c r="L113" s="50">
        <v>0.38514913478780011</v>
      </c>
      <c r="M113" s="15">
        <v>-7.8742715183084538E-2</v>
      </c>
      <c r="N113" s="15">
        <v>0.18709762055512427</v>
      </c>
      <c r="O113" s="15">
        <v>-7.8742715183084538E-2</v>
      </c>
      <c r="P113" s="15">
        <v>0.18709762055512427</v>
      </c>
    </row>
    <row r="114" spans="2:16" x14ac:dyDescent="0.3">
      <c r="L114" s="43" t="s">
        <v>265</v>
      </c>
    </row>
    <row r="116" spans="2:16" ht="15.6" x14ac:dyDescent="0.3">
      <c r="G116" s="54" t="s">
        <v>175</v>
      </c>
    </row>
    <row r="117" spans="2:16" x14ac:dyDescent="0.3">
      <c r="B117" t="s">
        <v>196</v>
      </c>
      <c r="G117" t="s">
        <v>207</v>
      </c>
      <c r="H117" s="14">
        <f>EXP(I112)</f>
        <v>0.43406055247820058</v>
      </c>
    </row>
    <row r="118" spans="2:16" x14ac:dyDescent="0.3">
      <c r="G118" t="s">
        <v>263</v>
      </c>
    </row>
    <row r="119" spans="2:16" x14ac:dyDescent="0.3">
      <c r="G119" t="s">
        <v>241</v>
      </c>
      <c r="H119" t="s">
        <v>264</v>
      </c>
    </row>
    <row r="137" spans="9:9" x14ac:dyDescent="0.3">
      <c r="I137" s="43"/>
    </row>
  </sheetData>
  <pageMargins left="0.7" right="0.7" top="0.75" bottom="0.75" header="0.3" footer="0.3"/>
  <pageSetup paperSize="9" scale="57" orientation="portrait" verticalDpi="0" r:id="rId1"/>
  <colBreaks count="1" manualBreakCount="1">
    <brk id="18" max="43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2"/>
  <sheetViews>
    <sheetView zoomScale="107" zoomScaleNormal="130" zoomScaleSheetLayoutView="100" workbookViewId="0">
      <selection activeCell="N16" sqref="N16"/>
    </sheetView>
  </sheetViews>
  <sheetFormatPr defaultRowHeight="14.4" x14ac:dyDescent="0.3"/>
  <cols>
    <col min="1" max="1" width="6.6640625" customWidth="1"/>
    <col min="3" max="3" width="14.88671875" customWidth="1"/>
    <col min="4" max="4" width="10.33203125" customWidth="1"/>
    <col min="5" max="6" width="11" customWidth="1"/>
    <col min="7" max="7" width="12.6640625" customWidth="1"/>
    <col min="8" max="8" width="19.88671875" customWidth="1"/>
    <col min="9" max="9" width="13.5546875" bestFit="1" customWidth="1"/>
    <col min="10" max="10" width="15.109375" customWidth="1"/>
    <col min="11" max="11" width="11.44140625" bestFit="1" customWidth="1"/>
    <col min="12" max="12" width="10.44140625" bestFit="1" customWidth="1"/>
    <col min="13" max="16" width="13.5546875" bestFit="1" customWidth="1"/>
  </cols>
  <sheetData>
    <row r="1" spans="1:16" x14ac:dyDescent="0.3">
      <c r="A1" s="43" t="s">
        <v>316</v>
      </c>
      <c r="B1" t="s">
        <v>272</v>
      </c>
      <c r="C1" s="18" t="s">
        <v>267</v>
      </c>
      <c r="D1" s="57" t="s">
        <v>171</v>
      </c>
      <c r="E1" s="58" t="s">
        <v>173</v>
      </c>
    </row>
    <row r="2" spans="1:16" x14ac:dyDescent="0.3">
      <c r="B2">
        <v>2012</v>
      </c>
      <c r="C2" s="60">
        <v>2.7999999999999997E-2</v>
      </c>
      <c r="D2" s="18">
        <v>1</v>
      </c>
      <c r="E2" s="59">
        <f>1/D2</f>
        <v>1</v>
      </c>
    </row>
    <row r="3" spans="1:16" x14ac:dyDescent="0.3">
      <c r="B3">
        <v>2013</v>
      </c>
      <c r="C3" s="60">
        <v>2.6000000000000002E-2</v>
      </c>
      <c r="D3" s="18">
        <v>2</v>
      </c>
      <c r="E3" s="59">
        <f t="shared" ref="E3:E13" si="0">1/D3</f>
        <v>0.5</v>
      </c>
    </row>
    <row r="4" spans="1:16" x14ac:dyDescent="0.3">
      <c r="B4">
        <v>2014</v>
      </c>
      <c r="C4" s="60">
        <v>1.4999999999999999E-2</v>
      </c>
      <c r="D4" s="18">
        <v>3</v>
      </c>
      <c r="E4" s="59">
        <f t="shared" si="0"/>
        <v>0.33333333333333331</v>
      </c>
    </row>
    <row r="5" spans="1:16" x14ac:dyDescent="0.3">
      <c r="B5">
        <v>2015</v>
      </c>
      <c r="C5" s="60">
        <v>0</v>
      </c>
      <c r="D5" s="18">
        <v>4</v>
      </c>
      <c r="E5" s="59">
        <f t="shared" si="0"/>
        <v>0.25</v>
      </c>
    </row>
    <row r="6" spans="1:16" x14ac:dyDescent="0.3">
      <c r="B6">
        <v>2016</v>
      </c>
      <c r="C6" s="60">
        <v>6.9999999999999993E-3</v>
      </c>
      <c r="D6" s="18">
        <v>5</v>
      </c>
      <c r="E6" s="59">
        <f t="shared" si="0"/>
        <v>0.2</v>
      </c>
      <c r="G6" s="45"/>
    </row>
    <row r="7" spans="1:16" x14ac:dyDescent="0.3">
      <c r="B7">
        <v>2017</v>
      </c>
      <c r="C7" s="60">
        <v>2.7000000000000003E-2</v>
      </c>
      <c r="D7" s="18">
        <v>6</v>
      </c>
      <c r="E7" s="59">
        <f t="shared" si="0"/>
        <v>0.16666666666666666</v>
      </c>
    </row>
    <row r="8" spans="1:16" x14ac:dyDescent="0.3">
      <c r="B8">
        <v>2018</v>
      </c>
      <c r="C8" s="60">
        <v>2.5000000000000001E-2</v>
      </c>
      <c r="D8" s="18">
        <v>7</v>
      </c>
      <c r="E8" s="59">
        <f t="shared" si="0"/>
        <v>0.14285714285714285</v>
      </c>
      <c r="H8" s="45"/>
      <c r="P8" s="45"/>
    </row>
    <row r="9" spans="1:16" x14ac:dyDescent="0.3">
      <c r="B9">
        <v>2019</v>
      </c>
      <c r="C9" s="60">
        <v>1.8000000000000002E-2</v>
      </c>
      <c r="D9" s="18">
        <v>8</v>
      </c>
      <c r="E9" s="59">
        <f t="shared" si="0"/>
        <v>0.125</v>
      </c>
      <c r="P9" s="45"/>
    </row>
    <row r="10" spans="1:16" x14ac:dyDescent="0.3">
      <c r="B10">
        <v>2020</v>
      </c>
      <c r="C10" s="60">
        <v>9.0000000000000011E-3</v>
      </c>
      <c r="D10" s="18">
        <v>9</v>
      </c>
      <c r="E10" s="59">
        <f t="shared" si="0"/>
        <v>0.1111111111111111</v>
      </c>
      <c r="P10" s="45"/>
    </row>
    <row r="11" spans="1:16" x14ac:dyDescent="0.3">
      <c r="B11">
        <v>2021</v>
      </c>
      <c r="C11" s="60">
        <v>2.6000000000000002E-2</v>
      </c>
      <c r="D11" s="18">
        <v>10</v>
      </c>
      <c r="E11" s="59">
        <f t="shared" si="0"/>
        <v>0.1</v>
      </c>
      <c r="P11" s="45"/>
    </row>
    <row r="12" spans="1:16" x14ac:dyDescent="0.3">
      <c r="B12">
        <v>2022</v>
      </c>
      <c r="C12" s="60">
        <v>9.0999999999999998E-2</v>
      </c>
      <c r="D12" s="18">
        <v>11</v>
      </c>
      <c r="E12" s="59">
        <f t="shared" si="0"/>
        <v>9.0909090909090912E-2</v>
      </c>
      <c r="P12" s="45"/>
    </row>
    <row r="13" spans="1:16" x14ac:dyDescent="0.3">
      <c r="B13">
        <v>2023</v>
      </c>
      <c r="C13" s="60">
        <v>7.2999999999999995E-2</v>
      </c>
      <c r="D13" s="18">
        <v>12</v>
      </c>
      <c r="E13" s="59">
        <f t="shared" si="0"/>
        <v>8.3333333333333329E-2</v>
      </c>
    </row>
    <row r="15" spans="1:16" x14ac:dyDescent="0.3">
      <c r="C15" t="s">
        <v>201</v>
      </c>
      <c r="E15" t="s">
        <v>196</v>
      </c>
    </row>
    <row r="16" spans="1:16" ht="15.6" x14ac:dyDescent="0.3">
      <c r="B16" t="s">
        <v>174</v>
      </c>
      <c r="C16" s="54" t="s">
        <v>216</v>
      </c>
      <c r="E16" s="54" t="s">
        <v>217</v>
      </c>
      <c r="H16" t="s">
        <v>72</v>
      </c>
    </row>
    <row r="17" spans="3:16" ht="16.2" thickBot="1" x14ac:dyDescent="0.35">
      <c r="C17" s="54" t="s">
        <v>247</v>
      </c>
      <c r="D17" s="55"/>
      <c r="E17" s="54" t="s">
        <v>248</v>
      </c>
    </row>
    <row r="18" spans="3:16" ht="15.6" x14ac:dyDescent="0.3">
      <c r="C18" s="54" t="s">
        <v>175</v>
      </c>
      <c r="H18" s="17" t="s">
        <v>73</v>
      </c>
      <c r="I18" s="17"/>
    </row>
    <row r="19" spans="3:16" x14ac:dyDescent="0.3">
      <c r="C19" t="s">
        <v>181</v>
      </c>
      <c r="H19" t="s">
        <v>74</v>
      </c>
      <c r="I19">
        <v>0.17489580350638781</v>
      </c>
    </row>
    <row r="20" spans="3:16" x14ac:dyDescent="0.3">
      <c r="H20" t="s">
        <v>75</v>
      </c>
      <c r="I20" s="40">
        <v>3.0588542084145017E-2</v>
      </c>
      <c r="J20" s="43" t="s">
        <v>178</v>
      </c>
      <c r="K20" s="43"/>
      <c r="L20" s="43"/>
    </row>
    <row r="21" spans="3:16" x14ac:dyDescent="0.3">
      <c r="H21" t="s">
        <v>76</v>
      </c>
      <c r="I21">
        <v>-6.6352603707440477E-2</v>
      </c>
      <c r="J21" s="43"/>
      <c r="K21" s="43"/>
      <c r="L21" s="43"/>
    </row>
    <row r="22" spans="3:16" x14ac:dyDescent="0.3">
      <c r="H22" t="s">
        <v>71</v>
      </c>
      <c r="I22">
        <v>2.760401494725559E-2</v>
      </c>
      <c r="J22" s="43" t="s">
        <v>176</v>
      </c>
      <c r="K22" s="13">
        <f>I22/AVERAGE(C2:C13)</f>
        <v>0.9601396503393248</v>
      </c>
      <c r="L22" s="43" t="s">
        <v>179</v>
      </c>
    </row>
    <row r="23" spans="3:16" ht="15" thickBot="1" x14ac:dyDescent="0.35">
      <c r="H23" s="15" t="s">
        <v>77</v>
      </c>
      <c r="I23" s="15">
        <v>12</v>
      </c>
    </row>
    <row r="25" spans="3:16" ht="15" thickBot="1" x14ac:dyDescent="0.35">
      <c r="H25" t="s">
        <v>78</v>
      </c>
    </row>
    <row r="26" spans="3:16" x14ac:dyDescent="0.3">
      <c r="H26" s="16"/>
      <c r="I26" s="16" t="s">
        <v>83</v>
      </c>
      <c r="J26" s="16" t="s">
        <v>84</v>
      </c>
      <c r="K26" s="16" t="s">
        <v>85</v>
      </c>
      <c r="L26" s="16" t="s">
        <v>86</v>
      </c>
      <c r="M26" s="16" t="s">
        <v>87</v>
      </c>
    </row>
    <row r="27" spans="3:16" x14ac:dyDescent="0.3">
      <c r="H27" t="s">
        <v>79</v>
      </c>
      <c r="I27">
        <v>1</v>
      </c>
      <c r="J27">
        <v>2.4043358791690089E-4</v>
      </c>
      <c r="K27">
        <v>2.4043358791690089E-4</v>
      </c>
      <c r="L27">
        <v>0.31553724514364162</v>
      </c>
      <c r="M27">
        <v>0.58667015445579485</v>
      </c>
    </row>
    <row r="28" spans="3:16" x14ac:dyDescent="0.3">
      <c r="H28" t="s">
        <v>80</v>
      </c>
      <c r="I28">
        <v>10</v>
      </c>
      <c r="J28">
        <v>7.6198164120831E-3</v>
      </c>
      <c r="K28">
        <v>7.6198164120830998E-4</v>
      </c>
    </row>
    <row r="29" spans="3:16" ht="15" thickBot="1" x14ac:dyDescent="0.35">
      <c r="H29" s="15" t="s">
        <v>81</v>
      </c>
      <c r="I29" s="15">
        <v>11</v>
      </c>
      <c r="J29" s="15">
        <v>7.8602500000000009E-3</v>
      </c>
      <c r="K29" s="15"/>
      <c r="L29" s="15"/>
      <c r="M29" s="15"/>
    </row>
    <row r="30" spans="3:16" ht="15" thickBot="1" x14ac:dyDescent="0.35"/>
    <row r="31" spans="3:16" x14ac:dyDescent="0.3">
      <c r="H31" s="16"/>
      <c r="I31" s="16" t="s">
        <v>88</v>
      </c>
      <c r="J31" s="16" t="s">
        <v>71</v>
      </c>
      <c r="K31" s="16" t="s">
        <v>89</v>
      </c>
      <c r="L31" s="16" t="s">
        <v>90</v>
      </c>
      <c r="M31" s="16" t="s">
        <v>91</v>
      </c>
      <c r="N31" s="16" t="s">
        <v>92</v>
      </c>
      <c r="O31" s="16" t="s">
        <v>93</v>
      </c>
      <c r="P31" s="16" t="s">
        <v>94</v>
      </c>
    </row>
    <row r="32" spans="3:16" x14ac:dyDescent="0.3">
      <c r="G32" s="51" t="s">
        <v>172</v>
      </c>
      <c r="H32" t="s">
        <v>82</v>
      </c>
      <c r="I32" s="56">
        <v>3.3342110514855444E-2</v>
      </c>
      <c r="J32">
        <v>1.141616686521915E-2</v>
      </c>
      <c r="K32">
        <v>2.9206046923189741</v>
      </c>
      <c r="L32" s="40">
        <v>1.5284640648525126E-2</v>
      </c>
      <c r="M32">
        <v>7.9053055817023023E-3</v>
      </c>
      <c r="N32">
        <v>5.877891544800859E-2</v>
      </c>
      <c r="O32">
        <v>7.9053055817023023E-3</v>
      </c>
      <c r="P32">
        <v>5.877891544800859E-2</v>
      </c>
    </row>
    <row r="33" spans="1:27" ht="15" thickBot="1" x14ac:dyDescent="0.35">
      <c r="G33" s="51" t="s">
        <v>177</v>
      </c>
      <c r="H33" s="15" t="s">
        <v>173</v>
      </c>
      <c r="I33" s="50">
        <v>-1.7757520159746035E-2</v>
      </c>
      <c r="J33" s="15">
        <v>3.1612366013032751E-2</v>
      </c>
      <c r="K33" s="15">
        <v>-0.56172702012956532</v>
      </c>
      <c r="L33" s="50">
        <v>0.58667015445579529</v>
      </c>
      <c r="M33" s="15">
        <v>-8.819426107659474E-2</v>
      </c>
      <c r="N33" s="15">
        <v>5.2679220757102671E-2</v>
      </c>
      <c r="O33" s="15">
        <v>-8.819426107659474E-2</v>
      </c>
      <c r="P33" s="15">
        <v>5.2679220757102671E-2</v>
      </c>
    </row>
    <row r="34" spans="1:27" ht="15" thickBot="1" x14ac:dyDescent="0.3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5" t="s">
        <v>180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5" thickTop="1" x14ac:dyDescent="0.3">
      <c r="A35" s="43" t="s">
        <v>193</v>
      </c>
    </row>
    <row r="36" spans="1:27" x14ac:dyDescent="0.3">
      <c r="C36" s="18" t="str">
        <f>C1</f>
        <v>Coroczna inflacja wskaźnika CPI w UK</v>
      </c>
      <c r="D36" s="57" t="str">
        <f>D1</f>
        <v>X</v>
      </c>
      <c r="E36" s="58" t="s">
        <v>182</v>
      </c>
      <c r="H36" t="s">
        <v>72</v>
      </c>
    </row>
    <row r="37" spans="1:27" ht="15" thickBot="1" x14ac:dyDescent="0.35">
      <c r="C37" s="60">
        <f t="shared" ref="C37:D48" si="1">C2</f>
        <v>2.7999999999999997E-2</v>
      </c>
      <c r="D37" s="18">
        <f t="shared" si="1"/>
        <v>1</v>
      </c>
      <c r="E37" s="59">
        <f>D37^2</f>
        <v>1</v>
      </c>
    </row>
    <row r="38" spans="1:27" x14ac:dyDescent="0.3">
      <c r="C38" s="60">
        <f t="shared" si="1"/>
        <v>2.6000000000000002E-2</v>
      </c>
      <c r="D38" s="18">
        <f t="shared" si="1"/>
        <v>2</v>
      </c>
      <c r="E38" s="59">
        <f t="shared" ref="E38:E48" si="2">D38^2</f>
        <v>4</v>
      </c>
      <c r="H38" s="17" t="s">
        <v>73</v>
      </c>
      <c r="I38" s="17"/>
    </row>
    <row r="39" spans="1:27" x14ac:dyDescent="0.3">
      <c r="C39" s="60">
        <f t="shared" si="1"/>
        <v>1.4999999999999999E-2</v>
      </c>
      <c r="D39" s="18">
        <f t="shared" si="1"/>
        <v>3</v>
      </c>
      <c r="E39" s="59">
        <f t="shared" si="2"/>
        <v>9</v>
      </c>
      <c r="H39" t="s">
        <v>74</v>
      </c>
      <c r="I39">
        <v>0.83502080158766645</v>
      </c>
    </row>
    <row r="40" spans="1:27" x14ac:dyDescent="0.3">
      <c r="C40" s="60">
        <f t="shared" si="1"/>
        <v>0</v>
      </c>
      <c r="D40" s="18">
        <f t="shared" si="1"/>
        <v>4</v>
      </c>
      <c r="E40" s="59">
        <f t="shared" si="2"/>
        <v>16</v>
      </c>
      <c r="H40" t="s">
        <v>75</v>
      </c>
      <c r="I40" s="40">
        <v>0.69725973908410899</v>
      </c>
      <c r="J40" s="43" t="s">
        <v>190</v>
      </c>
      <c r="K40" s="43"/>
      <c r="L40" s="43"/>
    </row>
    <row r="41" spans="1:27" x14ac:dyDescent="0.3">
      <c r="C41" s="60">
        <f t="shared" si="1"/>
        <v>6.9999999999999993E-3</v>
      </c>
      <c r="D41" s="18">
        <f t="shared" si="1"/>
        <v>5</v>
      </c>
      <c r="E41" s="59">
        <f t="shared" si="2"/>
        <v>25</v>
      </c>
      <c r="H41" t="s">
        <v>76</v>
      </c>
      <c r="I41">
        <v>0.62998412554724437</v>
      </c>
      <c r="J41" s="43"/>
      <c r="K41" s="43"/>
      <c r="L41" s="43"/>
    </row>
    <row r="42" spans="1:27" x14ac:dyDescent="0.3">
      <c r="C42" s="60">
        <f t="shared" si="1"/>
        <v>2.7000000000000003E-2</v>
      </c>
      <c r="D42" s="18">
        <f t="shared" si="1"/>
        <v>6</v>
      </c>
      <c r="E42" s="59">
        <f t="shared" si="2"/>
        <v>36</v>
      </c>
      <c r="H42" t="s">
        <v>71</v>
      </c>
      <c r="I42">
        <v>1.6260429596156749E-2</v>
      </c>
      <c r="J42" s="43" t="s">
        <v>176</v>
      </c>
      <c r="K42" s="13">
        <f>I42/AVERAGE(C37:C48)</f>
        <v>0.56558015986632171</v>
      </c>
      <c r="L42" s="63" t="s">
        <v>191</v>
      </c>
    </row>
    <row r="43" spans="1:27" ht="15" thickBot="1" x14ac:dyDescent="0.35">
      <c r="C43" s="60">
        <f t="shared" si="1"/>
        <v>2.5000000000000001E-2</v>
      </c>
      <c r="D43" s="18">
        <f t="shared" si="1"/>
        <v>7</v>
      </c>
      <c r="E43" s="59">
        <f t="shared" si="2"/>
        <v>49</v>
      </c>
      <c r="H43" s="15" t="s">
        <v>77</v>
      </c>
      <c r="I43" s="15">
        <v>12</v>
      </c>
    </row>
    <row r="44" spans="1:27" x14ac:dyDescent="0.3">
      <c r="C44" s="60">
        <f t="shared" si="1"/>
        <v>1.8000000000000002E-2</v>
      </c>
      <c r="D44" s="18">
        <f t="shared" si="1"/>
        <v>8</v>
      </c>
      <c r="E44" s="59">
        <f t="shared" si="2"/>
        <v>64</v>
      </c>
    </row>
    <row r="45" spans="1:27" ht="15" thickBot="1" x14ac:dyDescent="0.35">
      <c r="C45" s="60">
        <f t="shared" si="1"/>
        <v>9.0000000000000011E-3</v>
      </c>
      <c r="D45" s="18">
        <f t="shared" si="1"/>
        <v>9</v>
      </c>
      <c r="E45" s="59">
        <f t="shared" si="2"/>
        <v>81</v>
      </c>
      <c r="H45" t="s">
        <v>78</v>
      </c>
    </row>
    <row r="46" spans="1:27" x14ac:dyDescent="0.3">
      <c r="C46" s="60">
        <f t="shared" si="1"/>
        <v>2.6000000000000002E-2</v>
      </c>
      <c r="D46" s="18">
        <f t="shared" si="1"/>
        <v>10</v>
      </c>
      <c r="E46" s="59">
        <f t="shared" si="2"/>
        <v>100</v>
      </c>
      <c r="H46" s="16"/>
      <c r="I46" s="16" t="s">
        <v>83</v>
      </c>
      <c r="J46" s="16" t="s">
        <v>84</v>
      </c>
      <c r="K46" s="16" t="s">
        <v>85</v>
      </c>
      <c r="L46" s="16" t="s">
        <v>86</v>
      </c>
      <c r="M46" s="16" t="s">
        <v>87</v>
      </c>
    </row>
    <row r="47" spans="1:27" x14ac:dyDescent="0.3">
      <c r="C47" s="60">
        <f t="shared" si="1"/>
        <v>9.0999999999999998E-2</v>
      </c>
      <c r="D47" s="18">
        <f t="shared" si="1"/>
        <v>11</v>
      </c>
      <c r="E47" s="59">
        <f t="shared" si="2"/>
        <v>121</v>
      </c>
      <c r="H47" t="s">
        <v>79</v>
      </c>
      <c r="I47">
        <v>2</v>
      </c>
      <c r="J47">
        <v>5.4806358641358681E-3</v>
      </c>
      <c r="K47">
        <v>2.740317932067934E-3</v>
      </c>
      <c r="L47">
        <v>10.364227131158531</v>
      </c>
      <c r="M47">
        <v>4.6218496535457773E-3</v>
      </c>
    </row>
    <row r="48" spans="1:27" x14ac:dyDescent="0.3">
      <c r="C48" s="60">
        <f t="shared" si="1"/>
        <v>7.2999999999999995E-2</v>
      </c>
      <c r="D48" s="18">
        <f t="shared" si="1"/>
        <v>12</v>
      </c>
      <c r="E48" s="59">
        <f t="shared" si="2"/>
        <v>144</v>
      </c>
      <c r="H48" t="s">
        <v>80</v>
      </c>
      <c r="I48">
        <v>9</v>
      </c>
      <c r="J48">
        <v>2.3796141358641328E-3</v>
      </c>
      <c r="K48">
        <v>2.6440157065157031E-4</v>
      </c>
      <c r="R48" s="45"/>
    </row>
    <row r="49" spans="1:27" ht="15" thickBot="1" x14ac:dyDescent="0.35">
      <c r="H49" s="15" t="s">
        <v>81</v>
      </c>
      <c r="I49" s="15">
        <v>11</v>
      </c>
      <c r="J49" s="15">
        <v>7.8602500000000009E-3</v>
      </c>
      <c r="K49" s="15"/>
      <c r="L49" s="15"/>
      <c r="M49" s="15"/>
      <c r="R49" s="45"/>
    </row>
    <row r="50" spans="1:27" ht="15" thickBot="1" x14ac:dyDescent="0.35">
      <c r="R50" s="45"/>
    </row>
    <row r="51" spans="1:27" x14ac:dyDescent="0.3">
      <c r="H51" s="16"/>
      <c r="I51" s="16" t="s">
        <v>88</v>
      </c>
      <c r="J51" s="16" t="s">
        <v>71</v>
      </c>
      <c r="K51" s="16" t="s">
        <v>89</v>
      </c>
      <c r="L51" s="16" t="s">
        <v>90</v>
      </c>
      <c r="M51" s="16" t="s">
        <v>91</v>
      </c>
      <c r="N51" s="16" t="s">
        <v>92</v>
      </c>
      <c r="O51" s="16" t="s">
        <v>93</v>
      </c>
      <c r="P51" s="16" t="s">
        <v>94</v>
      </c>
      <c r="R51" s="45"/>
    </row>
    <row r="52" spans="1:27" x14ac:dyDescent="0.3">
      <c r="F52" s="46"/>
      <c r="G52" s="53" t="s">
        <v>172</v>
      </c>
      <c r="H52" t="s">
        <v>82</v>
      </c>
      <c r="I52" s="40">
        <v>4.484090909090914E-2</v>
      </c>
      <c r="J52">
        <v>1.6805622584978024E-2</v>
      </c>
      <c r="K52">
        <v>2.6682087416976095</v>
      </c>
      <c r="L52" s="40">
        <v>2.5697773123757248E-2</v>
      </c>
      <c r="M52">
        <v>6.8239495850178147E-3</v>
      </c>
      <c r="N52">
        <v>8.2857868596800471E-2</v>
      </c>
      <c r="O52">
        <v>6.8239495850178147E-3</v>
      </c>
      <c r="P52">
        <v>8.2857868596800471E-2</v>
      </c>
    </row>
    <row r="53" spans="1:27" x14ac:dyDescent="0.3">
      <c r="G53" s="51" t="s">
        <v>177</v>
      </c>
      <c r="H53" t="s">
        <v>171</v>
      </c>
      <c r="I53" s="40">
        <v>-1.4594655344655361E-2</v>
      </c>
      <c r="J53">
        <v>5.9437683074758723E-3</v>
      </c>
      <c r="K53">
        <v>-2.455454955452872</v>
      </c>
      <c r="L53" s="40">
        <v>3.6429261993979639E-2</v>
      </c>
      <c r="M53">
        <v>-2.804039339542487E-2</v>
      </c>
      <c r="N53">
        <v>-1.1489172938858507E-3</v>
      </c>
      <c r="O53">
        <v>-2.804039339542487E-2</v>
      </c>
      <c r="P53">
        <v>-1.1489172938858507E-3</v>
      </c>
    </row>
    <row r="54" spans="1:27" ht="15" thickBot="1" x14ac:dyDescent="0.35">
      <c r="G54" s="51" t="s">
        <v>189</v>
      </c>
      <c r="H54" s="15" t="s">
        <v>182</v>
      </c>
      <c r="I54" s="50">
        <v>1.4542957042957055E-3</v>
      </c>
      <c r="J54" s="15">
        <v>4.4508771597715901E-4</v>
      </c>
      <c r="K54" s="15">
        <v>3.2674361751433665</v>
      </c>
      <c r="L54" s="50">
        <v>9.7224729213959953E-3</v>
      </c>
      <c r="M54" s="15">
        <v>4.4743733952448206E-4</v>
      </c>
      <c r="N54" s="15">
        <v>2.4611540690669289E-3</v>
      </c>
      <c r="O54" s="15">
        <v>4.4743733952448206E-4</v>
      </c>
      <c r="P54" s="15">
        <v>2.4611540690669289E-3</v>
      </c>
    </row>
    <row r="55" spans="1:27" ht="18" x14ac:dyDescent="0.35">
      <c r="C55" t="s">
        <v>187</v>
      </c>
      <c r="D55" t="s">
        <v>188</v>
      </c>
      <c r="F55" s="52"/>
      <c r="G55" s="54" t="s">
        <v>183</v>
      </c>
      <c r="L55" s="43" t="s">
        <v>192</v>
      </c>
    </row>
    <row r="56" spans="1:27" ht="15.6" x14ac:dyDescent="0.3">
      <c r="C56" s="54" t="s">
        <v>229</v>
      </c>
      <c r="E56" s="54" t="s">
        <v>230</v>
      </c>
      <c r="G56" t="s">
        <v>184</v>
      </c>
      <c r="H56" s="40">
        <f>I53^2-(4*I52*I54)</f>
        <v>-4.7843801241216329E-5</v>
      </c>
    </row>
    <row r="57" spans="1:27" ht="15.6" x14ac:dyDescent="0.3">
      <c r="C57" s="54" t="s">
        <v>232</v>
      </c>
      <c r="E57" s="54" t="s">
        <v>233</v>
      </c>
      <c r="G57" t="s">
        <v>185</v>
      </c>
      <c r="H57" s="40">
        <f>-H56/(4*I54)</f>
        <v>8.2245655233483608E-3</v>
      </c>
    </row>
    <row r="58" spans="1:27" x14ac:dyDescent="0.3">
      <c r="G58" t="s">
        <v>186</v>
      </c>
      <c r="H58" s="40">
        <f>-I53/(2*I54)</f>
        <v>5.0177743431221034</v>
      </c>
    </row>
    <row r="59" spans="1:27" ht="18" x14ac:dyDescent="0.35">
      <c r="F59" s="52"/>
    </row>
    <row r="60" spans="1:27" ht="18" x14ac:dyDescent="0.35">
      <c r="F60" s="52"/>
      <c r="G60" s="54" t="s">
        <v>175</v>
      </c>
    </row>
    <row r="61" spans="1:27" x14ac:dyDescent="0.3">
      <c r="G61" t="s">
        <v>227</v>
      </c>
    </row>
    <row r="62" spans="1:27" ht="18" x14ac:dyDescent="0.35">
      <c r="F62" s="47"/>
      <c r="G62" s="43" t="s">
        <v>317</v>
      </c>
    </row>
    <row r="64" spans="1:27" ht="15" thickBot="1" x14ac:dyDescent="0.3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5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5" thickTop="1" x14ac:dyDescent="0.3">
      <c r="A65" s="43" t="s">
        <v>194</v>
      </c>
      <c r="C65" s="43" t="s">
        <v>206</v>
      </c>
    </row>
    <row r="66" spans="1:27" ht="18" x14ac:dyDescent="0.35">
      <c r="C66" s="18" t="str">
        <f>C1</f>
        <v>Coroczna inflacja wskaźnika CPI w UK</v>
      </c>
      <c r="D66" s="57" t="str">
        <f>D1</f>
        <v>X</v>
      </c>
      <c r="E66" s="58" t="s">
        <v>195</v>
      </c>
      <c r="H66" t="s">
        <v>72</v>
      </c>
      <c r="X66" s="52"/>
      <c r="Y66" s="52"/>
      <c r="Z66" s="52"/>
      <c r="AA66" s="52"/>
    </row>
    <row r="67" spans="1:27" ht="18.600000000000001" thickBot="1" x14ac:dyDescent="0.4">
      <c r="C67" s="60">
        <f t="shared" ref="C67:D78" si="3">C2</f>
        <v>2.7999999999999997E-2</v>
      </c>
      <c r="D67" s="18">
        <f t="shared" si="3"/>
        <v>1</v>
      </c>
      <c r="E67" s="59">
        <f>LN(C67)</f>
        <v>-3.575550768806933</v>
      </c>
      <c r="X67" s="52"/>
      <c r="Y67" s="52"/>
      <c r="Z67" s="52"/>
      <c r="AA67" s="52"/>
    </row>
    <row r="68" spans="1:27" ht="18" x14ac:dyDescent="0.35">
      <c r="C68" s="60">
        <f t="shared" si="3"/>
        <v>2.6000000000000002E-2</v>
      </c>
      <c r="D68" s="18">
        <f t="shared" si="3"/>
        <v>2</v>
      </c>
      <c r="E68" s="59">
        <f t="shared" ref="E68:E78" si="4">LN(C68)</f>
        <v>-3.6496587409606551</v>
      </c>
      <c r="H68" s="17" t="s">
        <v>73</v>
      </c>
      <c r="I68" s="17"/>
      <c r="X68" s="52"/>
      <c r="Y68" s="52"/>
      <c r="Z68" s="52"/>
      <c r="AA68" s="52"/>
    </row>
    <row r="69" spans="1:27" ht="18" x14ac:dyDescent="0.35">
      <c r="C69" s="60">
        <f t="shared" si="3"/>
        <v>1.4999999999999999E-2</v>
      </c>
      <c r="D69" s="18">
        <f t="shared" si="3"/>
        <v>3</v>
      </c>
      <c r="E69" s="59">
        <f t="shared" si="4"/>
        <v>-4.1997050778799272</v>
      </c>
      <c r="H69" t="s">
        <v>74</v>
      </c>
      <c r="I69">
        <v>4.7169388076563144E-2</v>
      </c>
      <c r="X69" s="52"/>
      <c r="Y69" s="52"/>
      <c r="Z69" s="52"/>
      <c r="AA69" s="52"/>
    </row>
    <row r="70" spans="1:27" ht="18" x14ac:dyDescent="0.35">
      <c r="C70" s="60">
        <f t="shared" si="3"/>
        <v>0</v>
      </c>
      <c r="D70" s="18">
        <f t="shared" si="3"/>
        <v>4</v>
      </c>
      <c r="E70" s="59" t="e">
        <f t="shared" si="4"/>
        <v>#NUM!</v>
      </c>
      <c r="H70" t="s">
        <v>75</v>
      </c>
      <c r="I70">
        <v>2.2249511715174172E-3</v>
      </c>
      <c r="J70" s="43"/>
      <c r="K70" s="43"/>
      <c r="L70" s="43"/>
      <c r="X70" s="52"/>
      <c r="Y70" s="52"/>
      <c r="Z70" s="52"/>
      <c r="AA70" s="52"/>
    </row>
    <row r="71" spans="1:27" ht="18" x14ac:dyDescent="0.35">
      <c r="C71" s="60">
        <f t="shared" si="3"/>
        <v>6.9999999999999993E-3</v>
      </c>
      <c r="D71" s="18">
        <f t="shared" si="3"/>
        <v>5</v>
      </c>
      <c r="E71" s="59">
        <f t="shared" si="4"/>
        <v>-4.9618451299268242</v>
      </c>
      <c r="H71" t="s">
        <v>76</v>
      </c>
      <c r="I71">
        <v>-9.7552553711330842E-2</v>
      </c>
      <c r="J71" s="43"/>
      <c r="K71" s="43"/>
      <c r="L71" s="43"/>
      <c r="R71" s="44"/>
      <c r="X71" s="52"/>
      <c r="Y71" s="52"/>
      <c r="Z71" s="52"/>
      <c r="AA71" s="52"/>
    </row>
    <row r="72" spans="1:27" ht="18" x14ac:dyDescent="0.35">
      <c r="C72" s="60">
        <f t="shared" si="3"/>
        <v>2.7000000000000003E-2</v>
      </c>
      <c r="D72" s="18">
        <f t="shared" si="3"/>
        <v>6</v>
      </c>
      <c r="E72" s="59">
        <f t="shared" si="4"/>
        <v>-3.6119184129778077</v>
      </c>
      <c r="H72" t="s">
        <v>71</v>
      </c>
      <c r="I72">
        <v>1.3635344656385091</v>
      </c>
      <c r="J72" s="43"/>
      <c r="K72" s="62"/>
      <c r="L72" s="43"/>
      <c r="X72" s="52"/>
      <c r="Y72" s="52"/>
      <c r="Z72" s="52"/>
      <c r="AA72" s="52"/>
    </row>
    <row r="73" spans="1:27" ht="18.600000000000001" thickBot="1" x14ac:dyDescent="0.4">
      <c r="C73" s="60">
        <f t="shared" si="3"/>
        <v>2.5000000000000001E-2</v>
      </c>
      <c r="D73" s="18">
        <f t="shared" si="3"/>
        <v>7</v>
      </c>
      <c r="E73" s="59">
        <f t="shared" si="4"/>
        <v>-3.6888794541139363</v>
      </c>
      <c r="H73" s="15" t="s">
        <v>77</v>
      </c>
      <c r="I73" s="15">
        <v>12</v>
      </c>
      <c r="X73" s="52"/>
      <c r="Y73" s="52"/>
      <c r="Z73" s="52"/>
      <c r="AA73" s="52"/>
    </row>
    <row r="74" spans="1:27" ht="18" x14ac:dyDescent="0.35">
      <c r="C74" s="60">
        <f t="shared" si="3"/>
        <v>1.8000000000000002E-2</v>
      </c>
      <c r="D74" s="18">
        <f t="shared" si="3"/>
        <v>8</v>
      </c>
      <c r="E74" s="59">
        <f t="shared" si="4"/>
        <v>-4.0173835210859723</v>
      </c>
      <c r="X74" s="52"/>
      <c r="Y74" s="52"/>
      <c r="Z74" s="52"/>
      <c r="AA74" s="52"/>
    </row>
    <row r="75" spans="1:27" ht="18.600000000000001" thickBot="1" x14ac:dyDescent="0.4">
      <c r="C75" s="60">
        <f t="shared" si="3"/>
        <v>9.0000000000000011E-3</v>
      </c>
      <c r="D75" s="18">
        <f t="shared" si="3"/>
        <v>9</v>
      </c>
      <c r="E75" s="59">
        <f t="shared" si="4"/>
        <v>-4.7105307016459177</v>
      </c>
      <c r="H75" t="s">
        <v>78</v>
      </c>
      <c r="X75" s="52"/>
      <c r="Y75" s="52"/>
      <c r="Z75" s="52"/>
      <c r="AA75" s="52"/>
    </row>
    <row r="76" spans="1:27" x14ac:dyDescent="0.3">
      <c r="C76" s="60">
        <f t="shared" si="3"/>
        <v>2.6000000000000002E-2</v>
      </c>
      <c r="D76" s="18">
        <f t="shared" si="3"/>
        <v>10</v>
      </c>
      <c r="E76" s="59">
        <f t="shared" si="4"/>
        <v>-3.6496587409606551</v>
      </c>
      <c r="H76" s="16"/>
      <c r="I76" s="16" t="s">
        <v>83</v>
      </c>
      <c r="J76" s="16" t="s">
        <v>84</v>
      </c>
      <c r="K76" s="16" t="s">
        <v>85</v>
      </c>
      <c r="L76" s="16" t="s">
        <v>86</v>
      </c>
      <c r="M76" s="16" t="s">
        <v>87</v>
      </c>
      <c r="R76" s="44"/>
    </row>
    <row r="77" spans="1:27" x14ac:dyDescent="0.3">
      <c r="C77" s="60">
        <f t="shared" si="3"/>
        <v>9.0999999999999998E-2</v>
      </c>
      <c r="D77" s="18">
        <f t="shared" si="3"/>
        <v>11</v>
      </c>
      <c r="E77" s="59">
        <f t="shared" si="4"/>
        <v>-2.3968957724652871</v>
      </c>
      <c r="H77" t="s">
        <v>79</v>
      </c>
      <c r="I77">
        <v>1</v>
      </c>
      <c r="J77">
        <v>4.1459120504171665E-2</v>
      </c>
      <c r="K77">
        <v>4.1459120504171665E-2</v>
      </c>
      <c r="L77">
        <v>2.229912618209684E-2</v>
      </c>
      <c r="M77">
        <v>0.8842627610098267</v>
      </c>
    </row>
    <row r="78" spans="1:27" x14ac:dyDescent="0.3">
      <c r="C78" s="60">
        <f t="shared" si="3"/>
        <v>7.2999999999999995E-2</v>
      </c>
      <c r="D78" s="18">
        <f t="shared" si="3"/>
        <v>12</v>
      </c>
      <c r="E78" s="59">
        <f t="shared" si="4"/>
        <v>-2.6172958378337459</v>
      </c>
      <c r="H78" t="s">
        <v>80</v>
      </c>
      <c r="I78">
        <v>10</v>
      </c>
      <c r="J78">
        <v>18.592262389840947</v>
      </c>
      <c r="K78">
        <v>1.8592262389840948</v>
      </c>
    </row>
    <row r="79" spans="1:27" ht="15" thickBot="1" x14ac:dyDescent="0.35">
      <c r="H79" s="15" t="s">
        <v>81</v>
      </c>
      <c r="I79" s="15">
        <v>11</v>
      </c>
      <c r="J79" s="15">
        <v>18.633721510345119</v>
      </c>
      <c r="K79" s="15"/>
      <c r="L79" s="15"/>
      <c r="M79" s="15"/>
      <c r="V79" s="45"/>
    </row>
    <row r="80" spans="1:27" ht="15" thickBot="1" x14ac:dyDescent="0.35">
      <c r="V80" s="45"/>
    </row>
    <row r="81" spans="1:27" x14ac:dyDescent="0.3">
      <c r="C81" t="s">
        <v>201</v>
      </c>
      <c r="H81" s="16"/>
      <c r="I81" s="16" t="s">
        <v>88</v>
      </c>
      <c r="J81" s="16" t="s">
        <v>71</v>
      </c>
      <c r="K81" s="16" t="s">
        <v>89</v>
      </c>
      <c r="L81" s="16" t="s">
        <v>90</v>
      </c>
      <c r="M81" s="16" t="s">
        <v>91</v>
      </c>
      <c r="N81" s="16" t="s">
        <v>92</v>
      </c>
      <c r="O81" s="16" t="s">
        <v>93</v>
      </c>
      <c r="P81" s="16" t="s">
        <v>94</v>
      </c>
      <c r="V81" s="45"/>
    </row>
    <row r="82" spans="1:27" x14ac:dyDescent="0.3">
      <c r="G82" t="s">
        <v>197</v>
      </c>
      <c r="H82" t="s">
        <v>82</v>
      </c>
      <c r="I82" s="40">
        <v>-3.5339533372992387</v>
      </c>
      <c r="J82">
        <v>0.83919745188575923</v>
      </c>
      <c r="K82">
        <v>-4.2111106621666901</v>
      </c>
      <c r="L82" s="40">
        <v>1.7967549430295679E-3</v>
      </c>
      <c r="M82">
        <v>-5.4038017843337807</v>
      </c>
      <c r="N82">
        <v>-1.6641048902646964</v>
      </c>
      <c r="O82">
        <v>-5.4038017843337807</v>
      </c>
      <c r="P82">
        <v>-1.6641048902646964</v>
      </c>
      <c r="V82" s="45"/>
    </row>
    <row r="83" spans="1:27" ht="15" thickBot="1" x14ac:dyDescent="0.35">
      <c r="G83" t="s">
        <v>177</v>
      </c>
      <c r="H83" s="15" t="s">
        <v>171</v>
      </c>
      <c r="I83" s="50">
        <v>1.7027152422220672E-2</v>
      </c>
      <c r="J83" s="15">
        <v>0.11402448022594915</v>
      </c>
      <c r="K83" s="15">
        <v>0.14932891944326279</v>
      </c>
      <c r="L83" s="50">
        <v>0.88426276100983792</v>
      </c>
      <c r="M83" s="15">
        <v>-0.23703522204675728</v>
      </c>
      <c r="N83" s="15">
        <v>0.27108952689119864</v>
      </c>
      <c r="O83" s="15">
        <v>-0.23703522204675728</v>
      </c>
      <c r="P83" s="15">
        <v>0.27108952689119864</v>
      </c>
      <c r="V83" s="45"/>
    </row>
    <row r="84" spans="1:27" x14ac:dyDescent="0.3">
      <c r="L84" s="43" t="s">
        <v>203</v>
      </c>
    </row>
    <row r="86" spans="1:27" x14ac:dyDescent="0.3">
      <c r="G86" t="s">
        <v>198</v>
      </c>
      <c r="H86" s="40">
        <f>I82</f>
        <v>-3.5339533372992387</v>
      </c>
    </row>
    <row r="87" spans="1:27" x14ac:dyDescent="0.3">
      <c r="C87" t="s">
        <v>196</v>
      </c>
      <c r="G87" t="s">
        <v>199</v>
      </c>
      <c r="H87" s="40">
        <f>I83</f>
        <v>1.7027152422220672E-2</v>
      </c>
    </row>
    <row r="88" spans="1:27" x14ac:dyDescent="0.3">
      <c r="G88" t="s">
        <v>200</v>
      </c>
      <c r="H88" s="40">
        <f>EXP(H86)</f>
        <v>2.918929235006246E-2</v>
      </c>
    </row>
    <row r="91" spans="1:27" ht="15.6" x14ac:dyDescent="0.3">
      <c r="G91" s="54" t="s">
        <v>175</v>
      </c>
    </row>
    <row r="92" spans="1:27" x14ac:dyDescent="0.3">
      <c r="F92" t="s">
        <v>172</v>
      </c>
      <c r="G92" s="40">
        <f>H88</f>
        <v>2.918929235006246E-2</v>
      </c>
      <c r="H92" t="s">
        <v>204</v>
      </c>
    </row>
    <row r="93" spans="1:27" x14ac:dyDescent="0.3">
      <c r="F93" t="s">
        <v>177</v>
      </c>
      <c r="G93" s="40">
        <f>H87</f>
        <v>1.7027152422220672E-2</v>
      </c>
      <c r="H93" t="s">
        <v>205</v>
      </c>
    </row>
    <row r="94" spans="1:27" ht="15" thickBot="1" x14ac:dyDescent="0.3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5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15" thickTop="1" x14ac:dyDescent="0.3">
      <c r="A95" s="43" t="s">
        <v>214</v>
      </c>
      <c r="C95" s="43" t="s">
        <v>206</v>
      </c>
      <c r="E95" s="14"/>
    </row>
    <row r="96" spans="1:27" x14ac:dyDescent="0.3">
      <c r="C96" s="18" t="str">
        <f>C1</f>
        <v>Coroczna inflacja wskaźnika CPI w UK</v>
      </c>
      <c r="D96" s="57" t="str">
        <f>D1</f>
        <v>X</v>
      </c>
      <c r="E96" s="58" t="s">
        <v>195</v>
      </c>
      <c r="F96" s="18" t="s">
        <v>208</v>
      </c>
      <c r="H96" t="s">
        <v>72</v>
      </c>
    </row>
    <row r="97" spans="2:16" ht="15" thickBot="1" x14ac:dyDescent="0.35">
      <c r="C97" s="60">
        <f t="shared" ref="C97:D97" si="5">C2</f>
        <v>2.7999999999999997E-2</v>
      </c>
      <c r="D97" s="18">
        <f t="shared" si="5"/>
        <v>1</v>
      </c>
      <c r="E97" s="59">
        <f>LN(C97)</f>
        <v>-3.575550768806933</v>
      </c>
      <c r="F97" s="61">
        <f>LN(D97)</f>
        <v>0</v>
      </c>
    </row>
    <row r="98" spans="2:16" x14ac:dyDescent="0.3">
      <c r="C98" s="60">
        <f t="shared" ref="C98" si="6">C3</f>
        <v>2.6000000000000002E-2</v>
      </c>
      <c r="D98" s="18">
        <f t="shared" ref="D98" si="7">D3</f>
        <v>2</v>
      </c>
      <c r="E98" s="59">
        <f t="shared" ref="E98:E100" si="8">LN(C98)</f>
        <v>-3.6496587409606551</v>
      </c>
      <c r="F98" s="61">
        <f t="shared" ref="F98:F108" si="9">LN(D98)</f>
        <v>0.69314718055994529</v>
      </c>
      <c r="H98" s="17" t="s">
        <v>73</v>
      </c>
      <c r="I98" s="17"/>
    </row>
    <row r="99" spans="2:16" x14ac:dyDescent="0.3">
      <c r="C99" s="60">
        <f t="shared" ref="C99" si="10">C4</f>
        <v>1.4999999999999999E-2</v>
      </c>
      <c r="D99" s="18">
        <f t="shared" ref="D99" si="11">D4</f>
        <v>3</v>
      </c>
      <c r="E99" s="59">
        <f t="shared" si="8"/>
        <v>-4.1997050778799272</v>
      </c>
      <c r="F99" s="61">
        <f t="shared" si="9"/>
        <v>1.0986122886681098</v>
      </c>
      <c r="H99" t="s">
        <v>74</v>
      </c>
      <c r="I99">
        <v>2.6205401239451764E-2</v>
      </c>
    </row>
    <row r="100" spans="2:16" x14ac:dyDescent="0.3">
      <c r="C100" s="60">
        <f t="shared" ref="C100" si="12">C5</f>
        <v>0</v>
      </c>
      <c r="D100" s="18">
        <f t="shared" ref="D100" si="13">D5</f>
        <v>4</v>
      </c>
      <c r="E100" s="59" t="e">
        <f t="shared" si="8"/>
        <v>#NUM!</v>
      </c>
      <c r="F100" s="61">
        <f t="shared" si="9"/>
        <v>1.3862943611198906</v>
      </c>
      <c r="H100" t="s">
        <v>75</v>
      </c>
      <c r="I100" s="90">
        <v>6.8672305412065997E-4</v>
      </c>
      <c r="J100" s="43" t="s">
        <v>211</v>
      </c>
      <c r="K100" s="43"/>
      <c r="L100" s="43"/>
    </row>
    <row r="101" spans="2:16" x14ac:dyDescent="0.3">
      <c r="C101" s="60">
        <f t="shared" ref="C101" si="14">C6</f>
        <v>6.9999999999999993E-3</v>
      </c>
      <c r="D101" s="18">
        <f t="shared" ref="D101" si="15">D6</f>
        <v>5</v>
      </c>
      <c r="E101" s="59">
        <f t="shared" ref="E101:E108" si="16">LN(C101)</f>
        <v>-4.9618451299268242</v>
      </c>
      <c r="F101" s="61">
        <f t="shared" si="9"/>
        <v>1.6094379124341003</v>
      </c>
      <c r="H101" t="s">
        <v>76</v>
      </c>
      <c r="I101">
        <v>-9.9244604640467277E-2</v>
      </c>
      <c r="J101" s="43"/>
      <c r="K101" s="43"/>
      <c r="L101" s="43"/>
    </row>
    <row r="102" spans="2:16" x14ac:dyDescent="0.3">
      <c r="C102" s="60">
        <f t="shared" ref="C102" si="17">C7</f>
        <v>2.7000000000000003E-2</v>
      </c>
      <c r="D102" s="18">
        <f t="shared" ref="D102" si="18">D7</f>
        <v>6</v>
      </c>
      <c r="E102" s="59">
        <f t="shared" si="16"/>
        <v>-3.6119184129778077</v>
      </c>
      <c r="F102" s="61">
        <f t="shared" si="9"/>
        <v>1.791759469228055</v>
      </c>
      <c r="H102" t="s">
        <v>71</v>
      </c>
      <c r="I102">
        <v>1.3645851129262661</v>
      </c>
      <c r="J102" s="43" t="s">
        <v>176</v>
      </c>
      <c r="K102" s="13">
        <f>I102/AVERAGE(C97:C108)</f>
        <v>47.463830014826641</v>
      </c>
      <c r="L102" s="43" t="s">
        <v>212</v>
      </c>
    </row>
    <row r="103" spans="2:16" ht="15" thickBot="1" x14ac:dyDescent="0.35">
      <c r="C103" s="60">
        <f t="shared" ref="C103" si="19">C8</f>
        <v>2.5000000000000001E-2</v>
      </c>
      <c r="D103" s="18">
        <f t="shared" ref="D103" si="20">D8</f>
        <v>7</v>
      </c>
      <c r="E103" s="59">
        <f t="shared" si="16"/>
        <v>-3.6888794541139363</v>
      </c>
      <c r="F103" s="61">
        <f t="shared" si="9"/>
        <v>1.9459101490553132</v>
      </c>
      <c r="H103" s="15" t="s">
        <v>77</v>
      </c>
      <c r="I103" s="15">
        <v>12</v>
      </c>
    </row>
    <row r="104" spans="2:16" x14ac:dyDescent="0.3">
      <c r="C104" s="60">
        <f t="shared" ref="C104" si="21">C9</f>
        <v>1.8000000000000002E-2</v>
      </c>
      <c r="D104" s="18">
        <f t="shared" ref="D104" si="22">D9</f>
        <v>8</v>
      </c>
      <c r="E104" s="59">
        <f t="shared" si="16"/>
        <v>-4.0173835210859723</v>
      </c>
      <c r="F104" s="61">
        <f t="shared" si="9"/>
        <v>2.0794415416798357</v>
      </c>
    </row>
    <row r="105" spans="2:16" ht="15" thickBot="1" x14ac:dyDescent="0.35">
      <c r="C105" s="60">
        <f t="shared" ref="C105" si="23">C10</f>
        <v>9.0000000000000011E-3</v>
      </c>
      <c r="D105" s="18">
        <f t="shared" ref="D105" si="24">D10</f>
        <v>9</v>
      </c>
      <c r="E105" s="59">
        <f t="shared" si="16"/>
        <v>-4.7105307016459177</v>
      </c>
      <c r="F105" s="61">
        <f t="shared" si="9"/>
        <v>2.1972245773362196</v>
      </c>
      <c r="H105" t="s">
        <v>78</v>
      </c>
    </row>
    <row r="106" spans="2:16" x14ac:dyDescent="0.3">
      <c r="C106" s="60">
        <f t="shared" ref="C106" si="25">C11</f>
        <v>2.6000000000000002E-2</v>
      </c>
      <c r="D106" s="18">
        <f t="shared" ref="D106" si="26">D11</f>
        <v>10</v>
      </c>
      <c r="E106" s="59">
        <f t="shared" si="16"/>
        <v>-3.6496587409606551</v>
      </c>
      <c r="F106" s="61">
        <f t="shared" si="9"/>
        <v>2.3025850929940459</v>
      </c>
      <c r="H106" s="16"/>
      <c r="I106" s="16" t="s">
        <v>83</v>
      </c>
      <c r="J106" s="16" t="s">
        <v>84</v>
      </c>
      <c r="K106" s="16" t="s">
        <v>85</v>
      </c>
      <c r="L106" s="16" t="s">
        <v>86</v>
      </c>
      <c r="M106" s="16" t="s">
        <v>87</v>
      </c>
    </row>
    <row r="107" spans="2:16" x14ac:dyDescent="0.3">
      <c r="C107" s="60">
        <f t="shared" ref="C107" si="27">C12</f>
        <v>9.0999999999999998E-2</v>
      </c>
      <c r="D107" s="18">
        <f t="shared" ref="D107" si="28">D12</f>
        <v>11</v>
      </c>
      <c r="E107" s="59">
        <f t="shared" si="16"/>
        <v>-2.3968957724652871</v>
      </c>
      <c r="F107" s="61">
        <f t="shared" si="9"/>
        <v>2.3978952727983707</v>
      </c>
      <c r="H107" t="s">
        <v>79</v>
      </c>
      <c r="I107">
        <v>1</v>
      </c>
      <c r="J107">
        <v>1.2796206145218036E-2</v>
      </c>
      <c r="K107">
        <v>1.2796206145218036E-2</v>
      </c>
      <c r="L107">
        <v>6.8719496674700085E-3</v>
      </c>
      <c r="M107">
        <v>0.93556915779723271</v>
      </c>
    </row>
    <row r="108" spans="2:16" x14ac:dyDescent="0.3">
      <c r="C108" s="60">
        <f t="shared" ref="C108" si="29">C13</f>
        <v>7.2999999999999995E-2</v>
      </c>
      <c r="D108" s="18">
        <f t="shared" ref="D108" si="30">D13</f>
        <v>12</v>
      </c>
      <c r="E108" s="59">
        <f t="shared" si="16"/>
        <v>-2.6172958378337459</v>
      </c>
      <c r="F108" s="61">
        <f t="shared" si="9"/>
        <v>2.4849066497880004</v>
      </c>
      <c r="H108" t="s">
        <v>80</v>
      </c>
      <c r="I108">
        <v>10</v>
      </c>
      <c r="J108">
        <v>18.620925304199901</v>
      </c>
      <c r="K108">
        <v>1.86209253041999</v>
      </c>
    </row>
    <row r="109" spans="2:16" ht="15" thickBot="1" x14ac:dyDescent="0.35">
      <c r="H109" s="15" t="s">
        <v>81</v>
      </c>
      <c r="I109" s="15">
        <v>11</v>
      </c>
      <c r="J109" s="15">
        <v>18.633721510345119</v>
      </c>
      <c r="K109" s="15"/>
      <c r="L109" s="15"/>
      <c r="M109" s="15"/>
    </row>
    <row r="110" spans="2:16" ht="15" thickBot="1" x14ac:dyDescent="0.35"/>
    <row r="111" spans="2:16" x14ac:dyDescent="0.3">
      <c r="B111" t="s">
        <v>201</v>
      </c>
      <c r="H111" s="16"/>
      <c r="I111" s="16" t="s">
        <v>88</v>
      </c>
      <c r="J111" s="16" t="s">
        <v>71</v>
      </c>
      <c r="K111" s="16" t="s">
        <v>89</v>
      </c>
      <c r="L111" s="16" t="s">
        <v>90</v>
      </c>
      <c r="M111" s="16" t="s">
        <v>91</v>
      </c>
      <c r="N111" s="16" t="s">
        <v>92</v>
      </c>
      <c r="O111" s="16" t="s">
        <v>93</v>
      </c>
      <c r="P111" s="16" t="s">
        <v>94</v>
      </c>
    </row>
    <row r="112" spans="2:16" x14ac:dyDescent="0.3">
      <c r="G112" t="s">
        <v>202</v>
      </c>
      <c r="H112" t="s">
        <v>82</v>
      </c>
      <c r="I112" s="48">
        <v>-3.4984369557196713</v>
      </c>
      <c r="J112">
        <v>0.98854334426229762</v>
      </c>
      <c r="K112">
        <v>-3.5389818524653429</v>
      </c>
      <c r="L112">
        <v>5.3658529889504163E-3</v>
      </c>
      <c r="M112">
        <v>-5.7010487879429395</v>
      </c>
      <c r="N112">
        <v>-1.2958251234964031</v>
      </c>
      <c r="O112">
        <v>-5.7010487879429395</v>
      </c>
      <c r="P112">
        <v>-1.2958251234964031</v>
      </c>
    </row>
    <row r="113" spans="1:27" ht="15" thickBot="1" x14ac:dyDescent="0.35">
      <c r="G113" t="s">
        <v>172</v>
      </c>
      <c r="H113" s="15" t="s">
        <v>208</v>
      </c>
      <c r="I113" s="49">
        <v>4.5124912737298004E-2</v>
      </c>
      <c r="J113" s="15">
        <v>0.54434769731398136</v>
      </c>
      <c r="K113" s="15">
        <v>8.2897223520851632E-2</v>
      </c>
      <c r="L113" s="15">
        <v>0.93556915779725125</v>
      </c>
      <c r="M113" s="15">
        <v>-1.1677573406372486</v>
      </c>
      <c r="N113" s="15">
        <v>1.2580071661118444</v>
      </c>
      <c r="O113" s="15">
        <v>-1.1677573406372486</v>
      </c>
      <c r="P113" s="15">
        <v>1.2580071661118444</v>
      </c>
    </row>
    <row r="114" spans="1:27" x14ac:dyDescent="0.3">
      <c r="L114" s="43" t="s">
        <v>213</v>
      </c>
    </row>
    <row r="116" spans="1:27" ht="15.6" x14ac:dyDescent="0.3">
      <c r="G116" s="54" t="s">
        <v>175</v>
      </c>
    </row>
    <row r="117" spans="1:27" x14ac:dyDescent="0.3">
      <c r="B117" t="s">
        <v>196</v>
      </c>
      <c r="G117" t="s">
        <v>207</v>
      </c>
      <c r="H117">
        <f>EXP(I112)</f>
        <v>3.0244620176709997E-2</v>
      </c>
    </row>
    <row r="118" spans="1:27" x14ac:dyDescent="0.3">
      <c r="G118" t="s">
        <v>209</v>
      </c>
    </row>
    <row r="119" spans="1:27" x14ac:dyDescent="0.3">
      <c r="G119" t="s">
        <v>241</v>
      </c>
      <c r="H119" t="s">
        <v>210</v>
      </c>
    </row>
    <row r="122" spans="1:27" ht="15" thickBot="1" x14ac:dyDescent="0.35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5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5" thickTop="1" x14ac:dyDescent="0.3">
      <c r="A123" s="43" t="s">
        <v>283</v>
      </c>
    </row>
    <row r="124" spans="1:27" x14ac:dyDescent="0.3">
      <c r="C124" s="18" t="s">
        <v>267</v>
      </c>
      <c r="D124" s="57" t="s">
        <v>171</v>
      </c>
      <c r="H124" t="s">
        <v>72</v>
      </c>
    </row>
    <row r="125" spans="1:27" ht="15" thickBot="1" x14ac:dyDescent="0.35">
      <c r="C125" s="60">
        <v>2.7999999999999997E-2</v>
      </c>
      <c r="D125" s="18">
        <v>1</v>
      </c>
    </row>
    <row r="126" spans="1:27" x14ac:dyDescent="0.3">
      <c r="C126" s="60">
        <v>2.6000000000000002E-2</v>
      </c>
      <c r="D126" s="18">
        <v>2</v>
      </c>
      <c r="H126" s="17" t="s">
        <v>73</v>
      </c>
      <c r="I126" s="17"/>
    </row>
    <row r="127" spans="1:27" x14ac:dyDescent="0.3">
      <c r="C127" s="60">
        <v>1.4999999999999999E-2</v>
      </c>
      <c r="D127" s="18">
        <v>3</v>
      </c>
      <c r="H127" t="s">
        <v>74</v>
      </c>
      <c r="I127">
        <v>0.58149620207962982</v>
      </c>
    </row>
    <row r="128" spans="1:27" x14ac:dyDescent="0.3">
      <c r="C128" s="60">
        <v>0</v>
      </c>
      <c r="D128" s="18">
        <v>4</v>
      </c>
      <c r="H128" t="s">
        <v>75</v>
      </c>
      <c r="I128">
        <v>0.33813783303303363</v>
      </c>
      <c r="J128" s="43" t="s">
        <v>223</v>
      </c>
      <c r="K128" s="43"/>
      <c r="L128" s="43"/>
    </row>
    <row r="129" spans="3:16" x14ac:dyDescent="0.3">
      <c r="C129" s="60">
        <v>6.9999999999999993E-3</v>
      </c>
      <c r="D129" s="18">
        <v>5</v>
      </c>
      <c r="H129" t="s">
        <v>76</v>
      </c>
      <c r="I129">
        <v>0.27195161633633702</v>
      </c>
      <c r="J129" s="43"/>
      <c r="K129" s="43"/>
      <c r="L129" s="43"/>
    </row>
    <row r="130" spans="3:16" x14ac:dyDescent="0.3">
      <c r="C130" s="60">
        <v>2.7000000000000003E-2</v>
      </c>
      <c r="D130" s="18">
        <v>6</v>
      </c>
      <c r="H130" t="s">
        <v>71</v>
      </c>
      <c r="I130">
        <v>2.280877484193769E-2</v>
      </c>
      <c r="J130" s="43" t="s">
        <v>176</v>
      </c>
      <c r="K130" s="63">
        <f>I130/AVERAGE(C125:C136)</f>
        <v>0.79334869015435439</v>
      </c>
      <c r="L130" s="43" t="s">
        <v>281</v>
      </c>
    </row>
    <row r="131" spans="3:16" ht="15" thickBot="1" x14ac:dyDescent="0.35">
      <c r="C131" s="60">
        <v>2.5000000000000001E-2</v>
      </c>
      <c r="D131" s="18">
        <v>7</v>
      </c>
      <c r="H131" s="15" t="s">
        <v>77</v>
      </c>
      <c r="I131" s="15">
        <v>12</v>
      </c>
    </row>
    <row r="132" spans="3:16" x14ac:dyDescent="0.3">
      <c r="C132" s="60">
        <v>1.8000000000000002E-2</v>
      </c>
      <c r="D132" s="18">
        <v>8</v>
      </c>
    </row>
    <row r="133" spans="3:16" ht="15" thickBot="1" x14ac:dyDescent="0.35">
      <c r="C133" s="60">
        <v>9.0000000000000011E-3</v>
      </c>
      <c r="D133" s="18">
        <v>9</v>
      </c>
      <c r="H133" t="s">
        <v>78</v>
      </c>
    </row>
    <row r="134" spans="3:16" x14ac:dyDescent="0.3">
      <c r="C134" s="60">
        <v>2.6000000000000002E-2</v>
      </c>
      <c r="D134" s="18">
        <v>10</v>
      </c>
      <c r="H134" s="16"/>
      <c r="I134" s="16" t="s">
        <v>83</v>
      </c>
      <c r="J134" s="16" t="s">
        <v>84</v>
      </c>
      <c r="K134" s="16" t="s">
        <v>85</v>
      </c>
      <c r="L134" s="16" t="s">
        <v>86</v>
      </c>
      <c r="M134" s="16" t="s">
        <v>87</v>
      </c>
    </row>
    <row r="135" spans="3:16" x14ac:dyDescent="0.3">
      <c r="C135" s="60">
        <v>9.0999999999999998E-2</v>
      </c>
      <c r="D135" s="18">
        <v>11</v>
      </c>
      <c r="H135" t="s">
        <v>79</v>
      </c>
      <c r="I135">
        <v>1</v>
      </c>
      <c r="J135">
        <v>2.657847902097903E-3</v>
      </c>
      <c r="K135">
        <v>2.657847902097903E-3</v>
      </c>
      <c r="L135">
        <v>5.10888595706529</v>
      </c>
      <c r="M135">
        <v>4.7345617469220634E-2</v>
      </c>
    </row>
    <row r="136" spans="3:16" x14ac:dyDescent="0.3">
      <c r="C136" s="60">
        <v>7.2999999999999995E-2</v>
      </c>
      <c r="D136" s="18">
        <v>12</v>
      </c>
      <c r="H136" t="s">
        <v>80</v>
      </c>
      <c r="I136">
        <v>10</v>
      </c>
      <c r="J136">
        <v>5.202402097902098E-3</v>
      </c>
      <c r="K136">
        <v>5.2024020979020977E-4</v>
      </c>
    </row>
    <row r="137" spans="3:16" ht="15" thickBot="1" x14ac:dyDescent="0.35">
      <c r="H137" s="15" t="s">
        <v>81</v>
      </c>
      <c r="I137" s="15">
        <v>11</v>
      </c>
      <c r="J137" s="15">
        <v>7.8602500000000009E-3</v>
      </c>
      <c r="K137" s="15"/>
      <c r="L137" s="15"/>
      <c r="M137" s="15"/>
    </row>
    <row r="138" spans="3:16" ht="15" thickBot="1" x14ac:dyDescent="0.35"/>
    <row r="139" spans="3:16" x14ac:dyDescent="0.3">
      <c r="H139" s="16"/>
      <c r="I139" s="16" t="s">
        <v>88</v>
      </c>
      <c r="J139" s="16" t="s">
        <v>71</v>
      </c>
      <c r="K139" s="16" t="s">
        <v>89</v>
      </c>
      <c r="L139" s="16" t="s">
        <v>90</v>
      </c>
      <c r="M139" s="16" t="s">
        <v>91</v>
      </c>
      <c r="N139" s="16" t="s">
        <v>92</v>
      </c>
      <c r="O139" s="16" t="s">
        <v>93</v>
      </c>
      <c r="P139" s="16" t="s">
        <v>94</v>
      </c>
    </row>
    <row r="140" spans="3:16" x14ac:dyDescent="0.3">
      <c r="G140" t="s">
        <v>207</v>
      </c>
      <c r="H140" t="s">
        <v>82</v>
      </c>
      <c r="I140">
        <v>7.2727272727272224E-4</v>
      </c>
      <c r="J140">
        <v>1.4037830513530025E-2</v>
      </c>
      <c r="K140">
        <v>5.180805727578474E-2</v>
      </c>
      <c r="L140" s="40">
        <v>0.95970193038200557</v>
      </c>
      <c r="M140">
        <v>-3.0550962837521962E-2</v>
      </c>
      <c r="N140">
        <v>3.2005508292067407E-2</v>
      </c>
      <c r="O140">
        <v>-3.0550962837521962E-2</v>
      </c>
      <c r="P140">
        <v>3.2005508292067407E-2</v>
      </c>
    </row>
    <row r="141" spans="3:16" ht="15" thickBot="1" x14ac:dyDescent="0.35">
      <c r="G141" t="s">
        <v>172</v>
      </c>
      <c r="H141" s="15" t="s">
        <v>171</v>
      </c>
      <c r="I141" s="15">
        <v>4.311188811188812E-3</v>
      </c>
      <c r="J141" s="15">
        <v>1.9073655719621142E-3</v>
      </c>
      <c r="K141" s="15">
        <v>2.2602844858701499</v>
      </c>
      <c r="L141" s="50">
        <v>4.7345617469220738E-2</v>
      </c>
      <c r="M141" s="15">
        <v>6.1313475359003368E-5</v>
      </c>
      <c r="N141" s="15">
        <v>8.5610641470186197E-3</v>
      </c>
      <c r="O141" s="15">
        <v>6.1313475359003368E-5</v>
      </c>
      <c r="P141" s="15">
        <v>8.5610641470186197E-3</v>
      </c>
    </row>
    <row r="142" spans="3:16" x14ac:dyDescent="0.3">
      <c r="L142" t="s">
        <v>282</v>
      </c>
    </row>
  </sheetData>
  <pageMargins left="0.7" right="0.7" top="0.75" bottom="0.75" header="0.3" footer="0.3"/>
  <pageSetup paperSize="9" scale="57" orientation="portrait" verticalDpi="0" r:id="rId1"/>
  <colBreaks count="1" manualBreakCount="1">
    <brk id="18" max="43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42"/>
  <sheetViews>
    <sheetView zoomScale="107" zoomScaleNormal="130" zoomScaleSheetLayoutView="100" workbookViewId="0">
      <selection activeCell="F23" sqref="F23"/>
    </sheetView>
  </sheetViews>
  <sheetFormatPr defaultRowHeight="14.4" x14ac:dyDescent="0.3"/>
  <cols>
    <col min="1" max="1" width="6.6640625" customWidth="1"/>
    <col min="3" max="3" width="14.88671875" customWidth="1"/>
    <col min="4" max="4" width="10.33203125" customWidth="1"/>
    <col min="5" max="6" width="11" customWidth="1"/>
    <col min="7" max="7" width="12.6640625" customWidth="1"/>
    <col min="8" max="8" width="19.88671875" customWidth="1"/>
    <col min="9" max="9" width="13.5546875" bestFit="1" customWidth="1"/>
    <col min="10" max="10" width="15.109375" customWidth="1"/>
    <col min="11" max="11" width="11.44140625" bestFit="1" customWidth="1"/>
    <col min="12" max="12" width="15.109375" bestFit="1" customWidth="1"/>
    <col min="13" max="16" width="13.5546875" bestFit="1" customWidth="1"/>
  </cols>
  <sheetData>
    <row r="1" spans="1:16" x14ac:dyDescent="0.3">
      <c r="A1" s="43" t="s">
        <v>316</v>
      </c>
      <c r="B1" t="s">
        <v>272</v>
      </c>
      <c r="C1" s="18" t="s">
        <v>280</v>
      </c>
      <c r="D1" s="57" t="s">
        <v>171</v>
      </c>
      <c r="E1" s="58" t="s">
        <v>173</v>
      </c>
    </row>
    <row r="2" spans="1:16" x14ac:dyDescent="0.3">
      <c r="B2">
        <v>2012</v>
      </c>
      <c r="C2" s="18">
        <v>3.13</v>
      </c>
      <c r="D2" s="18">
        <v>1</v>
      </c>
      <c r="E2" s="59">
        <f>1/D2</f>
        <v>1</v>
      </c>
    </row>
    <row r="3" spans="1:16" x14ac:dyDescent="0.3">
      <c r="B3">
        <v>2013</v>
      </c>
      <c r="C3" s="18">
        <v>3.03</v>
      </c>
      <c r="D3" s="18">
        <v>2</v>
      </c>
      <c r="E3" s="59">
        <f t="shared" ref="E3:E13" si="0">1/D3</f>
        <v>0.5</v>
      </c>
    </row>
    <row r="4" spans="1:16" x14ac:dyDescent="0.3">
      <c r="B4">
        <v>2014</v>
      </c>
      <c r="C4" s="18">
        <v>2.92</v>
      </c>
      <c r="D4" s="18">
        <v>3</v>
      </c>
      <c r="E4" s="59">
        <f t="shared" si="0"/>
        <v>0.33333333333333331</v>
      </c>
    </row>
    <row r="5" spans="1:16" x14ac:dyDescent="0.3">
      <c r="B5">
        <v>2015</v>
      </c>
      <c r="C5" s="18">
        <v>2.86</v>
      </c>
      <c r="D5" s="18">
        <v>4</v>
      </c>
      <c r="E5" s="59">
        <f t="shared" si="0"/>
        <v>0.25</v>
      </c>
    </row>
    <row r="6" spans="1:16" x14ac:dyDescent="0.3">
      <c r="B6">
        <v>2016</v>
      </c>
      <c r="C6" s="18">
        <v>2.87</v>
      </c>
      <c r="D6" s="18">
        <v>5</v>
      </c>
      <c r="E6" s="59">
        <f t="shared" si="0"/>
        <v>0.2</v>
      </c>
      <c r="G6" s="45"/>
    </row>
    <row r="7" spans="1:16" x14ac:dyDescent="0.3">
      <c r="B7">
        <v>2017</v>
      </c>
      <c r="C7" s="18">
        <v>2.9</v>
      </c>
      <c r="D7" s="18">
        <v>6</v>
      </c>
      <c r="E7" s="59">
        <f t="shared" si="0"/>
        <v>0.16666666666666666</v>
      </c>
    </row>
    <row r="8" spans="1:16" x14ac:dyDescent="0.3">
      <c r="B8">
        <v>2018</v>
      </c>
      <c r="C8" s="18">
        <v>2.89</v>
      </c>
      <c r="D8" s="18">
        <v>7</v>
      </c>
      <c r="E8" s="59">
        <f t="shared" si="0"/>
        <v>0.14285714285714285</v>
      </c>
      <c r="H8" s="45"/>
      <c r="P8" s="45"/>
    </row>
    <row r="9" spans="1:16" x14ac:dyDescent="0.3">
      <c r="B9">
        <v>2019</v>
      </c>
      <c r="C9" s="18">
        <v>2.87</v>
      </c>
      <c r="D9" s="18">
        <v>8</v>
      </c>
      <c r="E9" s="59">
        <f t="shared" si="0"/>
        <v>0.125</v>
      </c>
      <c r="P9" s="45"/>
    </row>
    <row r="10" spans="1:16" x14ac:dyDescent="0.3">
      <c r="B10">
        <v>2020</v>
      </c>
      <c r="C10" s="18">
        <v>3.05</v>
      </c>
      <c r="D10" s="18">
        <v>9</v>
      </c>
      <c r="E10" s="59">
        <f t="shared" si="0"/>
        <v>0.1111111111111111</v>
      </c>
      <c r="P10" s="45"/>
    </row>
    <row r="11" spans="1:16" x14ac:dyDescent="0.3">
      <c r="B11">
        <v>2021</v>
      </c>
      <c r="C11" s="18">
        <v>3.31</v>
      </c>
      <c r="D11" s="18">
        <v>10</v>
      </c>
      <c r="E11" s="59">
        <f t="shared" si="0"/>
        <v>0.1</v>
      </c>
      <c r="P11" s="45"/>
    </row>
    <row r="12" spans="1:16" x14ac:dyDescent="0.3">
      <c r="B12">
        <v>2022</v>
      </c>
      <c r="C12" s="18">
        <v>3.12</v>
      </c>
      <c r="D12" s="18">
        <v>11</v>
      </c>
      <c r="E12" s="59">
        <f t="shared" si="0"/>
        <v>9.0909090909090912E-2</v>
      </c>
      <c r="P12" s="45"/>
    </row>
    <row r="13" spans="1:16" x14ac:dyDescent="0.3">
      <c r="B13">
        <v>2023</v>
      </c>
      <c r="C13" s="18">
        <v>3.23</v>
      </c>
      <c r="D13" s="18">
        <v>12</v>
      </c>
      <c r="E13" s="59">
        <f t="shared" si="0"/>
        <v>8.3333333333333329E-2</v>
      </c>
    </row>
    <row r="15" spans="1:16" x14ac:dyDescent="0.3">
      <c r="C15" t="s">
        <v>215</v>
      </c>
      <c r="E15" t="s">
        <v>196</v>
      </c>
    </row>
    <row r="16" spans="1:16" ht="15.6" x14ac:dyDescent="0.3">
      <c r="B16" t="s">
        <v>174</v>
      </c>
      <c r="C16" s="54" t="s">
        <v>216</v>
      </c>
      <c r="E16" s="54" t="s">
        <v>217</v>
      </c>
      <c r="H16" t="s">
        <v>72</v>
      </c>
    </row>
    <row r="17" spans="3:16" ht="16.2" thickBot="1" x14ac:dyDescent="0.35">
      <c r="C17" s="54" t="s">
        <v>219</v>
      </c>
      <c r="E17" s="54" t="s">
        <v>218</v>
      </c>
    </row>
    <row r="18" spans="3:16" ht="15.6" x14ac:dyDescent="0.3">
      <c r="C18" s="54" t="s">
        <v>175</v>
      </c>
      <c r="H18" s="17" t="s">
        <v>73</v>
      </c>
      <c r="I18" s="17"/>
    </row>
    <row r="19" spans="3:16" x14ac:dyDescent="0.3">
      <c r="C19" t="s">
        <v>237</v>
      </c>
      <c r="H19" t="s">
        <v>74</v>
      </c>
      <c r="I19">
        <v>6.4293007811719594E-2</v>
      </c>
    </row>
    <row r="20" spans="3:16" x14ac:dyDescent="0.3">
      <c r="H20" t="s">
        <v>75</v>
      </c>
      <c r="I20" s="48">
        <v>4.1335908534778365E-3</v>
      </c>
      <c r="J20" s="43" t="s">
        <v>221</v>
      </c>
      <c r="K20" s="43"/>
      <c r="L20" s="43"/>
    </row>
    <row r="21" spans="3:16" x14ac:dyDescent="0.3">
      <c r="H21" t="s">
        <v>76</v>
      </c>
      <c r="I21">
        <v>-9.5453050061174383E-2</v>
      </c>
      <c r="J21" s="43"/>
      <c r="K21" s="43"/>
      <c r="L21" s="43"/>
    </row>
    <row r="22" spans="3:16" x14ac:dyDescent="0.3">
      <c r="H22" t="s">
        <v>71</v>
      </c>
      <c r="I22">
        <v>0.16180645196178695</v>
      </c>
      <c r="J22" s="43" t="s">
        <v>176</v>
      </c>
      <c r="K22" s="13">
        <f>I22/AVERAGE(C2:C13)</f>
        <v>5.3667148246032165E-2</v>
      </c>
      <c r="L22" s="43" t="s">
        <v>220</v>
      </c>
    </row>
    <row r="23" spans="3:16" ht="15" thickBot="1" x14ac:dyDescent="0.35">
      <c r="H23" s="15" t="s">
        <v>77</v>
      </c>
      <c r="I23" s="15">
        <v>12</v>
      </c>
    </row>
    <row r="25" spans="3:16" ht="15" thickBot="1" x14ac:dyDescent="0.35">
      <c r="H25" t="s">
        <v>78</v>
      </c>
    </row>
    <row r="26" spans="3:16" x14ac:dyDescent="0.3">
      <c r="H26" s="16"/>
      <c r="I26" s="16" t="s">
        <v>83</v>
      </c>
      <c r="J26" s="16" t="s">
        <v>84</v>
      </c>
      <c r="K26" s="16" t="s">
        <v>85</v>
      </c>
      <c r="L26" s="16" t="s">
        <v>86</v>
      </c>
      <c r="M26" s="16" t="s">
        <v>87</v>
      </c>
    </row>
    <row r="27" spans="3:16" x14ac:dyDescent="0.3">
      <c r="H27" t="s">
        <v>79</v>
      </c>
      <c r="I27">
        <v>1</v>
      </c>
      <c r="J27">
        <v>1.0867210353793233E-3</v>
      </c>
      <c r="K27">
        <v>1.0867210353793233E-3</v>
      </c>
      <c r="L27">
        <v>4.150748348887888E-2</v>
      </c>
      <c r="M27">
        <v>0.84264771656700121</v>
      </c>
    </row>
    <row r="28" spans="3:16" x14ac:dyDescent="0.3">
      <c r="H28" t="s">
        <v>80</v>
      </c>
      <c r="I28">
        <v>10</v>
      </c>
      <c r="J28">
        <v>0.2618132789646207</v>
      </c>
      <c r="K28">
        <v>2.6181327896462069E-2</v>
      </c>
    </row>
    <row r="29" spans="3:16" ht="15" thickBot="1" x14ac:dyDescent="0.35">
      <c r="H29" s="15" t="s">
        <v>81</v>
      </c>
      <c r="I29" s="15">
        <v>11</v>
      </c>
      <c r="J29" s="15">
        <v>0.26290000000000002</v>
      </c>
      <c r="K29" s="15"/>
      <c r="L29" s="15"/>
      <c r="M29" s="15"/>
    </row>
    <row r="30" spans="3:16" ht="15" thickBot="1" x14ac:dyDescent="0.35"/>
    <row r="31" spans="3:16" x14ac:dyDescent="0.3">
      <c r="H31" s="16"/>
      <c r="I31" s="16" t="s">
        <v>88</v>
      </c>
      <c r="J31" s="16" t="s">
        <v>71</v>
      </c>
      <c r="K31" s="16" t="s">
        <v>89</v>
      </c>
      <c r="L31" s="16" t="s">
        <v>90</v>
      </c>
      <c r="M31" s="16" t="s">
        <v>91</v>
      </c>
      <c r="N31" s="16" t="s">
        <v>92</v>
      </c>
      <c r="O31" s="16" t="s">
        <v>93</v>
      </c>
      <c r="P31" s="16" t="s">
        <v>94</v>
      </c>
    </row>
    <row r="32" spans="3:16" x14ac:dyDescent="0.3">
      <c r="G32" s="51" t="s">
        <v>172</v>
      </c>
      <c r="H32" t="s">
        <v>82</v>
      </c>
      <c r="I32" s="56">
        <v>3.0052372133293686</v>
      </c>
      <c r="J32">
        <v>6.6918144298732787E-2</v>
      </c>
      <c r="K32">
        <v>44.90915348628814</v>
      </c>
      <c r="L32" s="40">
        <v>7.2095220183329006E-13</v>
      </c>
      <c r="M32">
        <v>2.8561342961145382</v>
      </c>
      <c r="N32">
        <v>3.1543401305441989</v>
      </c>
      <c r="O32">
        <v>2.8561342961145382</v>
      </c>
      <c r="P32">
        <v>3.1543401305441989</v>
      </c>
    </row>
    <row r="33" spans="1:27" ht="15" thickBot="1" x14ac:dyDescent="0.35">
      <c r="G33" s="51" t="s">
        <v>177</v>
      </c>
      <c r="H33" s="15" t="s">
        <v>173</v>
      </c>
      <c r="I33" s="50">
        <v>3.7752332083079959E-2</v>
      </c>
      <c r="J33" s="15">
        <v>0.18530220304763151</v>
      </c>
      <c r="K33" s="15">
        <v>0.2037338545477293</v>
      </c>
      <c r="L33" s="50">
        <v>0.84264771656700788</v>
      </c>
      <c r="M33" s="15">
        <v>-0.37512670588599717</v>
      </c>
      <c r="N33" s="15">
        <v>0.45063137005215714</v>
      </c>
      <c r="O33" s="15">
        <v>-0.37512670588599717</v>
      </c>
      <c r="P33" s="15">
        <v>0.45063137005215714</v>
      </c>
    </row>
    <row r="34" spans="1:27" ht="15" thickBot="1" x14ac:dyDescent="0.3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5" t="s">
        <v>222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5" thickTop="1" x14ac:dyDescent="0.3">
      <c r="A35" s="43" t="s">
        <v>193</v>
      </c>
    </row>
    <row r="36" spans="1:27" x14ac:dyDescent="0.3">
      <c r="C36" s="18" t="str">
        <f>C1</f>
        <v>Średni poziom niepokoju w UK (w skali 1-10)</v>
      </c>
      <c r="D36" s="57" t="s">
        <v>171</v>
      </c>
      <c r="E36" s="58" t="s">
        <v>182</v>
      </c>
      <c r="H36" t="s">
        <v>72</v>
      </c>
    </row>
    <row r="37" spans="1:27" ht="15" thickBot="1" x14ac:dyDescent="0.35">
      <c r="C37" s="18">
        <f t="shared" ref="C37:C48" si="1">C2</f>
        <v>3.13</v>
      </c>
      <c r="D37" s="18">
        <v>1</v>
      </c>
      <c r="E37" s="59">
        <f>D37^2</f>
        <v>1</v>
      </c>
    </row>
    <row r="38" spans="1:27" x14ac:dyDescent="0.3">
      <c r="C38" s="18">
        <f t="shared" si="1"/>
        <v>3.03</v>
      </c>
      <c r="D38" s="18">
        <v>2</v>
      </c>
      <c r="E38" s="59">
        <f t="shared" ref="E38:E48" si="2">D38^2</f>
        <v>4</v>
      </c>
      <c r="H38" s="17" t="s">
        <v>73</v>
      </c>
      <c r="I38" s="17"/>
    </row>
    <row r="39" spans="1:27" x14ac:dyDescent="0.3">
      <c r="C39" s="18">
        <f t="shared" si="1"/>
        <v>2.92</v>
      </c>
      <c r="D39" s="18">
        <v>3</v>
      </c>
      <c r="E39" s="59">
        <f t="shared" si="2"/>
        <v>9</v>
      </c>
      <c r="H39" t="s">
        <v>74</v>
      </c>
      <c r="I39">
        <v>0.84781447771657459</v>
      </c>
    </row>
    <row r="40" spans="1:27" x14ac:dyDescent="0.3">
      <c r="C40" s="18">
        <f t="shared" si="1"/>
        <v>2.86</v>
      </c>
      <c r="D40" s="18">
        <v>4</v>
      </c>
      <c r="E40" s="59">
        <f t="shared" si="2"/>
        <v>16</v>
      </c>
      <c r="H40" t="s">
        <v>75</v>
      </c>
      <c r="I40" s="40">
        <v>0.7187893886258282</v>
      </c>
      <c r="J40" s="43" t="s">
        <v>224</v>
      </c>
      <c r="K40" s="43"/>
      <c r="L40" s="43"/>
    </row>
    <row r="41" spans="1:27" x14ac:dyDescent="0.3">
      <c r="C41" s="18">
        <f t="shared" si="1"/>
        <v>2.87</v>
      </c>
      <c r="D41" s="18">
        <v>5</v>
      </c>
      <c r="E41" s="59">
        <f t="shared" si="2"/>
        <v>25</v>
      </c>
      <c r="H41" t="s">
        <v>76</v>
      </c>
      <c r="I41">
        <v>0.65629814165379008</v>
      </c>
      <c r="J41" s="43"/>
      <c r="K41" s="43"/>
      <c r="L41" s="43"/>
    </row>
    <row r="42" spans="1:27" x14ac:dyDescent="0.3">
      <c r="C42" s="18">
        <f t="shared" si="1"/>
        <v>2.9</v>
      </c>
      <c r="D42" s="18">
        <v>6</v>
      </c>
      <c r="E42" s="59">
        <f t="shared" si="2"/>
        <v>36</v>
      </c>
      <c r="H42" t="s">
        <v>71</v>
      </c>
      <c r="I42">
        <v>9.0633737727594685E-2</v>
      </c>
      <c r="J42" s="43" t="s">
        <v>176</v>
      </c>
      <c r="K42" s="13">
        <f>I42/AVERAGE(C37:C48)</f>
        <v>3.0060941203182326E-2</v>
      </c>
      <c r="L42" s="43" t="s">
        <v>225</v>
      </c>
    </row>
    <row r="43" spans="1:27" ht="15" thickBot="1" x14ac:dyDescent="0.35">
      <c r="C43" s="18">
        <f t="shared" si="1"/>
        <v>2.89</v>
      </c>
      <c r="D43" s="18">
        <v>7</v>
      </c>
      <c r="E43" s="59">
        <f t="shared" si="2"/>
        <v>49</v>
      </c>
      <c r="H43" s="15" t="s">
        <v>77</v>
      </c>
      <c r="I43" s="15">
        <v>12</v>
      </c>
    </row>
    <row r="44" spans="1:27" x14ac:dyDescent="0.3">
      <c r="C44" s="18">
        <f t="shared" si="1"/>
        <v>2.87</v>
      </c>
      <c r="D44" s="18">
        <v>8</v>
      </c>
      <c r="E44" s="59">
        <f t="shared" si="2"/>
        <v>64</v>
      </c>
    </row>
    <row r="45" spans="1:27" ht="15" thickBot="1" x14ac:dyDescent="0.35">
      <c r="C45" s="18">
        <f t="shared" si="1"/>
        <v>3.05</v>
      </c>
      <c r="D45" s="18">
        <v>9</v>
      </c>
      <c r="E45" s="59">
        <f t="shared" si="2"/>
        <v>81</v>
      </c>
      <c r="H45" t="s">
        <v>78</v>
      </c>
    </row>
    <row r="46" spans="1:27" x14ac:dyDescent="0.3">
      <c r="C46" s="18">
        <f t="shared" si="1"/>
        <v>3.31</v>
      </c>
      <c r="D46" s="18">
        <v>10</v>
      </c>
      <c r="E46" s="59">
        <f t="shared" si="2"/>
        <v>100</v>
      </c>
      <c r="H46" s="16"/>
      <c r="I46" s="16" t="s">
        <v>83</v>
      </c>
      <c r="J46" s="16" t="s">
        <v>84</v>
      </c>
      <c r="K46" s="16" t="s">
        <v>85</v>
      </c>
      <c r="L46" s="16" t="s">
        <v>86</v>
      </c>
      <c r="M46" s="16" t="s">
        <v>87</v>
      </c>
    </row>
    <row r="47" spans="1:27" x14ac:dyDescent="0.3">
      <c r="C47" s="18">
        <f t="shared" si="1"/>
        <v>3.12</v>
      </c>
      <c r="D47" s="18">
        <v>11</v>
      </c>
      <c r="E47" s="59">
        <f t="shared" si="2"/>
        <v>121</v>
      </c>
      <c r="H47" t="s">
        <v>79</v>
      </c>
      <c r="I47">
        <v>2</v>
      </c>
      <c r="J47">
        <v>0.18896973026973024</v>
      </c>
      <c r="K47">
        <v>9.448486513486512E-2</v>
      </c>
      <c r="L47">
        <v>11.502241089019261</v>
      </c>
      <c r="M47">
        <v>3.3162149334238331E-3</v>
      </c>
    </row>
    <row r="48" spans="1:27" x14ac:dyDescent="0.3">
      <c r="C48" s="18">
        <f t="shared" si="1"/>
        <v>3.23</v>
      </c>
      <c r="D48" s="18">
        <v>12</v>
      </c>
      <c r="E48" s="59">
        <f t="shared" si="2"/>
        <v>144</v>
      </c>
      <c r="H48" t="s">
        <v>80</v>
      </c>
      <c r="I48">
        <v>9</v>
      </c>
      <c r="J48">
        <v>7.3930269730269796E-2</v>
      </c>
      <c r="K48">
        <v>8.2144744144744212E-3</v>
      </c>
      <c r="R48" s="45"/>
    </row>
    <row r="49" spans="1:27" ht="15" thickBot="1" x14ac:dyDescent="0.35">
      <c r="H49" s="15" t="s">
        <v>81</v>
      </c>
      <c r="I49" s="15">
        <v>11</v>
      </c>
      <c r="J49" s="15">
        <v>0.26290000000000002</v>
      </c>
      <c r="K49" s="15"/>
      <c r="L49" s="15"/>
      <c r="M49" s="15"/>
      <c r="R49" s="45"/>
    </row>
    <row r="50" spans="1:27" ht="15" thickBot="1" x14ac:dyDescent="0.35">
      <c r="R50" s="45"/>
    </row>
    <row r="51" spans="1:27" x14ac:dyDescent="0.3">
      <c r="H51" s="16"/>
      <c r="I51" s="16" t="s">
        <v>88</v>
      </c>
      <c r="J51" s="16" t="s">
        <v>71</v>
      </c>
      <c r="K51" s="16" t="s">
        <v>89</v>
      </c>
      <c r="L51" s="16" t="s">
        <v>90</v>
      </c>
      <c r="M51" s="16" t="s">
        <v>91</v>
      </c>
      <c r="N51" s="16" t="s">
        <v>92</v>
      </c>
      <c r="O51" s="16" t="s">
        <v>93</v>
      </c>
      <c r="P51" s="16" t="s">
        <v>94</v>
      </c>
      <c r="R51" s="45"/>
    </row>
    <row r="52" spans="1:27" x14ac:dyDescent="0.3">
      <c r="F52" s="46"/>
      <c r="G52" s="53" t="s">
        <v>172</v>
      </c>
      <c r="H52" t="s">
        <v>82</v>
      </c>
      <c r="I52" s="40">
        <v>3.192727272727272</v>
      </c>
      <c r="J52">
        <v>9.3672579848434329E-2</v>
      </c>
      <c r="K52">
        <v>34.083904573710065</v>
      </c>
      <c r="L52" s="94">
        <v>7.9472149963949477E-11</v>
      </c>
      <c r="M52">
        <v>2.9808251752653496</v>
      </c>
      <c r="N52">
        <v>3.4046293701891943</v>
      </c>
      <c r="O52">
        <v>2.9808251752653496</v>
      </c>
      <c r="P52">
        <v>3.4046293701891943</v>
      </c>
    </row>
    <row r="53" spans="1:27" x14ac:dyDescent="0.3">
      <c r="G53" s="51" t="s">
        <v>177</v>
      </c>
      <c r="H53" t="s">
        <v>171</v>
      </c>
      <c r="I53" s="40">
        <v>-0.11100899100899095</v>
      </c>
      <c r="J53">
        <v>3.3129871182535305E-2</v>
      </c>
      <c r="K53">
        <v>-3.3507220839273981</v>
      </c>
      <c r="L53" s="40">
        <v>8.5137652311046367E-3</v>
      </c>
      <c r="M53">
        <v>-0.18595396640714504</v>
      </c>
      <c r="N53">
        <v>-3.6064015610836858E-2</v>
      </c>
      <c r="O53">
        <v>-0.18595396640714504</v>
      </c>
      <c r="P53">
        <v>-3.6064015610836858E-2</v>
      </c>
    </row>
    <row r="54" spans="1:27" ht="15" thickBot="1" x14ac:dyDescent="0.35">
      <c r="G54" s="51" t="s">
        <v>189</v>
      </c>
      <c r="H54" s="15" t="s">
        <v>182</v>
      </c>
      <c r="I54" s="50">
        <v>1.0039960039960036E-2</v>
      </c>
      <c r="J54" s="15">
        <v>2.4808670076701162E-3</v>
      </c>
      <c r="K54" s="15">
        <v>4.0469561685166564</v>
      </c>
      <c r="L54" s="95">
        <v>2.8981471349997412E-3</v>
      </c>
      <c r="M54" s="15">
        <v>4.4278489686093324E-3</v>
      </c>
      <c r="N54" s="15">
        <v>1.5652071111310738E-2</v>
      </c>
      <c r="O54" s="15">
        <v>4.4278489686093324E-3</v>
      </c>
      <c r="P54" s="15">
        <v>1.5652071111310738E-2</v>
      </c>
    </row>
    <row r="55" spans="1:27" ht="18" x14ac:dyDescent="0.35">
      <c r="C55" t="s">
        <v>215</v>
      </c>
      <c r="E55" t="s">
        <v>196</v>
      </c>
      <c r="F55" s="52"/>
      <c r="G55" s="54" t="s">
        <v>183</v>
      </c>
      <c r="L55" s="43" t="s">
        <v>226</v>
      </c>
    </row>
    <row r="56" spans="1:27" ht="15.6" x14ac:dyDescent="0.3">
      <c r="C56" s="54" t="s">
        <v>314</v>
      </c>
      <c r="E56" s="54" t="s">
        <v>313</v>
      </c>
      <c r="G56" t="s">
        <v>184</v>
      </c>
      <c r="H56" s="40">
        <f>I53^2-(4*I52*I54)</f>
        <v>-0.11589642086185536</v>
      </c>
    </row>
    <row r="57" spans="1:27" ht="15.6" x14ac:dyDescent="0.3">
      <c r="C57" s="54" t="s">
        <v>315</v>
      </c>
      <c r="E57" s="54" t="s">
        <v>312</v>
      </c>
      <c r="G57" t="s">
        <v>185</v>
      </c>
      <c r="H57" s="40">
        <f>-H56/(4*I54)</f>
        <v>2.8858785393710762</v>
      </c>
    </row>
    <row r="58" spans="1:27" x14ac:dyDescent="0.3">
      <c r="G58" t="s">
        <v>186</v>
      </c>
      <c r="H58" s="40">
        <f>-I53/(2*I54)</f>
        <v>5.5283582089552228</v>
      </c>
    </row>
    <row r="59" spans="1:27" ht="18" x14ac:dyDescent="0.35">
      <c r="F59" s="52"/>
    </row>
    <row r="60" spans="1:27" ht="18" x14ac:dyDescent="0.35">
      <c r="F60" s="52"/>
      <c r="G60" s="54" t="s">
        <v>175</v>
      </c>
    </row>
    <row r="61" spans="1:27" x14ac:dyDescent="0.3">
      <c r="G61" t="s">
        <v>228</v>
      </c>
    </row>
    <row r="62" spans="1:27" ht="18" x14ac:dyDescent="0.35">
      <c r="F62" s="47"/>
      <c r="G62" s="43" t="s">
        <v>318</v>
      </c>
    </row>
    <row r="64" spans="1:27" ht="15" thickBot="1" x14ac:dyDescent="0.3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5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5" thickTop="1" x14ac:dyDescent="0.3">
      <c r="A65" s="43" t="s">
        <v>194</v>
      </c>
    </row>
    <row r="66" spans="1:27" ht="18" x14ac:dyDescent="0.35">
      <c r="C66" s="18" t="str">
        <f>C1</f>
        <v>Średni poziom niepokoju w UK (w skali 1-10)</v>
      </c>
      <c r="D66" s="57" t="s">
        <v>171</v>
      </c>
      <c r="E66" s="58" t="s">
        <v>195</v>
      </c>
      <c r="H66" t="s">
        <v>72</v>
      </c>
      <c r="X66" s="52"/>
      <c r="Y66" s="52"/>
      <c r="Z66" s="52"/>
      <c r="AA66" s="52"/>
    </row>
    <row r="67" spans="1:27" ht="18.600000000000001" thickBot="1" x14ac:dyDescent="0.4">
      <c r="C67" s="18">
        <f t="shared" ref="C67:C78" si="3">C2</f>
        <v>3.13</v>
      </c>
      <c r="D67" s="18">
        <v>1</v>
      </c>
      <c r="E67" s="59">
        <f>LN(C67)</f>
        <v>1.1410330045520618</v>
      </c>
      <c r="X67" s="52"/>
      <c r="Y67" s="52"/>
      <c r="Z67" s="52"/>
      <c r="AA67" s="52"/>
    </row>
    <row r="68" spans="1:27" ht="18" x14ac:dyDescent="0.35">
      <c r="C68" s="18">
        <f t="shared" si="3"/>
        <v>3.03</v>
      </c>
      <c r="D68" s="18">
        <v>2</v>
      </c>
      <c r="E68" s="59">
        <f t="shared" ref="E68:E78" si="4">LN(C68)</f>
        <v>1.1085626195212777</v>
      </c>
      <c r="H68" s="17" t="s">
        <v>73</v>
      </c>
      <c r="I68" s="17"/>
      <c r="X68" s="52"/>
      <c r="Y68" s="52"/>
      <c r="Z68" s="52"/>
      <c r="AA68" s="52"/>
    </row>
    <row r="69" spans="1:27" ht="18" x14ac:dyDescent="0.35">
      <c r="C69" s="18">
        <f t="shared" si="3"/>
        <v>2.92</v>
      </c>
      <c r="D69" s="18">
        <v>3</v>
      </c>
      <c r="E69" s="59">
        <f t="shared" si="4"/>
        <v>1.0715836162801904</v>
      </c>
      <c r="H69" t="s">
        <v>74</v>
      </c>
      <c r="I69">
        <v>0.44986028981786957</v>
      </c>
      <c r="X69" s="52"/>
      <c r="Y69" s="52"/>
      <c r="Z69" s="52"/>
      <c r="AA69" s="52"/>
    </row>
    <row r="70" spans="1:27" ht="18" x14ac:dyDescent="0.35">
      <c r="C70" s="18">
        <f t="shared" si="3"/>
        <v>2.86</v>
      </c>
      <c r="D70" s="18">
        <v>4</v>
      </c>
      <c r="E70" s="59">
        <f t="shared" si="4"/>
        <v>1.0508216248317612</v>
      </c>
      <c r="H70" t="s">
        <v>75</v>
      </c>
      <c r="I70" s="40">
        <v>0.20237428035501762</v>
      </c>
      <c r="J70" s="43" t="s">
        <v>223</v>
      </c>
      <c r="K70" s="43"/>
      <c r="L70" s="43"/>
      <c r="X70" s="52"/>
      <c r="Y70" s="52"/>
      <c r="Z70" s="52"/>
      <c r="AA70" s="52"/>
    </row>
    <row r="71" spans="1:27" ht="18" x14ac:dyDescent="0.35">
      <c r="C71" s="18">
        <f t="shared" si="3"/>
        <v>2.87</v>
      </c>
      <c r="D71" s="18">
        <v>5</v>
      </c>
      <c r="E71" s="59">
        <f t="shared" si="4"/>
        <v>1.0543120297715298</v>
      </c>
      <c r="H71" t="s">
        <v>76</v>
      </c>
      <c r="I71">
        <v>0.12261170839051938</v>
      </c>
      <c r="J71" s="43"/>
      <c r="K71" s="43"/>
      <c r="L71" s="43"/>
      <c r="R71" s="44"/>
      <c r="X71" s="52"/>
      <c r="Y71" s="52"/>
      <c r="Z71" s="52"/>
      <c r="AA71" s="52"/>
    </row>
    <row r="72" spans="1:27" ht="18" x14ac:dyDescent="0.35">
      <c r="C72" s="18">
        <f t="shared" si="3"/>
        <v>2.9</v>
      </c>
      <c r="D72" s="18">
        <v>6</v>
      </c>
      <c r="E72" s="59">
        <f t="shared" si="4"/>
        <v>1.0647107369924282</v>
      </c>
      <c r="H72" t="s">
        <v>71</v>
      </c>
      <c r="I72">
        <v>4.7382537210721366E-2</v>
      </c>
      <c r="J72" s="43" t="s">
        <v>176</v>
      </c>
      <c r="K72" s="93">
        <f>I72/AVERAGE(C67:C78)</f>
        <v>1.5715601064915881E-2</v>
      </c>
      <c r="L72" s="43" t="s">
        <v>225</v>
      </c>
      <c r="X72" s="52"/>
      <c r="Y72" s="52"/>
      <c r="Z72" s="52"/>
      <c r="AA72" s="52"/>
    </row>
    <row r="73" spans="1:27" ht="18.600000000000001" thickBot="1" x14ac:dyDescent="0.4">
      <c r="C73" s="18">
        <f t="shared" si="3"/>
        <v>2.89</v>
      </c>
      <c r="D73" s="18">
        <v>7</v>
      </c>
      <c r="E73" s="59">
        <f t="shared" si="4"/>
        <v>1.0612565021243408</v>
      </c>
      <c r="H73" s="15" t="s">
        <v>77</v>
      </c>
      <c r="I73" s="15">
        <v>12</v>
      </c>
      <c r="X73" s="52"/>
      <c r="Y73" s="52"/>
      <c r="Z73" s="52"/>
      <c r="AA73" s="52"/>
    </row>
    <row r="74" spans="1:27" ht="18" x14ac:dyDescent="0.35">
      <c r="C74" s="18">
        <f t="shared" si="3"/>
        <v>2.87</v>
      </c>
      <c r="D74" s="18">
        <v>8</v>
      </c>
      <c r="E74" s="59">
        <f t="shared" si="4"/>
        <v>1.0543120297715298</v>
      </c>
      <c r="X74" s="52"/>
      <c r="Y74" s="52"/>
      <c r="Z74" s="52"/>
      <c r="AA74" s="52"/>
    </row>
    <row r="75" spans="1:27" ht="18.600000000000001" thickBot="1" x14ac:dyDescent="0.4">
      <c r="C75" s="18">
        <f t="shared" si="3"/>
        <v>3.05</v>
      </c>
      <c r="D75" s="18">
        <v>9</v>
      </c>
      <c r="E75" s="59">
        <f t="shared" si="4"/>
        <v>1.1151415906193203</v>
      </c>
      <c r="H75" t="s">
        <v>78</v>
      </c>
      <c r="X75" s="52"/>
      <c r="Y75" s="52"/>
      <c r="Z75" s="52"/>
      <c r="AA75" s="52"/>
    </row>
    <row r="76" spans="1:27" x14ac:dyDescent="0.3">
      <c r="C76" s="18">
        <f t="shared" si="3"/>
        <v>3.31</v>
      </c>
      <c r="D76" s="18">
        <v>10</v>
      </c>
      <c r="E76" s="59">
        <f t="shared" si="4"/>
        <v>1.1969481893889715</v>
      </c>
      <c r="H76" s="16"/>
      <c r="I76" s="16" t="s">
        <v>83</v>
      </c>
      <c r="J76" s="16" t="s">
        <v>84</v>
      </c>
      <c r="K76" s="16" t="s">
        <v>85</v>
      </c>
      <c r="L76" s="16" t="s">
        <v>86</v>
      </c>
      <c r="M76" s="16" t="s">
        <v>87</v>
      </c>
      <c r="R76" s="44"/>
    </row>
    <row r="77" spans="1:27" x14ac:dyDescent="0.3">
      <c r="C77" s="18">
        <f t="shared" si="3"/>
        <v>3.12</v>
      </c>
      <c r="D77" s="18">
        <v>11</v>
      </c>
      <c r="E77" s="59">
        <f t="shared" si="4"/>
        <v>1.1378330018213911</v>
      </c>
      <c r="H77" t="s">
        <v>79</v>
      </c>
      <c r="I77">
        <v>1</v>
      </c>
      <c r="J77">
        <v>5.6962991991548091E-3</v>
      </c>
      <c r="K77">
        <v>5.6962991991548091E-3</v>
      </c>
      <c r="L77">
        <v>2.5372085599884242</v>
      </c>
      <c r="M77">
        <v>0.14227551076464437</v>
      </c>
    </row>
    <row r="78" spans="1:27" x14ac:dyDescent="0.3">
      <c r="C78" s="18">
        <f t="shared" si="3"/>
        <v>3.23</v>
      </c>
      <c r="D78" s="18">
        <v>12</v>
      </c>
      <c r="E78" s="59">
        <f t="shared" si="4"/>
        <v>1.1724821372345651</v>
      </c>
      <c r="H78" t="s">
        <v>80</v>
      </c>
      <c r="I78">
        <v>10</v>
      </c>
      <c r="J78">
        <v>2.245104832525395E-2</v>
      </c>
      <c r="K78">
        <v>2.2451048325253949E-3</v>
      </c>
    </row>
    <row r="79" spans="1:27" ht="15" thickBot="1" x14ac:dyDescent="0.35">
      <c r="H79" s="15" t="s">
        <v>81</v>
      </c>
      <c r="I79" s="15">
        <v>11</v>
      </c>
      <c r="J79" s="15">
        <v>2.8147347524408759E-2</v>
      </c>
      <c r="K79" s="15"/>
      <c r="L79" s="15"/>
      <c r="M79" s="15"/>
      <c r="V79" s="45"/>
    </row>
    <row r="80" spans="1:27" ht="15" thickBot="1" x14ac:dyDescent="0.35">
      <c r="V80" s="45"/>
    </row>
    <row r="81" spans="1:27" x14ac:dyDescent="0.3">
      <c r="C81" t="s">
        <v>201</v>
      </c>
      <c r="H81" s="16"/>
      <c r="I81" s="16" t="s">
        <v>88</v>
      </c>
      <c r="J81" s="16" t="s">
        <v>71</v>
      </c>
      <c r="K81" s="16" t="s">
        <v>89</v>
      </c>
      <c r="L81" s="16" t="s">
        <v>90</v>
      </c>
      <c r="M81" s="16" t="s">
        <v>91</v>
      </c>
      <c r="N81" s="16" t="s">
        <v>92</v>
      </c>
      <c r="O81" s="16" t="s">
        <v>93</v>
      </c>
      <c r="P81" s="16" t="s">
        <v>94</v>
      </c>
      <c r="V81" s="45"/>
    </row>
    <row r="82" spans="1:27" x14ac:dyDescent="0.3">
      <c r="G82" t="s">
        <v>197</v>
      </c>
      <c r="H82" t="s">
        <v>82</v>
      </c>
      <c r="I82" s="40">
        <v>1.0613920711657867</v>
      </c>
      <c r="J82">
        <v>2.9161935758257033E-2</v>
      </c>
      <c r="K82">
        <v>36.39648890129866</v>
      </c>
      <c r="L82" s="40">
        <v>5.8282118015514403E-12</v>
      </c>
      <c r="M82">
        <v>0.99641522910368641</v>
      </c>
      <c r="N82">
        <v>1.1263689132278869</v>
      </c>
      <c r="O82">
        <v>0.99641522910368641</v>
      </c>
      <c r="P82">
        <v>1.1263689132278869</v>
      </c>
      <c r="V82" s="45"/>
    </row>
    <row r="83" spans="1:27" ht="15" thickBot="1" x14ac:dyDescent="0.35">
      <c r="G83" t="s">
        <v>177</v>
      </c>
      <c r="H83" s="15" t="s">
        <v>171</v>
      </c>
      <c r="I83" s="50">
        <v>6.311438832306759E-3</v>
      </c>
      <c r="J83" s="15">
        <v>3.9623268156329409E-3</v>
      </c>
      <c r="K83" s="15">
        <v>1.592861751687328</v>
      </c>
      <c r="L83" s="50">
        <v>0.14227551076464431</v>
      </c>
      <c r="M83" s="15">
        <v>-2.5171754898720526E-3</v>
      </c>
      <c r="N83" s="15">
        <v>1.5140053154485571E-2</v>
      </c>
      <c r="O83" s="15">
        <v>-2.5171754898720526E-3</v>
      </c>
      <c r="P83" s="15">
        <v>1.5140053154485571E-2</v>
      </c>
      <c r="V83" s="45"/>
    </row>
    <row r="84" spans="1:27" x14ac:dyDescent="0.3">
      <c r="L84" s="43" t="s">
        <v>234</v>
      </c>
    </row>
    <row r="86" spans="1:27" x14ac:dyDescent="0.3">
      <c r="G86" t="s">
        <v>198</v>
      </c>
      <c r="H86" s="40">
        <f>I82</f>
        <v>1.0613920711657867</v>
      </c>
    </row>
    <row r="87" spans="1:27" x14ac:dyDescent="0.3">
      <c r="C87" t="s">
        <v>196</v>
      </c>
      <c r="G87" t="s">
        <v>199</v>
      </c>
      <c r="H87" s="40">
        <f>I83</f>
        <v>6.311438832306759E-3</v>
      </c>
    </row>
    <row r="88" spans="1:27" x14ac:dyDescent="0.3">
      <c r="G88" t="s">
        <v>200</v>
      </c>
      <c r="H88" s="40">
        <f>EXP(H86)</f>
        <v>2.8903918210885835</v>
      </c>
    </row>
    <row r="91" spans="1:27" ht="15.6" x14ac:dyDescent="0.3">
      <c r="G91" s="54" t="s">
        <v>175</v>
      </c>
    </row>
    <row r="92" spans="1:27" x14ac:dyDescent="0.3">
      <c r="F92" t="s">
        <v>200</v>
      </c>
      <c r="G92" s="40">
        <f>H88</f>
        <v>2.8903918210885835</v>
      </c>
      <c r="H92" t="s">
        <v>235</v>
      </c>
    </row>
    <row r="93" spans="1:27" x14ac:dyDescent="0.3">
      <c r="F93" t="s">
        <v>199</v>
      </c>
      <c r="G93" s="40">
        <f>H87</f>
        <v>6.311438832306759E-3</v>
      </c>
      <c r="H93" t="s">
        <v>236</v>
      </c>
    </row>
    <row r="94" spans="1:27" ht="15" thickBot="1" x14ac:dyDescent="0.3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5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15" thickTop="1" x14ac:dyDescent="0.3">
      <c r="A95" s="43" t="s">
        <v>214</v>
      </c>
      <c r="C95" t="s">
        <v>206</v>
      </c>
      <c r="E95" s="14"/>
    </row>
    <row r="96" spans="1:27" x14ac:dyDescent="0.3">
      <c r="C96" s="18" t="str">
        <f>C1</f>
        <v>Średni poziom niepokoju w UK (w skali 1-10)</v>
      </c>
      <c r="D96" s="57" t="str">
        <f>D1</f>
        <v>X</v>
      </c>
      <c r="E96" s="58" t="s">
        <v>195</v>
      </c>
      <c r="F96" s="18" t="s">
        <v>208</v>
      </c>
      <c r="H96" t="s">
        <v>72</v>
      </c>
    </row>
    <row r="97" spans="2:16" ht="15" thickBot="1" x14ac:dyDescent="0.35">
      <c r="C97" s="18">
        <f t="shared" ref="C97:C108" si="5">C2</f>
        <v>3.13</v>
      </c>
      <c r="D97" s="18">
        <f t="shared" ref="D97:D108" si="6">D2</f>
        <v>1</v>
      </c>
      <c r="E97" s="59">
        <f>LN(C97)</f>
        <v>1.1410330045520618</v>
      </c>
      <c r="F97" s="61">
        <f>LN(D97)</f>
        <v>0</v>
      </c>
    </row>
    <row r="98" spans="2:16" x14ac:dyDescent="0.3">
      <c r="C98" s="18">
        <f t="shared" si="5"/>
        <v>3.03</v>
      </c>
      <c r="D98" s="18">
        <f t="shared" si="6"/>
        <v>2</v>
      </c>
      <c r="E98" s="59">
        <f t="shared" ref="E98:F108" si="7">LN(C98)</f>
        <v>1.1085626195212777</v>
      </c>
      <c r="F98" s="61">
        <f t="shared" si="7"/>
        <v>0.69314718055994529</v>
      </c>
      <c r="H98" s="17" t="s">
        <v>73</v>
      </c>
      <c r="I98" s="17"/>
    </row>
    <row r="99" spans="2:16" x14ac:dyDescent="0.3">
      <c r="C99" s="18">
        <f t="shared" si="5"/>
        <v>2.92</v>
      </c>
      <c r="D99" s="18">
        <f t="shared" si="6"/>
        <v>3</v>
      </c>
      <c r="E99" s="59">
        <f t="shared" si="7"/>
        <v>1.0715836162801904</v>
      </c>
      <c r="F99" s="61">
        <f t="shared" si="7"/>
        <v>1.0986122886681098</v>
      </c>
      <c r="H99" t="s">
        <v>74</v>
      </c>
      <c r="I99">
        <v>0.18645086623403406</v>
      </c>
    </row>
    <row r="100" spans="2:16" x14ac:dyDescent="0.3">
      <c r="C100" s="18">
        <f t="shared" si="5"/>
        <v>2.86</v>
      </c>
      <c r="D100" s="18">
        <f t="shared" si="6"/>
        <v>4</v>
      </c>
      <c r="E100" s="59">
        <f t="shared" si="7"/>
        <v>1.0508216248317612</v>
      </c>
      <c r="F100" s="61">
        <f t="shared" si="7"/>
        <v>1.3862943611198906</v>
      </c>
      <c r="H100" t="s">
        <v>75</v>
      </c>
      <c r="I100" s="40">
        <v>3.476392551942166E-2</v>
      </c>
      <c r="J100" s="43" t="s">
        <v>238</v>
      </c>
      <c r="K100" s="43"/>
      <c r="L100" s="43"/>
    </row>
    <row r="101" spans="2:16" x14ac:dyDescent="0.3">
      <c r="C101" s="18">
        <f t="shared" si="5"/>
        <v>2.87</v>
      </c>
      <c r="D101" s="18">
        <f t="shared" si="6"/>
        <v>5</v>
      </c>
      <c r="E101" s="59">
        <f t="shared" si="7"/>
        <v>1.0543120297715298</v>
      </c>
      <c r="F101" s="61">
        <f t="shared" si="7"/>
        <v>1.6094379124341003</v>
      </c>
      <c r="H101" t="s">
        <v>76</v>
      </c>
      <c r="I101">
        <v>-6.1759681928636165E-2</v>
      </c>
      <c r="J101" s="43"/>
      <c r="K101" s="43"/>
      <c r="L101" s="43"/>
    </row>
    <row r="102" spans="2:16" x14ac:dyDescent="0.3">
      <c r="C102" s="18">
        <f t="shared" si="5"/>
        <v>2.9</v>
      </c>
      <c r="D102" s="18">
        <f t="shared" si="6"/>
        <v>6</v>
      </c>
      <c r="E102" s="59">
        <f t="shared" si="7"/>
        <v>1.0647107369924282</v>
      </c>
      <c r="F102" s="61">
        <f t="shared" si="7"/>
        <v>1.791759469228055</v>
      </c>
      <c r="H102" t="s">
        <v>71</v>
      </c>
      <c r="I102">
        <v>5.2123732820569299E-2</v>
      </c>
      <c r="J102" s="43" t="s">
        <v>176</v>
      </c>
      <c r="K102" s="93">
        <f>I102/AVERAGE(C97:C108)</f>
        <v>1.728813692224521E-2</v>
      </c>
      <c r="L102" s="43" t="s">
        <v>239</v>
      </c>
    </row>
    <row r="103" spans="2:16" ht="15" thickBot="1" x14ac:dyDescent="0.35">
      <c r="C103" s="18">
        <f t="shared" si="5"/>
        <v>2.89</v>
      </c>
      <c r="D103" s="18">
        <f t="shared" si="6"/>
        <v>7</v>
      </c>
      <c r="E103" s="59">
        <f t="shared" si="7"/>
        <v>1.0612565021243408</v>
      </c>
      <c r="F103" s="61">
        <f t="shared" si="7"/>
        <v>1.9459101490553132</v>
      </c>
      <c r="H103" s="15" t="s">
        <v>77</v>
      </c>
      <c r="I103" s="15">
        <v>12</v>
      </c>
    </row>
    <row r="104" spans="2:16" x14ac:dyDescent="0.3">
      <c r="C104" s="18">
        <f t="shared" si="5"/>
        <v>2.87</v>
      </c>
      <c r="D104" s="18">
        <f t="shared" si="6"/>
        <v>8</v>
      </c>
      <c r="E104" s="59">
        <f t="shared" si="7"/>
        <v>1.0543120297715298</v>
      </c>
      <c r="F104" s="61">
        <f t="shared" si="7"/>
        <v>2.0794415416798357</v>
      </c>
    </row>
    <row r="105" spans="2:16" ht="15" thickBot="1" x14ac:dyDescent="0.35">
      <c r="C105" s="18">
        <f t="shared" si="5"/>
        <v>3.05</v>
      </c>
      <c r="D105" s="18">
        <f t="shared" si="6"/>
        <v>9</v>
      </c>
      <c r="E105" s="59">
        <f t="shared" si="7"/>
        <v>1.1151415906193203</v>
      </c>
      <c r="F105" s="61">
        <f t="shared" si="7"/>
        <v>2.1972245773362196</v>
      </c>
      <c r="H105" t="s">
        <v>78</v>
      </c>
    </row>
    <row r="106" spans="2:16" x14ac:dyDescent="0.3">
      <c r="C106" s="18">
        <f t="shared" si="5"/>
        <v>3.31</v>
      </c>
      <c r="D106" s="18">
        <f t="shared" si="6"/>
        <v>10</v>
      </c>
      <c r="E106" s="59">
        <f t="shared" si="7"/>
        <v>1.1969481893889715</v>
      </c>
      <c r="F106" s="61">
        <f t="shared" si="7"/>
        <v>2.3025850929940459</v>
      </c>
      <c r="H106" s="16"/>
      <c r="I106" s="16" t="s">
        <v>83</v>
      </c>
      <c r="J106" s="16" t="s">
        <v>84</v>
      </c>
      <c r="K106" s="16" t="s">
        <v>85</v>
      </c>
      <c r="L106" s="16" t="s">
        <v>86</v>
      </c>
      <c r="M106" s="16" t="s">
        <v>87</v>
      </c>
    </row>
    <row r="107" spans="2:16" x14ac:dyDescent="0.3">
      <c r="C107" s="18">
        <f t="shared" si="5"/>
        <v>3.12</v>
      </c>
      <c r="D107" s="18">
        <f t="shared" si="6"/>
        <v>11</v>
      </c>
      <c r="E107" s="59">
        <f t="shared" si="7"/>
        <v>1.1378330018213911</v>
      </c>
      <c r="F107" s="61">
        <f t="shared" si="7"/>
        <v>2.3978952727983707</v>
      </c>
      <c r="H107" t="s">
        <v>79</v>
      </c>
      <c r="I107">
        <v>1</v>
      </c>
      <c r="J107">
        <v>9.7851229290782382E-4</v>
      </c>
      <c r="K107">
        <v>9.7851229290782382E-4</v>
      </c>
      <c r="L107">
        <v>0.36015982450851874</v>
      </c>
      <c r="M107">
        <v>0.56176986859124711</v>
      </c>
    </row>
    <row r="108" spans="2:16" x14ac:dyDescent="0.3">
      <c r="C108" s="18">
        <f t="shared" si="5"/>
        <v>3.23</v>
      </c>
      <c r="D108" s="18">
        <f t="shared" si="6"/>
        <v>12</v>
      </c>
      <c r="E108" s="59">
        <f t="shared" si="7"/>
        <v>1.1724821372345651</v>
      </c>
      <c r="F108" s="61">
        <f t="shared" si="7"/>
        <v>2.4849066497880004</v>
      </c>
      <c r="H108" t="s">
        <v>80</v>
      </c>
      <c r="I108">
        <v>10</v>
      </c>
      <c r="J108">
        <v>2.7168835231500935E-2</v>
      </c>
      <c r="K108">
        <v>2.7168835231500934E-3</v>
      </c>
    </row>
    <row r="109" spans="2:16" ht="15" thickBot="1" x14ac:dyDescent="0.35">
      <c r="H109" s="15" t="s">
        <v>81</v>
      </c>
      <c r="I109" s="15">
        <v>11</v>
      </c>
      <c r="J109" s="15">
        <v>2.8147347524408759E-2</v>
      </c>
      <c r="K109" s="15"/>
      <c r="L109" s="15"/>
      <c r="M109" s="15"/>
    </row>
    <row r="110" spans="2:16" ht="15" thickBot="1" x14ac:dyDescent="0.35"/>
    <row r="111" spans="2:16" x14ac:dyDescent="0.3">
      <c r="B111" t="s">
        <v>201</v>
      </c>
      <c r="H111" s="16"/>
      <c r="I111" s="16" t="s">
        <v>88</v>
      </c>
      <c r="J111" s="16" t="s">
        <v>71</v>
      </c>
      <c r="K111" s="16" t="s">
        <v>89</v>
      </c>
      <c r="L111" s="16" t="s">
        <v>90</v>
      </c>
      <c r="M111" s="16" t="s">
        <v>91</v>
      </c>
      <c r="N111" s="16" t="s">
        <v>92</v>
      </c>
      <c r="O111" s="16" t="s">
        <v>93</v>
      </c>
      <c r="P111" s="16" t="s">
        <v>94</v>
      </c>
    </row>
    <row r="112" spans="2:16" x14ac:dyDescent="0.3">
      <c r="G112" t="s">
        <v>202</v>
      </c>
      <c r="H112" t="s">
        <v>82</v>
      </c>
      <c r="I112" s="40">
        <v>1.0816323854080168</v>
      </c>
      <c r="J112">
        <v>3.7759879299419159E-2</v>
      </c>
      <c r="K112">
        <v>28.645017025376323</v>
      </c>
      <c r="L112" s="40">
        <v>6.2588698980984959E-11</v>
      </c>
      <c r="M112">
        <v>0.99749813129466869</v>
      </c>
      <c r="N112">
        <v>1.1657666395213648</v>
      </c>
      <c r="O112">
        <v>0.99749813129466869</v>
      </c>
      <c r="P112">
        <v>1.1657666395213648</v>
      </c>
    </row>
    <row r="113" spans="1:27" ht="15" thickBot="1" x14ac:dyDescent="0.35">
      <c r="G113" t="s">
        <v>172</v>
      </c>
      <c r="H113" s="15" t="s">
        <v>208</v>
      </c>
      <c r="I113" s="50">
        <v>1.2478400032545854E-2</v>
      </c>
      <c r="J113" s="15">
        <v>2.079271836363587E-2</v>
      </c>
      <c r="K113" s="15">
        <v>0.60013317231137875</v>
      </c>
      <c r="L113" s="50">
        <v>0.56176986859124689</v>
      </c>
      <c r="M113" s="15">
        <v>-3.3850663591879694E-2</v>
      </c>
      <c r="N113" s="15">
        <v>5.8807463656971405E-2</v>
      </c>
      <c r="O113" s="15">
        <v>-3.3850663591879694E-2</v>
      </c>
      <c r="P113" s="15">
        <v>5.8807463656971405E-2</v>
      </c>
    </row>
    <row r="114" spans="1:27" x14ac:dyDescent="0.3">
      <c r="L114" s="43" t="s">
        <v>240</v>
      </c>
    </row>
    <row r="116" spans="1:27" ht="15.6" x14ac:dyDescent="0.3">
      <c r="G116" s="54" t="s">
        <v>175</v>
      </c>
    </row>
    <row r="117" spans="1:27" x14ac:dyDescent="0.3">
      <c r="B117" t="s">
        <v>196</v>
      </c>
      <c r="G117" t="s">
        <v>207</v>
      </c>
      <c r="H117" s="40">
        <f>EXP(I112)</f>
        <v>2.9494903284491034</v>
      </c>
    </row>
    <row r="118" spans="1:27" x14ac:dyDescent="0.3">
      <c r="G118" t="s">
        <v>244</v>
      </c>
    </row>
    <row r="119" spans="1:27" x14ac:dyDescent="0.3">
      <c r="G119" t="s">
        <v>242</v>
      </c>
      <c r="H119" t="s">
        <v>243</v>
      </c>
    </row>
    <row r="122" spans="1:27" ht="15" thickBot="1" x14ac:dyDescent="0.35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5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5" thickTop="1" x14ac:dyDescent="0.3">
      <c r="A123" s="43" t="s">
        <v>283</v>
      </c>
    </row>
    <row r="124" spans="1:27" x14ac:dyDescent="0.3">
      <c r="C124" s="18" t="s">
        <v>280</v>
      </c>
      <c r="D124" s="18" t="s">
        <v>171</v>
      </c>
      <c r="G124" t="s">
        <v>72</v>
      </c>
    </row>
    <row r="125" spans="1:27" ht="15" thickBot="1" x14ac:dyDescent="0.35">
      <c r="C125" s="18">
        <v>3.13</v>
      </c>
      <c r="D125" s="18">
        <v>1</v>
      </c>
    </row>
    <row r="126" spans="1:27" x14ac:dyDescent="0.3">
      <c r="C126" s="18">
        <v>3.03</v>
      </c>
      <c r="D126" s="18">
        <v>2</v>
      </c>
      <c r="G126" s="17" t="s">
        <v>73</v>
      </c>
      <c r="H126" s="17"/>
    </row>
    <row r="127" spans="1:27" x14ac:dyDescent="0.3">
      <c r="C127" s="18">
        <v>2.92</v>
      </c>
      <c r="D127" s="18">
        <v>3</v>
      </c>
      <c r="G127" t="s">
        <v>74</v>
      </c>
      <c r="H127">
        <v>0.45503090208207053</v>
      </c>
    </row>
    <row r="128" spans="1:27" x14ac:dyDescent="0.3">
      <c r="C128" s="18">
        <v>2.86</v>
      </c>
      <c r="D128" s="18">
        <v>4</v>
      </c>
      <c r="G128" t="s">
        <v>75</v>
      </c>
      <c r="H128" s="40">
        <v>0.20705312184962285</v>
      </c>
      <c r="I128" s="43" t="s">
        <v>286</v>
      </c>
      <c r="J128" s="43"/>
      <c r="K128" s="43"/>
    </row>
    <row r="129" spans="3:15" x14ac:dyDescent="0.3">
      <c r="C129" s="18">
        <v>2.87</v>
      </c>
      <c r="D129" s="18">
        <v>5</v>
      </c>
      <c r="G129" t="s">
        <v>76</v>
      </c>
      <c r="H129">
        <v>0.12775843403458514</v>
      </c>
      <c r="I129" s="43"/>
      <c r="J129" s="43"/>
      <c r="K129" s="43"/>
    </row>
    <row r="130" spans="3:15" x14ac:dyDescent="0.3">
      <c r="C130" s="18">
        <v>2.9</v>
      </c>
      <c r="D130" s="18">
        <v>6</v>
      </c>
      <c r="G130" t="s">
        <v>71</v>
      </c>
      <c r="H130">
        <v>0.14438342504101159</v>
      </c>
      <c r="I130" s="43" t="s">
        <v>176</v>
      </c>
      <c r="J130" s="13">
        <f>H130/AVERAGE(C125:C136)</f>
        <v>4.7888366514431721E-2</v>
      </c>
      <c r="K130" s="43" t="s">
        <v>287</v>
      </c>
    </row>
    <row r="131" spans="3:15" ht="15" thickBot="1" x14ac:dyDescent="0.35">
      <c r="C131" s="18">
        <v>2.89</v>
      </c>
      <c r="D131" s="18">
        <v>7</v>
      </c>
      <c r="G131" s="15" t="s">
        <v>77</v>
      </c>
      <c r="H131" s="15">
        <v>12</v>
      </c>
    </row>
    <row r="132" spans="3:15" x14ac:dyDescent="0.3">
      <c r="C132" s="18">
        <v>2.87</v>
      </c>
      <c r="D132" s="18">
        <v>8</v>
      </c>
    </row>
    <row r="133" spans="3:15" ht="15" thickBot="1" x14ac:dyDescent="0.35">
      <c r="C133" s="18">
        <v>3.05</v>
      </c>
      <c r="D133" s="18">
        <v>9</v>
      </c>
      <c r="G133" t="s">
        <v>78</v>
      </c>
    </row>
    <row r="134" spans="3:15" x14ac:dyDescent="0.3">
      <c r="C134" s="18">
        <v>3.31</v>
      </c>
      <c r="D134" s="18">
        <v>10</v>
      </c>
      <c r="G134" s="16"/>
      <c r="H134" s="16" t="s">
        <v>83</v>
      </c>
      <c r="I134" s="16" t="s">
        <v>84</v>
      </c>
      <c r="J134" s="16" t="s">
        <v>85</v>
      </c>
      <c r="K134" s="16" t="s">
        <v>86</v>
      </c>
      <c r="L134" s="16" t="s">
        <v>87</v>
      </c>
    </row>
    <row r="135" spans="3:15" x14ac:dyDescent="0.3">
      <c r="C135" s="18">
        <v>3.12</v>
      </c>
      <c r="D135" s="18">
        <v>11</v>
      </c>
      <c r="G135" t="s">
        <v>79</v>
      </c>
      <c r="H135">
        <v>1</v>
      </c>
      <c r="I135">
        <v>5.4434265734265852E-2</v>
      </c>
      <c r="J135">
        <v>5.4434265734265852E-2</v>
      </c>
      <c r="K135">
        <v>2.6111852830872309</v>
      </c>
      <c r="L135">
        <v>0.13718508853028885</v>
      </c>
    </row>
    <row r="136" spans="3:15" x14ac:dyDescent="0.3">
      <c r="C136" s="18">
        <v>3.23</v>
      </c>
      <c r="D136" s="18">
        <v>12</v>
      </c>
      <c r="G136" t="s">
        <v>80</v>
      </c>
      <c r="H136">
        <v>10</v>
      </c>
      <c r="I136">
        <v>0.20846573426573417</v>
      </c>
      <c r="J136">
        <v>2.0846573426573416E-2</v>
      </c>
    </row>
    <row r="137" spans="3:15" ht="15" thickBot="1" x14ac:dyDescent="0.35">
      <c r="G137" s="15" t="s">
        <v>81</v>
      </c>
      <c r="H137" s="15">
        <v>11</v>
      </c>
      <c r="I137" s="15">
        <v>0.26290000000000002</v>
      </c>
      <c r="J137" s="15"/>
      <c r="K137" s="15"/>
      <c r="L137" s="15"/>
    </row>
    <row r="138" spans="3:15" ht="15" thickBot="1" x14ac:dyDescent="0.35"/>
    <row r="139" spans="3:15" x14ac:dyDescent="0.3">
      <c r="G139" s="16"/>
      <c r="H139" s="16" t="s">
        <v>88</v>
      </c>
      <c r="I139" s="16" t="s">
        <v>71</v>
      </c>
      <c r="J139" s="16" t="s">
        <v>89</v>
      </c>
      <c r="K139" s="16" t="s">
        <v>90</v>
      </c>
      <c r="L139" s="16" t="s">
        <v>91</v>
      </c>
      <c r="M139" s="16" t="s">
        <v>92</v>
      </c>
      <c r="N139" s="16" t="s">
        <v>93</v>
      </c>
      <c r="O139" s="16" t="s">
        <v>94</v>
      </c>
    </row>
    <row r="140" spans="3:15" x14ac:dyDescent="0.3">
      <c r="F140" t="s">
        <v>207</v>
      </c>
      <c r="G140" t="s">
        <v>82</v>
      </c>
      <c r="H140">
        <v>2.8881818181818173</v>
      </c>
      <c r="I140">
        <v>8.8861855305004234E-2</v>
      </c>
      <c r="J140">
        <v>32.501930195679471</v>
      </c>
      <c r="K140" s="40">
        <v>1.791652331387467E-11</v>
      </c>
      <c r="L140">
        <v>2.6901852659171546</v>
      </c>
      <c r="M140">
        <v>3.08617837044648</v>
      </c>
      <c r="N140">
        <v>2.6901852659171546</v>
      </c>
      <c r="O140">
        <v>3.08617837044648</v>
      </c>
    </row>
    <row r="141" spans="3:15" ht="15" thickBot="1" x14ac:dyDescent="0.35">
      <c r="F141" t="s">
        <v>172</v>
      </c>
      <c r="G141" s="15" t="s">
        <v>171</v>
      </c>
      <c r="H141" s="15">
        <v>1.9510489510489528E-2</v>
      </c>
      <c r="I141" s="15">
        <v>1.2073948556800367E-2</v>
      </c>
      <c r="J141" s="15">
        <v>1.6159162364080726</v>
      </c>
      <c r="K141" s="50">
        <v>0.13718508853028877</v>
      </c>
      <c r="L141" s="15">
        <v>-7.3919443658009773E-3</v>
      </c>
      <c r="M141" s="15">
        <v>4.6412923386780033E-2</v>
      </c>
      <c r="N141" s="15">
        <v>-7.3919443658009773E-3</v>
      </c>
      <c r="O141" s="15">
        <v>4.6412923386780033E-2</v>
      </c>
    </row>
    <row r="142" spans="3:15" x14ac:dyDescent="0.3">
      <c r="K142" t="s">
        <v>288</v>
      </c>
    </row>
  </sheetData>
  <pageMargins left="0.7" right="0.7" top="0.75" bottom="0.75" header="0.3" footer="0.3"/>
  <pageSetup paperSize="9" scale="57" orientation="portrait" r:id="rId1"/>
  <colBreaks count="1" manualBreakCount="1">
    <brk id="18" max="43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H2" sqref="H2"/>
    </sheetView>
  </sheetViews>
  <sheetFormatPr defaultRowHeight="14.4" x14ac:dyDescent="0.3"/>
  <cols>
    <col min="7" max="7" width="13.33203125" customWidth="1"/>
    <col min="14" max="14" width="11.88671875" customWidth="1"/>
  </cols>
  <sheetData>
    <row r="1" spans="1:8" x14ac:dyDescent="0.3">
      <c r="A1" s="18" t="s">
        <v>272</v>
      </c>
      <c r="B1" s="18" t="s">
        <v>266</v>
      </c>
      <c r="C1" s="18" t="s">
        <v>267</v>
      </c>
      <c r="D1" s="18" t="s">
        <v>268</v>
      </c>
      <c r="E1" s="18" t="s">
        <v>269</v>
      </c>
      <c r="F1" s="18" t="s">
        <v>280</v>
      </c>
      <c r="G1" s="75" t="s">
        <v>273</v>
      </c>
      <c r="H1" s="18" t="s">
        <v>327</v>
      </c>
    </row>
    <row r="2" spans="1:8" x14ac:dyDescent="0.3">
      <c r="A2" s="18">
        <v>2012</v>
      </c>
      <c r="B2" s="66">
        <v>0.47</v>
      </c>
      <c r="C2" s="60">
        <v>2.7999999999999997E-2</v>
      </c>
      <c r="D2" s="67">
        <v>2.5429706710245023E-4</v>
      </c>
      <c r="E2" s="60">
        <v>7.8E-2</v>
      </c>
      <c r="F2" s="18">
        <v>3.13</v>
      </c>
      <c r="G2" s="68">
        <v>6.7498604230897275E-6</v>
      </c>
      <c r="H2" s="60">
        <v>0.58470894520833749</v>
      </c>
    </row>
    <row r="3" spans="1:8" x14ac:dyDescent="0.3">
      <c r="A3" s="18">
        <v>2013</v>
      </c>
      <c r="B3" s="66">
        <v>0.48</v>
      </c>
      <c r="C3" s="60">
        <v>2.6000000000000002E-2</v>
      </c>
      <c r="D3" s="67">
        <v>2.1838945266299418E-4</v>
      </c>
      <c r="E3" s="60">
        <v>7.1999999999999995E-2</v>
      </c>
      <c r="F3" s="18">
        <v>3.03</v>
      </c>
      <c r="G3" s="68">
        <v>7.6124323499672257E-6</v>
      </c>
      <c r="H3" s="60">
        <v>0.58441066167975764</v>
      </c>
    </row>
    <row r="4" spans="1:8" x14ac:dyDescent="0.3">
      <c r="A4" s="18">
        <v>2014</v>
      </c>
      <c r="B4" s="66">
        <v>0.47</v>
      </c>
      <c r="C4" s="60">
        <v>1.4999999999999999E-2</v>
      </c>
      <c r="D4" s="67">
        <v>3.5450698821513503E-4</v>
      </c>
      <c r="E4" s="60">
        <v>5.7000000000000002E-2</v>
      </c>
      <c r="F4" s="18">
        <v>2.92</v>
      </c>
      <c r="G4" s="68">
        <v>6.8424492921873226E-6</v>
      </c>
      <c r="H4" s="60">
        <v>0.58202465541025217</v>
      </c>
    </row>
    <row r="5" spans="1:8" x14ac:dyDescent="0.3">
      <c r="A5" s="18">
        <v>2015</v>
      </c>
      <c r="B5" s="66">
        <v>0.46</v>
      </c>
      <c r="C5" s="60">
        <v>0</v>
      </c>
      <c r="D5" s="67">
        <v>2.7645506826458923E-4</v>
      </c>
      <c r="E5" s="60">
        <v>5.0999999999999997E-2</v>
      </c>
      <c r="F5" s="18">
        <v>2.86</v>
      </c>
      <c r="G5" s="68">
        <v>7.4950040729510865E-6</v>
      </c>
      <c r="H5" s="60">
        <v>0.58732364827903227</v>
      </c>
    </row>
    <row r="6" spans="1:8" x14ac:dyDescent="0.3">
      <c r="A6" s="18">
        <v>2016</v>
      </c>
      <c r="B6" s="66">
        <v>0.4</v>
      </c>
      <c r="C6" s="60">
        <v>6.9999999999999993E-3</v>
      </c>
      <c r="D6" s="67">
        <v>2.7875915131639285E-4</v>
      </c>
      <c r="E6" s="60">
        <v>4.8000000000000001E-2</v>
      </c>
      <c r="F6" s="18">
        <v>2.87</v>
      </c>
      <c r="G6" s="68">
        <v>8.0124215077826592E-6</v>
      </c>
      <c r="H6" s="60">
        <v>0.58508290046435951</v>
      </c>
    </row>
    <row r="7" spans="1:8" x14ac:dyDescent="0.3">
      <c r="A7" s="18">
        <v>2017</v>
      </c>
      <c r="B7" s="66">
        <v>0.44</v>
      </c>
      <c r="C7" s="60">
        <v>2.7000000000000003E-2</v>
      </c>
      <c r="D7" s="67">
        <v>4.0732745446249408E-4</v>
      </c>
      <c r="E7" s="60">
        <v>4.3999999999999997E-2</v>
      </c>
      <c r="F7" s="18">
        <v>2.9</v>
      </c>
      <c r="G7" s="68">
        <v>9.0096593087428984E-6</v>
      </c>
      <c r="H7" s="60">
        <v>0.58394420120573942</v>
      </c>
    </row>
    <row r="8" spans="1:8" x14ac:dyDescent="0.3">
      <c r="A8" s="18">
        <v>2018</v>
      </c>
      <c r="B8" s="66">
        <v>0.45</v>
      </c>
      <c r="C8" s="60">
        <v>2.5000000000000001E-2</v>
      </c>
      <c r="D8" s="67">
        <v>3.7780979477462263E-4</v>
      </c>
      <c r="E8" s="60">
        <v>0.04</v>
      </c>
      <c r="F8" s="18">
        <v>2.89</v>
      </c>
      <c r="G8" s="68">
        <v>9.0614142013674424E-6</v>
      </c>
      <c r="H8" s="60">
        <v>0.58852985354652931</v>
      </c>
    </row>
    <row r="9" spans="1:8" x14ac:dyDescent="0.3">
      <c r="A9" s="18">
        <v>2019</v>
      </c>
      <c r="B9" s="66">
        <v>0.4</v>
      </c>
      <c r="C9" s="60">
        <v>1.8000000000000002E-2</v>
      </c>
      <c r="D9" s="67">
        <v>3.2636291022657582E-4</v>
      </c>
      <c r="E9" s="60">
        <v>0.04</v>
      </c>
      <c r="F9" s="18">
        <v>2.87</v>
      </c>
      <c r="G9" s="68">
        <v>1.2395802278330494E-5</v>
      </c>
      <c r="H9" s="60">
        <v>0.59038528511499067</v>
      </c>
    </row>
    <row r="10" spans="1:8" x14ac:dyDescent="0.3">
      <c r="A10" s="18">
        <v>2020</v>
      </c>
      <c r="B10" s="66">
        <v>0.41</v>
      </c>
      <c r="C10" s="60">
        <v>9.0000000000000011E-3</v>
      </c>
      <c r="D10" s="67">
        <v>4.2485803517827513E-4</v>
      </c>
      <c r="E10" s="60">
        <v>5.2999999999999999E-2</v>
      </c>
      <c r="F10" s="18">
        <v>3.05</v>
      </c>
      <c r="G10" s="68">
        <v>1.2268707471990191E-5</v>
      </c>
      <c r="H10" s="60">
        <v>0.58755201689800518</v>
      </c>
    </row>
    <row r="11" spans="1:8" x14ac:dyDescent="0.3">
      <c r="A11" s="18">
        <v>2021</v>
      </c>
      <c r="B11" s="66">
        <v>0.59</v>
      </c>
      <c r="C11" s="60">
        <v>2.6000000000000002E-2</v>
      </c>
      <c r="D11" s="67">
        <v>3.8237213283939082E-4</v>
      </c>
      <c r="E11" s="60">
        <v>4.1000000000000002E-2</v>
      </c>
      <c r="F11" s="18">
        <v>3.31</v>
      </c>
      <c r="G11" s="68">
        <v>1.3759375173826898E-5</v>
      </c>
      <c r="H11" s="60">
        <v>0.59464236034392326</v>
      </c>
    </row>
    <row r="12" spans="1:8" x14ac:dyDescent="0.3">
      <c r="A12" s="18">
        <v>2022</v>
      </c>
      <c r="B12" s="66">
        <v>0.62</v>
      </c>
      <c r="C12" s="60">
        <v>9.0999999999999998E-2</v>
      </c>
      <c r="D12" s="67">
        <v>3.9735099337748344E-4</v>
      </c>
      <c r="E12" s="60">
        <v>3.7999999999999999E-2</v>
      </c>
      <c r="F12" s="18">
        <v>3.12</v>
      </c>
      <c r="G12" s="68">
        <v>1.2877115526122149E-5</v>
      </c>
      <c r="H12" s="60">
        <v>0.59698638908125079</v>
      </c>
    </row>
    <row r="13" spans="1:8" x14ac:dyDescent="0.3">
      <c r="A13" s="18">
        <v>2023</v>
      </c>
      <c r="B13" s="66">
        <v>0.56999999999999995</v>
      </c>
      <c r="C13" s="60">
        <v>7.2999999999999995E-2</v>
      </c>
      <c r="D13" s="67">
        <v>4.2917826278013771E-4</v>
      </c>
      <c r="E13" s="60">
        <v>3.9E-2</v>
      </c>
      <c r="F13" s="18">
        <v>3.23</v>
      </c>
      <c r="G13" s="69">
        <v>1.4136026170815394E-5</v>
      </c>
      <c r="H13" s="70">
        <v>0.59478824657957441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G33" sqref="G3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0"/>
  <sheetViews>
    <sheetView workbookViewId="0">
      <selection activeCell="P19" sqref="P19"/>
    </sheetView>
  </sheetViews>
  <sheetFormatPr defaultRowHeight="14.4" x14ac:dyDescent="0.3"/>
  <sheetData>
    <row r="1" spans="1:20" x14ac:dyDescent="0.3">
      <c r="A1" s="18" t="s">
        <v>272</v>
      </c>
      <c r="B1" s="18" t="s">
        <v>266</v>
      </c>
      <c r="C1" s="18" t="s">
        <v>267</v>
      </c>
      <c r="D1" s="77" t="s">
        <v>270</v>
      </c>
      <c r="G1" s="76"/>
      <c r="L1" t="s">
        <v>72</v>
      </c>
    </row>
    <row r="2" spans="1:20" ht="15" thickBot="1" x14ac:dyDescent="0.35">
      <c r="A2">
        <v>2012</v>
      </c>
      <c r="B2" s="14">
        <v>0.47</v>
      </c>
      <c r="C2" s="10">
        <v>2.7999999999999997E-2</v>
      </c>
      <c r="D2">
        <v>3.13</v>
      </c>
    </row>
    <row r="3" spans="1:20" x14ac:dyDescent="0.3">
      <c r="A3">
        <v>2013</v>
      </c>
      <c r="B3" s="14">
        <v>0.48</v>
      </c>
      <c r="C3" s="10">
        <v>2.6000000000000002E-2</v>
      </c>
      <c r="D3">
        <v>3.03</v>
      </c>
      <c r="H3">
        <f t="array" ref="H3:J7">LINEST(B2:B13,C2:D13,1,1)</f>
        <v>0.23531294534148253</v>
      </c>
      <c r="I3">
        <v>1.4330618685595238</v>
      </c>
      <c r="J3">
        <v>-0.27066905892565596</v>
      </c>
      <c r="L3" s="17" t="s">
        <v>73</v>
      </c>
      <c r="M3" s="17"/>
    </row>
    <row r="4" spans="1:20" x14ac:dyDescent="0.3">
      <c r="A4">
        <v>2014</v>
      </c>
      <c r="B4" s="14">
        <v>0.47</v>
      </c>
      <c r="C4" s="10">
        <v>1.4999999999999999E-2</v>
      </c>
      <c r="D4">
        <v>2.92</v>
      </c>
      <c r="H4">
        <v>8.8456854753680286E-2</v>
      </c>
      <c r="I4">
        <v>0.5115741679826683</v>
      </c>
      <c r="J4">
        <v>0.25893844430232082</v>
      </c>
      <c r="L4" t="s">
        <v>74</v>
      </c>
      <c r="M4">
        <v>0.88944706193653522</v>
      </c>
    </row>
    <row r="5" spans="1:20" x14ac:dyDescent="0.3">
      <c r="A5">
        <v>2015</v>
      </c>
      <c r="B5" s="14">
        <v>0.46</v>
      </c>
      <c r="C5" s="10">
        <v>0</v>
      </c>
      <c r="D5">
        <v>2.86</v>
      </c>
      <c r="H5">
        <v>0.79111607598753475</v>
      </c>
      <c r="I5">
        <v>3.7503134380350113E-2</v>
      </c>
      <c r="J5" t="e">
        <v>#N/A</v>
      </c>
      <c r="L5" t="s">
        <v>75</v>
      </c>
      <c r="M5">
        <v>0.79111607598753475</v>
      </c>
      <c r="N5" s="43" t="s">
        <v>251</v>
      </c>
      <c r="O5" s="43"/>
      <c r="P5" s="43"/>
    </row>
    <row r="6" spans="1:20" x14ac:dyDescent="0.3">
      <c r="A6">
        <v>2016</v>
      </c>
      <c r="B6" s="14">
        <v>0.4</v>
      </c>
      <c r="C6" s="10">
        <v>6.9999999999999993E-3</v>
      </c>
      <c r="D6">
        <v>2.87</v>
      </c>
      <c r="H6">
        <v>17.043065227611578</v>
      </c>
      <c r="I6">
        <v>9</v>
      </c>
      <c r="J6" t="e">
        <v>#N/A</v>
      </c>
      <c r="L6" t="s">
        <v>76</v>
      </c>
      <c r="M6">
        <v>0.74469742620698698</v>
      </c>
      <c r="N6" s="43"/>
      <c r="O6" s="43"/>
      <c r="P6" s="43"/>
    </row>
    <row r="7" spans="1:20" x14ac:dyDescent="0.3">
      <c r="A7">
        <v>2017</v>
      </c>
      <c r="B7" s="14">
        <v>0.44</v>
      </c>
      <c r="C7" s="10">
        <v>2.7000000000000003E-2</v>
      </c>
      <c r="D7">
        <v>2.9</v>
      </c>
      <c r="H7">
        <v>4.7941634204844583E-2</v>
      </c>
      <c r="I7">
        <v>1.2658365795155389E-2</v>
      </c>
      <c r="J7" t="e">
        <v>#N/A</v>
      </c>
      <c r="L7" t="s">
        <v>71</v>
      </c>
      <c r="M7">
        <v>3.7503134380350113E-2</v>
      </c>
      <c r="N7" s="43" t="s">
        <v>176</v>
      </c>
      <c r="O7" s="63">
        <f>M7/AVERAGE(B2:B13)</f>
        <v>7.8131529959062723E-2</v>
      </c>
      <c r="P7" s="43" t="s">
        <v>287</v>
      </c>
    </row>
    <row r="8" spans="1:20" ht="15" thickBot="1" x14ac:dyDescent="0.35">
      <c r="A8">
        <v>2018</v>
      </c>
      <c r="B8" s="14">
        <v>0.45</v>
      </c>
      <c r="C8" s="10">
        <v>2.5000000000000001E-2</v>
      </c>
      <c r="D8">
        <v>2.89</v>
      </c>
      <c r="L8" s="15" t="s">
        <v>77</v>
      </c>
      <c r="M8" s="15">
        <v>12</v>
      </c>
    </row>
    <row r="9" spans="1:20" x14ac:dyDescent="0.3">
      <c r="A9">
        <v>2019</v>
      </c>
      <c r="B9" s="14">
        <v>0.4</v>
      </c>
      <c r="C9" s="10">
        <v>1.8000000000000002E-2</v>
      </c>
      <c r="D9">
        <v>2.87</v>
      </c>
      <c r="G9" t="s">
        <v>279</v>
      </c>
    </row>
    <row r="10" spans="1:20" ht="15" thickBot="1" x14ac:dyDescent="0.35">
      <c r="A10">
        <v>2020</v>
      </c>
      <c r="B10" s="14">
        <v>0.41</v>
      </c>
      <c r="C10" s="10">
        <v>9.0000000000000011E-3</v>
      </c>
      <c r="D10">
        <v>3.05</v>
      </c>
      <c r="L10" t="s">
        <v>78</v>
      </c>
    </row>
    <row r="11" spans="1:20" x14ac:dyDescent="0.3">
      <c r="A11">
        <v>2021</v>
      </c>
      <c r="B11" s="14">
        <v>0.59</v>
      </c>
      <c r="C11" s="10">
        <v>2.6000000000000002E-2</v>
      </c>
      <c r="D11">
        <v>3.31</v>
      </c>
      <c r="L11" s="16"/>
      <c r="M11" s="16" t="s">
        <v>83</v>
      </c>
      <c r="N11" s="16" t="s">
        <v>84</v>
      </c>
      <c r="O11" s="16" t="s">
        <v>85</v>
      </c>
      <c r="P11" s="16" t="s">
        <v>86</v>
      </c>
      <c r="Q11" s="16" t="s">
        <v>87</v>
      </c>
    </row>
    <row r="12" spans="1:20" x14ac:dyDescent="0.3">
      <c r="A12">
        <v>2022</v>
      </c>
      <c r="B12" s="14">
        <v>0.62</v>
      </c>
      <c r="C12" s="10">
        <v>9.0999999999999998E-2</v>
      </c>
      <c r="D12">
        <v>3.12</v>
      </c>
      <c r="L12" t="s">
        <v>79</v>
      </c>
      <c r="M12">
        <v>2</v>
      </c>
      <c r="N12">
        <v>4.7941634204844583E-2</v>
      </c>
      <c r="O12">
        <v>2.3970817102422291E-2</v>
      </c>
      <c r="P12">
        <v>17.043065227611578</v>
      </c>
      <c r="Q12">
        <v>8.7010683099235028E-4</v>
      </c>
    </row>
    <row r="13" spans="1:20" x14ac:dyDescent="0.3">
      <c r="A13">
        <v>2023</v>
      </c>
      <c r="B13" s="14">
        <v>0.56999999999999995</v>
      </c>
      <c r="C13" s="10">
        <v>7.2999999999999995E-2</v>
      </c>
      <c r="D13">
        <v>3.23</v>
      </c>
      <c r="L13" t="s">
        <v>80</v>
      </c>
      <c r="M13">
        <v>9</v>
      </c>
      <c r="N13">
        <v>1.2658365795155389E-2</v>
      </c>
      <c r="O13">
        <v>1.4064850883505988E-3</v>
      </c>
    </row>
    <row r="14" spans="1:20" ht="15" thickBot="1" x14ac:dyDescent="0.35">
      <c r="L14" s="15" t="s">
        <v>81</v>
      </c>
      <c r="M14" s="15">
        <v>11</v>
      </c>
      <c r="N14" s="15">
        <v>6.0599999999999973E-2</v>
      </c>
      <c r="O14" s="15"/>
      <c r="P14" s="15"/>
      <c r="Q14" s="15"/>
    </row>
    <row r="15" spans="1:20" ht="15" thickBot="1" x14ac:dyDescent="0.35"/>
    <row r="16" spans="1:20" x14ac:dyDescent="0.3">
      <c r="L16" s="16"/>
      <c r="M16" s="16" t="s">
        <v>88</v>
      </c>
      <c r="N16" s="16" t="s">
        <v>71</v>
      </c>
      <c r="O16" s="16" t="s">
        <v>89</v>
      </c>
      <c r="P16" s="16" t="s">
        <v>90</v>
      </c>
      <c r="Q16" s="16" t="s">
        <v>91</v>
      </c>
      <c r="R16" s="16" t="s">
        <v>92</v>
      </c>
      <c r="S16" s="16" t="s">
        <v>93</v>
      </c>
      <c r="T16" s="16" t="s">
        <v>94</v>
      </c>
    </row>
    <row r="17" spans="11:20" x14ac:dyDescent="0.3">
      <c r="K17" t="s">
        <v>207</v>
      </c>
      <c r="L17" t="s">
        <v>82</v>
      </c>
      <c r="M17">
        <v>-0.27066905892565596</v>
      </c>
      <c r="N17">
        <v>0.25893844430232082</v>
      </c>
      <c r="O17">
        <v>-1.0453027153034069</v>
      </c>
      <c r="P17" s="40">
        <v>0.32314458874502344</v>
      </c>
      <c r="Q17">
        <v>-0.85642851542797516</v>
      </c>
      <c r="R17">
        <v>0.31509039757666324</v>
      </c>
      <c r="S17">
        <v>-0.85642851542797516</v>
      </c>
      <c r="T17">
        <v>0.31509039757666324</v>
      </c>
    </row>
    <row r="18" spans="11:20" x14ac:dyDescent="0.3">
      <c r="K18" t="s">
        <v>172</v>
      </c>
      <c r="L18" t="s">
        <v>267</v>
      </c>
      <c r="M18">
        <v>1.4330618685595238</v>
      </c>
      <c r="N18">
        <v>0.5115741679826683</v>
      </c>
      <c r="O18">
        <v>2.8012787944524882</v>
      </c>
      <c r="P18" s="40">
        <v>2.066940925614856E-2</v>
      </c>
      <c r="Q18">
        <v>0.27580070015499825</v>
      </c>
      <c r="R18">
        <v>2.5903230369640493</v>
      </c>
      <c r="S18">
        <v>0.27580070015499825</v>
      </c>
      <c r="T18">
        <v>2.5903230369640493</v>
      </c>
    </row>
    <row r="19" spans="11:20" ht="15" thickBot="1" x14ac:dyDescent="0.35">
      <c r="K19" t="s">
        <v>177</v>
      </c>
      <c r="L19" s="15" t="s">
        <v>270</v>
      </c>
      <c r="M19" s="15">
        <v>0.23531294534148253</v>
      </c>
      <c r="N19" s="15">
        <v>8.8456854753680286E-2</v>
      </c>
      <c r="O19" s="15">
        <v>2.660200229781426</v>
      </c>
      <c r="P19" s="50">
        <v>2.6037250311283636E-2</v>
      </c>
      <c r="Q19" s="15">
        <v>3.5209637761844187E-2</v>
      </c>
      <c r="R19" s="15">
        <v>0.43541625292112085</v>
      </c>
      <c r="S19" s="15">
        <v>3.5209637761844187E-2</v>
      </c>
      <c r="T19" s="15">
        <v>0.43541625292112085</v>
      </c>
    </row>
    <row r="20" spans="11:20" x14ac:dyDescent="0.3">
      <c r="P20" s="43" t="s">
        <v>319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0"/>
  <sheetViews>
    <sheetView workbookViewId="0">
      <selection activeCell="B20" sqref="B20"/>
    </sheetView>
  </sheetViews>
  <sheetFormatPr defaultRowHeight="14.4" x14ac:dyDescent="0.3"/>
  <cols>
    <col min="2" max="2" width="10.44140625" bestFit="1" customWidth="1"/>
  </cols>
  <sheetData>
    <row r="1" spans="1:15" x14ac:dyDescent="0.3">
      <c r="A1" s="18" t="s">
        <v>272</v>
      </c>
      <c r="B1" s="18" t="s">
        <v>266</v>
      </c>
      <c r="C1" s="18" t="s">
        <v>267</v>
      </c>
      <c r="D1" s="77" t="s">
        <v>270</v>
      </c>
      <c r="E1" t="s">
        <v>121</v>
      </c>
      <c r="F1" t="s">
        <v>122</v>
      </c>
      <c r="G1" t="s">
        <v>120</v>
      </c>
    </row>
    <row r="2" spans="1:15" x14ac:dyDescent="0.3">
      <c r="A2">
        <v>2012</v>
      </c>
      <c r="B2" s="14">
        <v>0.47</v>
      </c>
      <c r="C2" s="10">
        <v>2.7999999999999997E-2</v>
      </c>
      <c r="D2">
        <v>3.13</v>
      </c>
      <c r="E2">
        <f>G2^2</f>
        <v>0.25602202681125746</v>
      </c>
      <c r="F2">
        <f>G2^3</f>
        <v>0.12954361049444682</v>
      </c>
      <c r="G2" cm="1">
        <f t="array" ref="G2:G13">TREND(B2:B13,C2:D13,,1)</f>
        <v>0.50598619231285102</v>
      </c>
      <c r="K2" cm="1">
        <f t="array" ref="K2:O6">LINEST(B2:B13,C2:F13,1,1)</f>
        <v>-147.70436894303148</v>
      </c>
      <c r="L2">
        <v>221.59099054352166</v>
      </c>
      <c r="M2">
        <v>-25.68832609250175</v>
      </c>
      <c r="N2">
        <v>-155.28297710958245</v>
      </c>
      <c r="O2">
        <v>47.667066972283713</v>
      </c>
    </row>
    <row r="3" spans="1:15" x14ac:dyDescent="0.3">
      <c r="A3">
        <v>2013</v>
      </c>
      <c r="B3" s="14">
        <v>0.48</v>
      </c>
      <c r="C3" s="10">
        <v>2.6000000000000002E-2</v>
      </c>
      <c r="D3">
        <v>3.03</v>
      </c>
      <c r="E3">
        <f t="shared" ref="E3:E13" si="0">G3^2</f>
        <v>0.23000539218670926</v>
      </c>
      <c r="F3">
        <f t="shared" ref="F3:F13" si="1">G3^3</f>
        <v>0.11030800406177756</v>
      </c>
      <c r="G3">
        <v>0.47958877404158373</v>
      </c>
      <c r="K3">
        <v>94.056592826486337</v>
      </c>
      <c r="L3">
        <v>138.15858552741736</v>
      </c>
      <c r="M3">
        <v>15.854734910132297</v>
      </c>
      <c r="N3">
        <v>95.418171021547295</v>
      </c>
      <c r="O3">
        <v>29.119675404008404</v>
      </c>
    </row>
    <row r="4" spans="1:15" x14ac:dyDescent="0.3">
      <c r="A4">
        <v>2014</v>
      </c>
      <c r="B4" s="14">
        <v>0.47</v>
      </c>
      <c r="C4" s="10">
        <v>1.4999999999999999E-2</v>
      </c>
      <c r="D4">
        <v>2.92</v>
      </c>
      <c r="E4">
        <f t="shared" si="0"/>
        <v>0.19179203000199074</v>
      </c>
      <c r="F4">
        <f t="shared" si="1"/>
        <v>8.3993530023810187E-2</v>
      </c>
      <c r="G4">
        <v>0.43794066949986588</v>
      </c>
      <c r="K4">
        <v>0.87057991392764578</v>
      </c>
      <c r="L4">
        <v>3.3472498767078841E-2</v>
      </c>
      <c r="M4" t="e">
        <v>#N/A</v>
      </c>
      <c r="N4" t="e">
        <v>#N/A</v>
      </c>
      <c r="O4" t="e">
        <v>#N/A</v>
      </c>
    </row>
    <row r="5" spans="1:15" x14ac:dyDescent="0.3">
      <c r="A5">
        <v>2015</v>
      </c>
      <c r="B5" s="14">
        <v>0.46</v>
      </c>
      <c r="C5" s="10">
        <v>0</v>
      </c>
      <c r="D5">
        <v>2.86</v>
      </c>
      <c r="E5">
        <f t="shared" si="0"/>
        <v>0.16186618191281005</v>
      </c>
      <c r="F5">
        <f t="shared" si="1"/>
        <v>6.5122967798629583E-2</v>
      </c>
      <c r="G5">
        <v>0.40232596475098403</v>
      </c>
      <c r="K5">
        <v>11.771857797418221</v>
      </c>
      <c r="L5">
        <v>7</v>
      </c>
      <c r="M5" t="e">
        <v>#N/A</v>
      </c>
      <c r="N5" t="e">
        <v>#N/A</v>
      </c>
      <c r="O5" t="e">
        <v>#N/A</v>
      </c>
    </row>
    <row r="6" spans="1:15" x14ac:dyDescent="0.3">
      <c r="A6">
        <v>2016</v>
      </c>
      <c r="B6" s="14">
        <v>0.4</v>
      </c>
      <c r="C6" s="10">
        <v>6.9999999999999993E-3</v>
      </c>
      <c r="D6">
        <v>2.87</v>
      </c>
      <c r="E6">
        <f t="shared" si="0"/>
        <v>0.17198482144043514</v>
      </c>
      <c r="F6">
        <f t="shared" si="1"/>
        <v>7.1323915984461736E-2</v>
      </c>
      <c r="G6">
        <v>0.41471052728431568</v>
      </c>
      <c r="K6">
        <v>5.2757142784015311E-2</v>
      </c>
      <c r="L6">
        <v>7.8428572159846607E-3</v>
      </c>
      <c r="M6" t="e">
        <v>#N/A</v>
      </c>
      <c r="N6" t="e">
        <v>#N/A</v>
      </c>
      <c r="O6" t="e">
        <v>#N/A</v>
      </c>
    </row>
    <row r="7" spans="1:15" x14ac:dyDescent="0.3">
      <c r="A7">
        <v>2017</v>
      </c>
      <c r="B7" s="14">
        <v>0.44</v>
      </c>
      <c r="C7" s="10">
        <v>2.7000000000000003E-2</v>
      </c>
      <c r="D7">
        <v>2.9</v>
      </c>
      <c r="E7">
        <f t="shared" si="0"/>
        <v>0.20288822360709849</v>
      </c>
      <c r="F7">
        <f t="shared" si="1"/>
        <v>9.1387176492662786E-2</v>
      </c>
      <c r="G7">
        <v>0.45043115301575054</v>
      </c>
    </row>
    <row r="8" spans="1:15" x14ac:dyDescent="0.3">
      <c r="A8">
        <v>2018</v>
      </c>
      <c r="B8" s="14">
        <v>0.45</v>
      </c>
      <c r="C8" s="10">
        <v>2.5000000000000001E-2</v>
      </c>
      <c r="D8">
        <v>2.89</v>
      </c>
      <c r="E8">
        <f t="shared" si="0"/>
        <v>0.19821363574597878</v>
      </c>
      <c r="F8">
        <f t="shared" si="1"/>
        <v>8.8247069341730697E-2</v>
      </c>
      <c r="G8">
        <v>0.44521189982521669</v>
      </c>
    </row>
    <row r="9" spans="1:15" x14ac:dyDescent="0.3">
      <c r="A9">
        <v>2019</v>
      </c>
      <c r="B9" s="14">
        <v>0.4</v>
      </c>
      <c r="C9" s="10">
        <v>1.8000000000000002E-2</v>
      </c>
      <c r="D9">
        <v>2.87</v>
      </c>
      <c r="E9">
        <f t="shared" si="0"/>
        <v>0.18530804361415856</v>
      </c>
      <c r="F9">
        <f t="shared" si="1"/>
        <v>7.977033328090162E-2</v>
      </c>
      <c r="G9">
        <v>0.43047420783847035</v>
      </c>
      <c r="K9" cm="1">
        <f t="array" ref="K9:M13">LINEST(B2:B13,C2:D13,1,1)</f>
        <v>0.23531294534148253</v>
      </c>
      <c r="L9">
        <v>1.4330618685595238</v>
      </c>
      <c r="M9">
        <v>-0.27066905892565596</v>
      </c>
    </row>
    <row r="10" spans="1:15" x14ac:dyDescent="0.3">
      <c r="A10">
        <v>2020</v>
      </c>
      <c r="B10" s="14">
        <v>0.41</v>
      </c>
      <c r="C10" s="10">
        <v>9.0000000000000011E-3</v>
      </c>
      <c r="D10">
        <v>3.05</v>
      </c>
      <c r="E10">
        <f t="shared" si="0"/>
        <v>0.21153834717979123</v>
      </c>
      <c r="F10">
        <f t="shared" si="1"/>
        <v>9.7293462652905005E-2</v>
      </c>
      <c r="G10">
        <v>0.45993298118290149</v>
      </c>
      <c r="K10">
        <v>8.8456854753680286E-2</v>
      </c>
      <c r="L10">
        <v>0.5115741679826683</v>
      </c>
      <c r="M10">
        <v>0.25893844430232082</v>
      </c>
    </row>
    <row r="11" spans="1:15" x14ac:dyDescent="0.3">
      <c r="A11">
        <v>2021</v>
      </c>
      <c r="B11" s="14">
        <v>0.59</v>
      </c>
      <c r="C11" s="10">
        <v>2.6000000000000002E-2</v>
      </c>
      <c r="D11">
        <v>3.31</v>
      </c>
      <c r="E11">
        <f t="shared" si="0"/>
        <v>0.29754450157930357</v>
      </c>
      <c r="F11">
        <f t="shared" si="1"/>
        <v>0.1623035031855333</v>
      </c>
      <c r="G11">
        <v>0.54547639873719889</v>
      </c>
      <c r="K11">
        <v>0.79111607598753475</v>
      </c>
      <c r="L11">
        <v>3.7503134380350113E-2</v>
      </c>
      <c r="M11" t="e">
        <v>#N/A</v>
      </c>
    </row>
    <row r="12" spans="1:15" x14ac:dyDescent="0.3">
      <c r="A12">
        <v>2022</v>
      </c>
      <c r="B12" s="14">
        <v>0.62</v>
      </c>
      <c r="C12" s="10">
        <v>9.0999999999999998E-2</v>
      </c>
      <c r="D12">
        <v>3.12</v>
      </c>
      <c r="E12">
        <f t="shared" si="0"/>
        <v>0.35273616823010356</v>
      </c>
      <c r="F12">
        <f t="shared" si="1"/>
        <v>0.20949564018522701</v>
      </c>
      <c r="G12">
        <v>0.59391596057868623</v>
      </c>
      <c r="K12">
        <v>17.043065227611578</v>
      </c>
      <c r="L12">
        <v>9</v>
      </c>
      <c r="M12" t="e">
        <v>#N/A</v>
      </c>
    </row>
    <row r="13" spans="1:15" x14ac:dyDescent="0.3">
      <c r="A13">
        <v>2023</v>
      </c>
      <c r="B13" s="14">
        <v>0.56999999999999995</v>
      </c>
      <c r="C13" s="10">
        <v>7.2999999999999995E-2</v>
      </c>
      <c r="D13">
        <v>3.23</v>
      </c>
      <c r="E13">
        <f t="shared" si="0"/>
        <v>0.35284226189521012</v>
      </c>
      <c r="F13">
        <f t="shared" si="1"/>
        <v>0.20959016337338676</v>
      </c>
      <c r="G13">
        <v>0.59400527093217792</v>
      </c>
      <c r="K13">
        <v>4.7941634204844583E-2</v>
      </c>
      <c r="L13">
        <v>1.2658365795155389E-2</v>
      </c>
      <c r="M13" t="e">
        <v>#N/A</v>
      </c>
    </row>
    <row r="14" spans="1:15" x14ac:dyDescent="0.3">
      <c r="B14">
        <f>(L13-L6)/2</f>
        <v>2.4077542895853642E-3</v>
      </c>
      <c r="C14">
        <f>L6/H15</f>
        <v>1.1204081737120944E-3</v>
      </c>
    </row>
    <row r="15" spans="1:15" x14ac:dyDescent="0.3">
      <c r="A15" t="s">
        <v>123</v>
      </c>
      <c r="B15" s="40">
        <f>B14/C14</f>
        <v>2.1489974333265374</v>
      </c>
      <c r="F15" t="s">
        <v>124</v>
      </c>
      <c r="G15" t="s">
        <v>126</v>
      </c>
      <c r="H15">
        <f>12-5</f>
        <v>7</v>
      </c>
    </row>
    <row r="16" spans="1:15" x14ac:dyDescent="0.3">
      <c r="F16" t="s">
        <v>125</v>
      </c>
    </row>
    <row r="17" spans="1:4" x14ac:dyDescent="0.3">
      <c r="A17" t="s">
        <v>127</v>
      </c>
      <c r="B17" s="40">
        <f>_xlfn.F.INV.RT(0.05,2,H15)</f>
        <v>4.7374141277758826</v>
      </c>
    </row>
    <row r="18" spans="1:4" x14ac:dyDescent="0.3">
      <c r="A18" t="s">
        <v>128</v>
      </c>
      <c r="B18" s="40">
        <f>_xlfn.F.DIST.RT(B15,2,H15)</f>
        <v>0.18721400509214622</v>
      </c>
      <c r="C18" t="s">
        <v>129</v>
      </c>
      <c r="D18" t="s">
        <v>130</v>
      </c>
    </row>
    <row r="20" spans="1:4" x14ac:dyDescent="0.3">
      <c r="A20" t="s">
        <v>168</v>
      </c>
      <c r="B20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37"/>
  <sheetViews>
    <sheetView workbookViewId="0">
      <selection activeCell="E15" sqref="E15"/>
    </sheetView>
  </sheetViews>
  <sheetFormatPr defaultRowHeight="14.4" x14ac:dyDescent="0.3"/>
  <sheetData>
    <row r="1" spans="1:29" ht="15.6" x14ac:dyDescent="0.35">
      <c r="A1" s="18" t="s">
        <v>272</v>
      </c>
      <c r="B1" s="18" t="s">
        <v>266</v>
      </c>
      <c r="C1" s="18" t="s">
        <v>267</v>
      </c>
      <c r="D1" s="78" t="s">
        <v>270</v>
      </c>
      <c r="E1" s="35" t="s">
        <v>131</v>
      </c>
      <c r="F1" s="35" t="s">
        <v>132</v>
      </c>
      <c r="G1" s="35" t="s">
        <v>133</v>
      </c>
      <c r="H1" s="35" t="s">
        <v>134</v>
      </c>
      <c r="K1" t="s">
        <v>72</v>
      </c>
      <c r="U1" t="s">
        <v>72</v>
      </c>
    </row>
    <row r="2" spans="1:29" ht="15" thickBot="1" x14ac:dyDescent="0.35">
      <c r="A2" s="18">
        <v>2012</v>
      </c>
      <c r="B2" s="66">
        <v>0.47</v>
      </c>
      <c r="C2" s="60">
        <v>2.7999999999999997E-2</v>
      </c>
      <c r="D2" s="18">
        <v>3.13</v>
      </c>
      <c r="E2" s="18">
        <f>C2^2</f>
        <v>7.8399999999999987E-4</v>
      </c>
      <c r="F2" s="18">
        <f>D2^2</f>
        <v>9.7968999999999991</v>
      </c>
      <c r="G2" s="18">
        <f>C2*D2</f>
        <v>8.7639999999999982E-2</v>
      </c>
      <c r="H2" s="18">
        <f>M26^2</f>
        <v>1.2950060371775E-3</v>
      </c>
    </row>
    <row r="3" spans="1:29" x14ac:dyDescent="0.3">
      <c r="A3" s="18">
        <v>2013</v>
      </c>
      <c r="B3" s="66">
        <v>0.48</v>
      </c>
      <c r="C3" s="60">
        <v>2.6000000000000002E-2</v>
      </c>
      <c r="D3" s="18">
        <v>3.03</v>
      </c>
      <c r="E3" s="18">
        <f t="shared" ref="E3:E13" si="0">C3^2</f>
        <v>6.7600000000000017E-4</v>
      </c>
      <c r="F3" s="18">
        <f t="shared" ref="F3:F13" si="1">D3^2</f>
        <v>9.1808999999999994</v>
      </c>
      <c r="G3" s="18">
        <f t="shared" ref="G3:G13" si="2">C3*D3</f>
        <v>7.8780000000000003E-2</v>
      </c>
      <c r="H3" s="18">
        <f t="shared" ref="H3:H13" si="3">M27^2</f>
        <v>1.6910678887536364E-7</v>
      </c>
      <c r="K3" s="17" t="s">
        <v>73</v>
      </c>
      <c r="L3" s="17"/>
      <c r="U3" s="17" t="s">
        <v>73</v>
      </c>
      <c r="V3" s="17"/>
    </row>
    <row r="4" spans="1:29" x14ac:dyDescent="0.3">
      <c r="A4" s="18">
        <v>2014</v>
      </c>
      <c r="B4" s="66">
        <v>0.47</v>
      </c>
      <c r="C4" s="60">
        <v>1.4999999999999999E-2</v>
      </c>
      <c r="D4" s="18">
        <v>2.92</v>
      </c>
      <c r="E4" s="18">
        <f t="shared" si="0"/>
        <v>2.2499999999999999E-4</v>
      </c>
      <c r="F4" s="18">
        <f t="shared" si="1"/>
        <v>8.5263999999999989</v>
      </c>
      <c r="G4" s="18">
        <f t="shared" si="2"/>
        <v>4.3799999999999999E-2</v>
      </c>
      <c r="H4" s="18">
        <f t="shared" si="3"/>
        <v>1.0278006721168285E-3</v>
      </c>
      <c r="K4" t="s">
        <v>74</v>
      </c>
      <c r="L4">
        <v>0.88944706193653522</v>
      </c>
      <c r="U4" t="s">
        <v>74</v>
      </c>
      <c r="V4">
        <v>0.84418030368736185</v>
      </c>
    </row>
    <row r="5" spans="1:29" x14ac:dyDescent="0.3">
      <c r="A5" s="18">
        <v>2015</v>
      </c>
      <c r="B5" s="66">
        <v>0.46</v>
      </c>
      <c r="C5" s="60">
        <v>0</v>
      </c>
      <c r="D5" s="18">
        <v>2.86</v>
      </c>
      <c r="E5" s="18">
        <f t="shared" si="0"/>
        <v>0</v>
      </c>
      <c r="F5" s="18">
        <f t="shared" si="1"/>
        <v>8.1795999999999989</v>
      </c>
      <c r="G5" s="18">
        <f t="shared" si="2"/>
        <v>0</v>
      </c>
      <c r="H5" s="18">
        <f t="shared" si="3"/>
        <v>3.3262943419047385E-3</v>
      </c>
      <c r="K5" t="s">
        <v>75</v>
      </c>
      <c r="L5">
        <v>0.79111607598753475</v>
      </c>
      <c r="U5" t="s">
        <v>75</v>
      </c>
      <c r="V5">
        <v>0.71264038513368655</v>
      </c>
    </row>
    <row r="6" spans="1:29" x14ac:dyDescent="0.3">
      <c r="A6" s="18">
        <v>2016</v>
      </c>
      <c r="B6" s="66">
        <v>0.4</v>
      </c>
      <c r="C6" s="60">
        <v>6.9999999999999993E-3</v>
      </c>
      <c r="D6" s="18">
        <v>2.87</v>
      </c>
      <c r="E6" s="18">
        <f t="shared" si="0"/>
        <v>4.8999999999999992E-5</v>
      </c>
      <c r="F6" s="18">
        <f t="shared" si="1"/>
        <v>8.2369000000000003</v>
      </c>
      <c r="G6" s="18">
        <f t="shared" si="2"/>
        <v>2.009E-2</v>
      </c>
      <c r="H6" s="18">
        <f t="shared" si="3"/>
        <v>2.1639961298259371E-4</v>
      </c>
      <c r="K6" t="s">
        <v>76</v>
      </c>
      <c r="L6">
        <v>0.74469742620698698</v>
      </c>
      <c r="U6" t="s">
        <v>76</v>
      </c>
      <c r="V6">
        <v>0.47317403941175867</v>
      </c>
    </row>
    <row r="7" spans="1:29" x14ac:dyDescent="0.3">
      <c r="A7" s="18">
        <v>2017</v>
      </c>
      <c r="B7" s="66">
        <v>0.44</v>
      </c>
      <c r="C7" s="60">
        <v>2.7000000000000003E-2</v>
      </c>
      <c r="D7" s="18">
        <v>2.9</v>
      </c>
      <c r="E7" s="18">
        <f t="shared" si="0"/>
        <v>7.2900000000000016E-4</v>
      </c>
      <c r="F7" s="18">
        <f t="shared" si="1"/>
        <v>8.41</v>
      </c>
      <c r="G7" s="18">
        <f t="shared" si="2"/>
        <v>7.8300000000000008E-2</v>
      </c>
      <c r="H7" s="18">
        <f t="shared" si="3"/>
        <v>1.0880895323800155E-4</v>
      </c>
      <c r="K7" t="s">
        <v>71</v>
      </c>
      <c r="L7">
        <v>3.7503134380350113E-2</v>
      </c>
      <c r="U7" t="s">
        <v>71</v>
      </c>
      <c r="V7">
        <v>7.6775995114766998E-4</v>
      </c>
    </row>
    <row r="8" spans="1:29" ht="15" thickBot="1" x14ac:dyDescent="0.35">
      <c r="A8" s="18">
        <v>2018</v>
      </c>
      <c r="B8" s="66">
        <v>0.45</v>
      </c>
      <c r="C8" s="60">
        <v>2.5000000000000001E-2</v>
      </c>
      <c r="D8" s="18">
        <v>2.89</v>
      </c>
      <c r="E8" s="18">
        <f t="shared" si="0"/>
        <v>6.2500000000000012E-4</v>
      </c>
      <c r="F8" s="18">
        <f t="shared" si="1"/>
        <v>8.3521000000000001</v>
      </c>
      <c r="G8" s="18">
        <f t="shared" si="2"/>
        <v>7.2250000000000009E-2</v>
      </c>
      <c r="H8" s="18">
        <f t="shared" si="3"/>
        <v>2.2925903283760024E-5</v>
      </c>
      <c r="K8" s="15" t="s">
        <v>77</v>
      </c>
      <c r="L8" s="15">
        <v>12</v>
      </c>
      <c r="U8" s="15" t="s">
        <v>77</v>
      </c>
      <c r="V8" s="15">
        <v>12</v>
      </c>
    </row>
    <row r="9" spans="1:29" x14ac:dyDescent="0.3">
      <c r="A9" s="18">
        <v>2019</v>
      </c>
      <c r="B9" s="66">
        <v>0.4</v>
      </c>
      <c r="C9" s="60">
        <v>1.8000000000000002E-2</v>
      </c>
      <c r="D9" s="18">
        <v>2.87</v>
      </c>
      <c r="E9" s="18">
        <f t="shared" si="0"/>
        <v>3.2400000000000007E-4</v>
      </c>
      <c r="F9" s="18">
        <f t="shared" si="1"/>
        <v>8.2369000000000003</v>
      </c>
      <c r="G9" s="18">
        <f t="shared" si="2"/>
        <v>5.1660000000000005E-2</v>
      </c>
      <c r="H9" s="18">
        <f t="shared" si="3"/>
        <v>9.2867734338228955E-4</v>
      </c>
    </row>
    <row r="10" spans="1:29" ht="15" thickBot="1" x14ac:dyDescent="0.35">
      <c r="A10" s="18">
        <v>2020</v>
      </c>
      <c r="B10" s="66">
        <v>0.41</v>
      </c>
      <c r="C10" s="60">
        <v>9.0000000000000011E-3</v>
      </c>
      <c r="D10" s="18">
        <v>3.05</v>
      </c>
      <c r="E10" s="18">
        <f t="shared" si="0"/>
        <v>8.1000000000000017E-5</v>
      </c>
      <c r="F10" s="18">
        <f t="shared" si="1"/>
        <v>9.3024999999999984</v>
      </c>
      <c r="G10" s="18">
        <f t="shared" si="2"/>
        <v>2.7450000000000002E-2</v>
      </c>
      <c r="H10" s="18">
        <f t="shared" si="3"/>
        <v>2.493302609811991E-3</v>
      </c>
      <c r="K10" t="s">
        <v>78</v>
      </c>
      <c r="U10" t="s">
        <v>78</v>
      </c>
    </row>
    <row r="11" spans="1:29" x14ac:dyDescent="0.3">
      <c r="A11" s="18">
        <v>2021</v>
      </c>
      <c r="B11" s="66">
        <v>0.59</v>
      </c>
      <c r="C11" s="60">
        <v>2.6000000000000002E-2</v>
      </c>
      <c r="D11" s="18">
        <v>3.31</v>
      </c>
      <c r="E11" s="18">
        <f t="shared" si="0"/>
        <v>6.7600000000000017E-4</v>
      </c>
      <c r="F11" s="18">
        <f t="shared" si="1"/>
        <v>10.956100000000001</v>
      </c>
      <c r="G11" s="18">
        <f t="shared" si="2"/>
        <v>8.6060000000000011E-2</v>
      </c>
      <c r="H11" s="18">
        <f t="shared" si="3"/>
        <v>1.9823510694089021E-3</v>
      </c>
      <c r="K11" s="16"/>
      <c r="L11" s="16" t="s">
        <v>83</v>
      </c>
      <c r="M11" s="16" t="s">
        <v>84</v>
      </c>
      <c r="N11" s="16" t="s">
        <v>85</v>
      </c>
      <c r="O11" s="16" t="s">
        <v>86</v>
      </c>
      <c r="P11" s="16" t="s">
        <v>87</v>
      </c>
      <c r="U11" s="16"/>
      <c r="V11" s="16" t="s">
        <v>83</v>
      </c>
      <c r="W11" s="16" t="s">
        <v>84</v>
      </c>
      <c r="X11" s="16" t="s">
        <v>85</v>
      </c>
      <c r="Y11" s="16" t="s">
        <v>86</v>
      </c>
      <c r="Z11" s="16" t="s">
        <v>87</v>
      </c>
    </row>
    <row r="12" spans="1:29" x14ac:dyDescent="0.3">
      <c r="A12" s="18">
        <v>2022</v>
      </c>
      <c r="B12" s="66">
        <v>0.62</v>
      </c>
      <c r="C12" s="60">
        <v>9.0999999999999998E-2</v>
      </c>
      <c r="D12" s="18">
        <v>3.12</v>
      </c>
      <c r="E12" s="18">
        <f t="shared" si="0"/>
        <v>8.2810000000000002E-3</v>
      </c>
      <c r="F12" s="18">
        <f t="shared" si="1"/>
        <v>9.7344000000000008</v>
      </c>
      <c r="G12" s="18">
        <f t="shared" si="2"/>
        <v>0.28392000000000001</v>
      </c>
      <c r="H12" s="18">
        <f t="shared" si="3"/>
        <v>6.8037711253265054E-4</v>
      </c>
      <c r="K12" t="s">
        <v>79</v>
      </c>
      <c r="L12">
        <v>2</v>
      </c>
      <c r="M12">
        <v>4.7941634204844583E-2</v>
      </c>
      <c r="N12">
        <v>2.3970817102422291E-2</v>
      </c>
      <c r="O12">
        <v>17.043065227611578</v>
      </c>
      <c r="P12">
        <v>8.7010683099235028E-4</v>
      </c>
      <c r="U12" t="s">
        <v>79</v>
      </c>
      <c r="V12">
        <v>5</v>
      </c>
      <c r="W12">
        <v>8.7709544548606826E-6</v>
      </c>
      <c r="X12">
        <v>1.7541908909721366E-6</v>
      </c>
      <c r="Y12">
        <v>2.9759521446960053</v>
      </c>
      <c r="Z12">
        <v>0.10840035196839573</v>
      </c>
    </row>
    <row r="13" spans="1:29" x14ac:dyDescent="0.3">
      <c r="A13" s="18">
        <v>2023</v>
      </c>
      <c r="B13" s="66">
        <v>0.56999999999999995</v>
      </c>
      <c r="C13" s="60">
        <v>7.2999999999999995E-2</v>
      </c>
      <c r="D13" s="18">
        <v>3.23</v>
      </c>
      <c r="E13" s="18">
        <f t="shared" si="0"/>
        <v>5.3289999999999995E-3</v>
      </c>
      <c r="F13" s="18">
        <f t="shared" si="1"/>
        <v>10.4329</v>
      </c>
      <c r="G13" s="18">
        <f t="shared" si="2"/>
        <v>0.23578999999999997</v>
      </c>
      <c r="H13" s="18">
        <f t="shared" si="3"/>
        <v>5.7625303252726852E-4</v>
      </c>
      <c r="K13" t="s">
        <v>80</v>
      </c>
      <c r="L13">
        <v>9</v>
      </c>
      <c r="M13">
        <v>1.2658365795155389E-2</v>
      </c>
      <c r="N13">
        <v>1.4064850883505988E-3</v>
      </c>
      <c r="U13" t="s">
        <v>80</v>
      </c>
      <c r="V13">
        <v>6</v>
      </c>
      <c r="W13">
        <v>3.5367320555176357E-6</v>
      </c>
      <c r="X13">
        <v>5.8945534258627261E-7</v>
      </c>
    </row>
    <row r="14" spans="1:29" ht="15" thickBot="1" x14ac:dyDescent="0.35">
      <c r="D14" s="43" t="s">
        <v>138</v>
      </c>
      <c r="E14" s="40">
        <f>X12/X13</f>
        <v>2.9759521446960053</v>
      </c>
      <c r="G14" t="s">
        <v>139</v>
      </c>
      <c r="H14">
        <v>12</v>
      </c>
      <c r="K14" s="15" t="s">
        <v>81</v>
      </c>
      <c r="L14" s="15">
        <v>11</v>
      </c>
      <c r="M14" s="15">
        <v>6.0599999999999973E-2</v>
      </c>
      <c r="N14" s="15"/>
      <c r="O14" s="15"/>
      <c r="P14" s="15"/>
      <c r="U14" s="15" t="s">
        <v>81</v>
      </c>
      <c r="V14" s="15">
        <v>11</v>
      </c>
      <c r="W14" s="15">
        <v>1.2307686510378319E-5</v>
      </c>
      <c r="X14" s="15"/>
      <c r="Y14" s="15"/>
      <c r="Z14" s="15"/>
    </row>
    <row r="15" spans="1:29" ht="15" thickBot="1" x14ac:dyDescent="0.35">
      <c r="D15" s="43" t="s">
        <v>128</v>
      </c>
      <c r="E15" s="40">
        <f>_xlfn.F.DIST.RT(E14,H15,H14-H15-1)</f>
        <v>0.10840035196839573</v>
      </c>
      <c r="G15" t="s">
        <v>140</v>
      </c>
      <c r="H15">
        <f>V12</f>
        <v>5</v>
      </c>
    </row>
    <row r="16" spans="1:29" x14ac:dyDescent="0.3">
      <c r="D16" s="43" t="s">
        <v>141</v>
      </c>
      <c r="K16" s="16"/>
      <c r="L16" s="16" t="s">
        <v>88</v>
      </c>
      <c r="M16" s="16" t="s">
        <v>71</v>
      </c>
      <c r="N16" s="16" t="s">
        <v>89</v>
      </c>
      <c r="O16" s="16" t="s">
        <v>90</v>
      </c>
      <c r="P16" s="16" t="s">
        <v>91</v>
      </c>
      <c r="Q16" s="16" t="s">
        <v>92</v>
      </c>
      <c r="R16" s="16" t="s">
        <v>93</v>
      </c>
      <c r="S16" s="16" t="s">
        <v>94</v>
      </c>
      <c r="U16" s="16"/>
      <c r="V16" s="16" t="s">
        <v>88</v>
      </c>
      <c r="W16" s="16" t="s">
        <v>71</v>
      </c>
      <c r="X16" s="16" t="s">
        <v>89</v>
      </c>
      <c r="Y16" s="16" t="s">
        <v>90</v>
      </c>
      <c r="Z16" s="16" t="s">
        <v>91</v>
      </c>
      <c r="AA16" s="16" t="s">
        <v>92</v>
      </c>
      <c r="AB16" s="16" t="s">
        <v>93</v>
      </c>
      <c r="AC16" s="16" t="s">
        <v>94</v>
      </c>
    </row>
    <row r="17" spans="4:29" x14ac:dyDescent="0.3">
      <c r="D17" s="43" t="s">
        <v>168</v>
      </c>
      <c r="E17" t="s">
        <v>170</v>
      </c>
      <c r="K17" t="s">
        <v>82</v>
      </c>
      <c r="L17">
        <v>-0.27066905892565596</v>
      </c>
      <c r="M17">
        <v>0.25893844430232082</v>
      </c>
      <c r="N17">
        <v>-1.0453027153034069</v>
      </c>
      <c r="O17">
        <v>0.32314458874502344</v>
      </c>
      <c r="P17">
        <v>-0.85642851542797516</v>
      </c>
      <c r="Q17">
        <v>0.31509039757666324</v>
      </c>
      <c r="R17">
        <v>-0.85642851542797516</v>
      </c>
      <c r="S17">
        <v>0.31509039757666324</v>
      </c>
      <c r="U17" t="s">
        <v>82</v>
      </c>
      <c r="V17">
        <v>1.842435358229752E-3</v>
      </c>
      <c r="W17">
        <v>0.13019548069270481</v>
      </c>
      <c r="X17">
        <v>1.4151300401727296E-2</v>
      </c>
      <c r="Y17">
        <v>0.98916808891546526</v>
      </c>
      <c r="Z17">
        <v>-0.31673442931426576</v>
      </c>
      <c r="AA17">
        <v>0.32041930003072527</v>
      </c>
      <c r="AB17">
        <v>-0.31673442931426576</v>
      </c>
      <c r="AC17">
        <v>0.32041930003072527</v>
      </c>
    </row>
    <row r="18" spans="4:29" x14ac:dyDescent="0.3">
      <c r="K18" t="s">
        <v>119</v>
      </c>
      <c r="L18">
        <v>1.4330618685595238</v>
      </c>
      <c r="M18">
        <v>0.5115741679826683</v>
      </c>
      <c r="N18">
        <v>2.8012787944524882</v>
      </c>
      <c r="O18">
        <v>2.066940925614856E-2</v>
      </c>
      <c r="P18">
        <v>0.27580070015499825</v>
      </c>
      <c r="Q18">
        <v>2.5903230369640493</v>
      </c>
      <c r="R18">
        <v>0.27580070015499825</v>
      </c>
      <c r="S18">
        <v>2.5903230369640493</v>
      </c>
      <c r="U18" t="s">
        <v>119</v>
      </c>
      <c r="V18">
        <v>-0.14650151708660744</v>
      </c>
      <c r="W18">
        <v>0.38811636207880407</v>
      </c>
      <c r="X18">
        <v>-0.37746802608868479</v>
      </c>
      <c r="Y18">
        <v>0.71881735787449208</v>
      </c>
      <c r="Z18">
        <v>-1.0961880430805053</v>
      </c>
      <c r="AA18">
        <v>0.80318500890729039</v>
      </c>
      <c r="AB18">
        <v>-1.0961880430805053</v>
      </c>
      <c r="AC18">
        <v>0.80318500890729039</v>
      </c>
    </row>
    <row r="19" spans="4:29" ht="15" thickBot="1" x14ac:dyDescent="0.35">
      <c r="K19" s="15" t="s">
        <v>99</v>
      </c>
      <c r="L19" s="15">
        <v>0.23531294534148253</v>
      </c>
      <c r="M19" s="15">
        <v>8.8456854753680286E-2</v>
      </c>
      <c r="N19" s="15">
        <v>2.660200229781426</v>
      </c>
      <c r="O19" s="15">
        <v>2.6037250311283636E-2</v>
      </c>
      <c r="P19" s="15">
        <v>3.5209637761844187E-2</v>
      </c>
      <c r="Q19" s="15">
        <v>0.43541625292112085</v>
      </c>
      <c r="R19" s="15">
        <v>3.5209637761844187E-2</v>
      </c>
      <c r="S19" s="15">
        <v>0.43541625292112085</v>
      </c>
      <c r="U19" t="s">
        <v>99</v>
      </c>
      <c r="V19">
        <v>-3.9796850589572698E-3</v>
      </c>
      <c r="W19">
        <v>8.6161990280788039E-2</v>
      </c>
      <c r="X19">
        <v>-4.6188406813585867E-2</v>
      </c>
      <c r="Y19">
        <v>0.96465902527209813</v>
      </c>
      <c r="Z19">
        <v>-0.21481048019525523</v>
      </c>
      <c r="AA19">
        <v>0.20685111007734069</v>
      </c>
      <c r="AB19">
        <v>-0.21481048019525523</v>
      </c>
      <c r="AC19">
        <v>0.20685111007734069</v>
      </c>
    </row>
    <row r="20" spans="4:29" x14ac:dyDescent="0.3">
      <c r="U20" t="s">
        <v>135</v>
      </c>
      <c r="V20">
        <v>1.113207186406977</v>
      </c>
      <c r="W20">
        <v>0.46712514998475613</v>
      </c>
      <c r="X20">
        <v>2.383102657699558</v>
      </c>
      <c r="Y20">
        <v>5.4536814997712416E-2</v>
      </c>
      <c r="Z20">
        <v>-2.9806879058594138E-2</v>
      </c>
      <c r="AA20">
        <v>2.2562212518725482</v>
      </c>
      <c r="AB20">
        <v>-2.9806879058594138E-2</v>
      </c>
      <c r="AC20">
        <v>2.2562212518725482</v>
      </c>
    </row>
    <row r="21" spans="4:29" x14ac:dyDescent="0.3">
      <c r="U21" t="s">
        <v>136</v>
      </c>
      <c r="V21">
        <v>1.4746666147294929E-3</v>
      </c>
      <c r="W21">
        <v>1.4243969966313771E-2</v>
      </c>
      <c r="X21">
        <v>0.10352918590933573</v>
      </c>
      <c r="Y21">
        <v>0.92091673973753818</v>
      </c>
      <c r="Z21">
        <v>-3.3379072303196686E-2</v>
      </c>
      <c r="AA21">
        <v>3.6328405532655678E-2</v>
      </c>
      <c r="AB21">
        <v>-3.3379072303196686E-2</v>
      </c>
      <c r="AC21">
        <v>3.6328405532655678E-2</v>
      </c>
    </row>
    <row r="22" spans="4:29" ht="15" thickBot="1" x14ac:dyDescent="0.35">
      <c r="U22" s="15" t="s">
        <v>137</v>
      </c>
      <c r="V22" s="15">
        <v>3.7881227782170152E-3</v>
      </c>
      <c r="W22" s="15">
        <v>0.13229834132188387</v>
      </c>
      <c r="X22" s="15">
        <v>2.8633184213553028E-2</v>
      </c>
      <c r="Y22" s="15">
        <v>0.97808577746549474</v>
      </c>
      <c r="Z22" s="15">
        <v>-0.31993425648912288</v>
      </c>
      <c r="AA22" s="15">
        <v>0.32751050204555687</v>
      </c>
      <c r="AB22" s="15">
        <v>-0.31993425648912288</v>
      </c>
      <c r="AC22" s="15">
        <v>0.32751050204555687</v>
      </c>
    </row>
    <row r="23" spans="4:29" x14ac:dyDescent="0.3">
      <c r="K23" t="s">
        <v>100</v>
      </c>
    </row>
    <row r="24" spans="4:29" ht="15" thickBot="1" x14ac:dyDescent="0.35"/>
    <row r="25" spans="4:29" x14ac:dyDescent="0.3">
      <c r="K25" s="16" t="s">
        <v>101</v>
      </c>
      <c r="L25" s="16" t="s">
        <v>102</v>
      </c>
      <c r="M25" s="16" t="s">
        <v>103</v>
      </c>
    </row>
    <row r="26" spans="4:29" x14ac:dyDescent="0.3">
      <c r="K26">
        <v>1</v>
      </c>
      <c r="L26">
        <v>0.50598619231285102</v>
      </c>
      <c r="M26">
        <v>-3.5986192312851051E-2</v>
      </c>
    </row>
    <row r="27" spans="4:29" x14ac:dyDescent="0.3">
      <c r="K27">
        <v>2</v>
      </c>
      <c r="L27">
        <v>0.47958877404158373</v>
      </c>
      <c r="M27">
        <v>4.1122595841625031E-4</v>
      </c>
    </row>
    <row r="28" spans="4:29" x14ac:dyDescent="0.3">
      <c r="K28">
        <v>3</v>
      </c>
      <c r="L28">
        <v>0.43794066949986588</v>
      </c>
      <c r="M28">
        <v>3.2059330500134098E-2</v>
      </c>
    </row>
    <row r="29" spans="4:29" x14ac:dyDescent="0.3">
      <c r="K29">
        <v>4</v>
      </c>
      <c r="L29">
        <v>0.40232596475098403</v>
      </c>
      <c r="M29">
        <v>5.7674035249015987E-2</v>
      </c>
    </row>
    <row r="30" spans="4:29" x14ac:dyDescent="0.3">
      <c r="K30">
        <v>5</v>
      </c>
      <c r="L30">
        <v>0.41471052728431562</v>
      </c>
      <c r="M30">
        <v>-1.47105272843156E-2</v>
      </c>
    </row>
    <row r="31" spans="4:29" x14ac:dyDescent="0.3">
      <c r="K31">
        <v>6</v>
      </c>
      <c r="L31">
        <v>0.45043115301575054</v>
      </c>
      <c r="M31">
        <v>-1.0431153015750538E-2</v>
      </c>
    </row>
    <row r="32" spans="4:29" x14ac:dyDescent="0.3">
      <c r="K32">
        <v>7</v>
      </c>
      <c r="L32">
        <v>0.44521189982521669</v>
      </c>
      <c r="M32">
        <v>4.7881001747833163E-3</v>
      </c>
    </row>
    <row r="33" spans="11:13" x14ac:dyDescent="0.3">
      <c r="K33">
        <v>8</v>
      </c>
      <c r="L33">
        <v>0.4304742078384704</v>
      </c>
      <c r="M33">
        <v>-3.047420783847038E-2</v>
      </c>
    </row>
    <row r="34" spans="11:13" x14ac:dyDescent="0.3">
      <c r="K34">
        <v>9</v>
      </c>
      <c r="L34">
        <v>0.45993298118290143</v>
      </c>
      <c r="M34">
        <v>-4.9932981182901459E-2</v>
      </c>
    </row>
    <row r="35" spans="11:13" x14ac:dyDescent="0.3">
      <c r="K35">
        <v>10</v>
      </c>
      <c r="L35">
        <v>0.54547639873719889</v>
      </c>
      <c r="M35">
        <v>4.4523601262801082E-2</v>
      </c>
    </row>
    <row r="36" spans="11:13" x14ac:dyDescent="0.3">
      <c r="K36">
        <v>11</v>
      </c>
      <c r="L36">
        <v>0.59391596057868623</v>
      </c>
      <c r="M36">
        <v>2.6084039421313765E-2</v>
      </c>
    </row>
    <row r="37" spans="11:13" ht="15" thickBot="1" x14ac:dyDescent="0.35">
      <c r="K37" s="15">
        <v>12</v>
      </c>
      <c r="L37" s="15">
        <v>0.59400527093217792</v>
      </c>
      <c r="M37" s="15">
        <v>-2.4005270932177969E-2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3"/>
  <sheetViews>
    <sheetView workbookViewId="0">
      <selection activeCell="B21" sqref="B21"/>
    </sheetView>
  </sheetViews>
  <sheetFormatPr defaultRowHeight="14.4" x14ac:dyDescent="0.3"/>
  <sheetData>
    <row r="1" spans="1:8" ht="15.6" x14ac:dyDescent="0.35">
      <c r="A1" s="18" t="s">
        <v>272</v>
      </c>
      <c r="B1" s="18" t="s">
        <v>266</v>
      </c>
      <c r="C1" s="18" t="s">
        <v>267</v>
      </c>
      <c r="D1" s="78" t="s">
        <v>270</v>
      </c>
      <c r="E1" s="36" t="s">
        <v>142</v>
      </c>
      <c r="F1" s="79" t="s">
        <v>143</v>
      </c>
      <c r="G1" s="36" t="s">
        <v>144</v>
      </c>
      <c r="H1" s="38" t="s">
        <v>145</v>
      </c>
    </row>
    <row r="2" spans="1:8" x14ac:dyDescent="0.3">
      <c r="A2" s="18">
        <v>2012</v>
      </c>
      <c r="B2" s="66">
        <v>0.47</v>
      </c>
      <c r="C2" s="60">
        <v>2.7999999999999997E-2</v>
      </c>
      <c r="D2" s="18">
        <v>3.13</v>
      </c>
      <c r="E2" s="18" cm="1">
        <f t="array" ref="E2:E13">TREND(B2:B13,C2:D13,,1)</f>
        <v>0.50598619231285102</v>
      </c>
      <c r="F2" s="37">
        <f>B2-E2</f>
        <v>-3.5986192312851051E-2</v>
      </c>
      <c r="G2">
        <v>0</v>
      </c>
      <c r="H2">
        <f>F2^2</f>
        <v>1.2950060371775E-3</v>
      </c>
    </row>
    <row r="3" spans="1:8" x14ac:dyDescent="0.3">
      <c r="A3" s="18">
        <v>2013</v>
      </c>
      <c r="B3" s="66">
        <v>0.48</v>
      </c>
      <c r="C3" s="60">
        <v>2.6000000000000002E-2</v>
      </c>
      <c r="D3" s="18">
        <v>3.03</v>
      </c>
      <c r="E3" s="18">
        <v>0.47958877404158373</v>
      </c>
      <c r="F3" s="37">
        <f t="shared" ref="F3:F13" si="0">B3-E3</f>
        <v>4.1122595841625031E-4</v>
      </c>
      <c r="G3">
        <f>(F3-F2)^2</f>
        <v>1.3247720568135828E-3</v>
      </c>
      <c r="H3">
        <f t="shared" ref="H3:H13" si="1">F3^2</f>
        <v>1.6910678887536364E-7</v>
      </c>
    </row>
    <row r="4" spans="1:8" x14ac:dyDescent="0.3">
      <c r="A4" s="18">
        <v>2014</v>
      </c>
      <c r="B4" s="66">
        <v>0.47</v>
      </c>
      <c r="C4" s="60">
        <v>1.4999999999999999E-2</v>
      </c>
      <c r="D4" s="18">
        <v>2.92</v>
      </c>
      <c r="E4" s="18">
        <v>0.43794066949986588</v>
      </c>
      <c r="F4" s="37">
        <f t="shared" si="0"/>
        <v>3.2059330500134098E-2</v>
      </c>
      <c r="G4">
        <f t="shared" ref="G4:G13" si="2">(F4-F3)^2</f>
        <v>1.0016025210835017E-3</v>
      </c>
      <c r="H4">
        <f t="shared" si="1"/>
        <v>1.0278006721168285E-3</v>
      </c>
    </row>
    <row r="5" spans="1:8" x14ac:dyDescent="0.3">
      <c r="A5" s="18">
        <v>2015</v>
      </c>
      <c r="B5" s="66">
        <v>0.46</v>
      </c>
      <c r="C5" s="60">
        <v>0</v>
      </c>
      <c r="D5" s="18">
        <v>2.86</v>
      </c>
      <c r="E5" s="18">
        <v>0.40232596475098403</v>
      </c>
      <c r="F5" s="37">
        <f t="shared" si="0"/>
        <v>5.7674035249015987E-2</v>
      </c>
      <c r="G5">
        <f t="shared" si="2"/>
        <v>6.5611309937239242E-4</v>
      </c>
      <c r="H5">
        <f t="shared" si="1"/>
        <v>3.3262943419047385E-3</v>
      </c>
    </row>
    <row r="6" spans="1:8" x14ac:dyDescent="0.3">
      <c r="A6" s="18">
        <v>2016</v>
      </c>
      <c r="B6" s="66">
        <v>0.4</v>
      </c>
      <c r="C6" s="60">
        <v>6.9999999999999993E-3</v>
      </c>
      <c r="D6" s="18">
        <v>2.87</v>
      </c>
      <c r="E6" s="18">
        <v>0.41471052728431568</v>
      </c>
      <c r="F6" s="37">
        <f t="shared" si="0"/>
        <v>-1.4710527284315655E-2</v>
      </c>
      <c r="G6">
        <f t="shared" si="2"/>
        <v>5.239524893141799E-3</v>
      </c>
      <c r="H6">
        <f t="shared" si="1"/>
        <v>2.1639961298259533E-4</v>
      </c>
    </row>
    <row r="7" spans="1:8" x14ac:dyDescent="0.3">
      <c r="A7" s="18">
        <v>2017</v>
      </c>
      <c r="B7" s="66">
        <v>0.44</v>
      </c>
      <c r="C7" s="60">
        <v>2.7000000000000003E-2</v>
      </c>
      <c r="D7" s="18">
        <v>2.9</v>
      </c>
      <c r="E7" s="18">
        <v>0.45043115301575054</v>
      </c>
      <c r="F7" s="37">
        <f t="shared" si="0"/>
        <v>-1.0431153015750538E-2</v>
      </c>
      <c r="G7">
        <f t="shared" si="2"/>
        <v>1.8313044130457229E-5</v>
      </c>
      <c r="H7">
        <f t="shared" si="1"/>
        <v>1.0880895323800155E-4</v>
      </c>
    </row>
    <row r="8" spans="1:8" x14ac:dyDescent="0.3">
      <c r="A8" s="18">
        <v>2018</v>
      </c>
      <c r="B8" s="66">
        <v>0.45</v>
      </c>
      <c r="C8" s="60">
        <v>2.5000000000000001E-2</v>
      </c>
      <c r="D8" s="18">
        <v>2.89</v>
      </c>
      <c r="E8" s="18">
        <v>0.44521189982521669</v>
      </c>
      <c r="F8" s="37">
        <f t="shared" si="0"/>
        <v>4.7881001747833163E-3</v>
      </c>
      <c r="G8">
        <f t="shared" si="2"/>
        <v>2.3162566767757491E-4</v>
      </c>
      <c r="H8">
        <f t="shared" si="1"/>
        <v>2.2925903283760024E-5</v>
      </c>
    </row>
    <row r="9" spans="1:8" x14ac:dyDescent="0.3">
      <c r="A9" s="18">
        <v>2019</v>
      </c>
      <c r="B9" s="66">
        <v>0.4</v>
      </c>
      <c r="C9" s="60">
        <v>1.8000000000000002E-2</v>
      </c>
      <c r="D9" s="18">
        <v>2.87</v>
      </c>
      <c r="E9" s="18">
        <v>0.43047420783847035</v>
      </c>
      <c r="F9" s="37">
        <f t="shared" si="0"/>
        <v>-3.0474207838470324E-2</v>
      </c>
      <c r="G9">
        <f t="shared" si="2"/>
        <v>1.2434303664215719E-3</v>
      </c>
      <c r="H9">
        <f t="shared" si="1"/>
        <v>9.2867734338228619E-4</v>
      </c>
    </row>
    <row r="10" spans="1:8" x14ac:dyDescent="0.3">
      <c r="A10" s="18">
        <v>2020</v>
      </c>
      <c r="B10" s="66">
        <v>0.41</v>
      </c>
      <c r="C10" s="60">
        <v>9.0000000000000011E-3</v>
      </c>
      <c r="D10" s="18">
        <v>3.05</v>
      </c>
      <c r="E10" s="18">
        <v>0.45993298118290149</v>
      </c>
      <c r="F10" s="37">
        <f t="shared" si="0"/>
        <v>-4.9932981182901515E-2</v>
      </c>
      <c r="G10">
        <f t="shared" si="2"/>
        <v>3.7864386006994583E-4</v>
      </c>
      <c r="H10">
        <f t="shared" si="1"/>
        <v>2.4933026098119967E-3</v>
      </c>
    </row>
    <row r="11" spans="1:8" x14ac:dyDescent="0.3">
      <c r="A11" s="18">
        <v>2021</v>
      </c>
      <c r="B11" s="66">
        <v>0.59</v>
      </c>
      <c r="C11" s="60">
        <v>2.6000000000000002E-2</v>
      </c>
      <c r="D11" s="18">
        <v>3.31</v>
      </c>
      <c r="E11" s="18">
        <v>0.54547639873719889</v>
      </c>
      <c r="F11" s="37">
        <f t="shared" si="0"/>
        <v>4.4523601262801082E-2</v>
      </c>
      <c r="G11">
        <f t="shared" si="2"/>
        <v>8.9220459673218112E-3</v>
      </c>
      <c r="H11">
        <f t="shared" si="1"/>
        <v>1.9823510694089021E-3</v>
      </c>
    </row>
    <row r="12" spans="1:8" x14ac:dyDescent="0.3">
      <c r="A12" s="18">
        <v>2022</v>
      </c>
      <c r="B12" s="66">
        <v>0.62</v>
      </c>
      <c r="C12" s="60">
        <v>9.0999999999999998E-2</v>
      </c>
      <c r="D12" s="18">
        <v>3.12</v>
      </c>
      <c r="E12" s="18">
        <v>0.59391596057868623</v>
      </c>
      <c r="F12" s="37">
        <f t="shared" si="0"/>
        <v>2.6084039421313765E-2</v>
      </c>
      <c r="G12">
        <f t="shared" si="2"/>
        <v>3.4001744090603517E-4</v>
      </c>
      <c r="H12">
        <f t="shared" si="1"/>
        <v>6.8037711253265054E-4</v>
      </c>
    </row>
    <row r="13" spans="1:8" x14ac:dyDescent="0.3">
      <c r="A13" s="18">
        <v>2023</v>
      </c>
      <c r="B13" s="66">
        <v>0.56999999999999995</v>
      </c>
      <c r="C13" s="60">
        <v>7.2999999999999995E-2</v>
      </c>
      <c r="D13" s="18">
        <v>3.23</v>
      </c>
      <c r="E13" s="18">
        <v>0.59400527093217792</v>
      </c>
      <c r="F13" s="37">
        <f t="shared" si="0"/>
        <v>-2.4005270932177969E-2</v>
      </c>
      <c r="G13">
        <f t="shared" si="2"/>
        <v>2.5089390116884141E-3</v>
      </c>
      <c r="H13">
        <f t="shared" si="1"/>
        <v>5.7625303252726852E-4</v>
      </c>
    </row>
    <row r="14" spans="1:8" x14ac:dyDescent="0.3">
      <c r="F14" s="37"/>
      <c r="G14">
        <f>SUM(G3:G13)</f>
        <v>2.1865027928627087E-2</v>
      </c>
      <c r="H14">
        <f>SUM(H2:H13)</f>
        <v>1.2658365795155405E-2</v>
      </c>
    </row>
    <row r="16" spans="1:8" x14ac:dyDescent="0.3">
      <c r="A16" t="s">
        <v>146</v>
      </c>
      <c r="B16" s="40">
        <f>G14/H14</f>
        <v>1.7273183823614298</v>
      </c>
      <c r="D16" t="s">
        <v>154</v>
      </c>
      <c r="E16" t="s">
        <v>153</v>
      </c>
    </row>
    <row r="17" spans="1:5" x14ac:dyDescent="0.3">
      <c r="A17" s="39" t="s">
        <v>147</v>
      </c>
      <c r="B17" s="38">
        <v>0.05</v>
      </c>
      <c r="D17" t="s">
        <v>155</v>
      </c>
      <c r="E17" t="s">
        <v>156</v>
      </c>
    </row>
    <row r="18" spans="1:5" x14ac:dyDescent="0.3">
      <c r="A18" s="39" t="s">
        <v>148</v>
      </c>
      <c r="B18" s="38">
        <v>12</v>
      </c>
    </row>
    <row r="19" spans="1:5" x14ac:dyDescent="0.3">
      <c r="A19" s="39" t="s">
        <v>149</v>
      </c>
      <c r="B19" s="38">
        <v>3</v>
      </c>
    </row>
    <row r="20" spans="1:5" x14ac:dyDescent="0.3">
      <c r="A20" s="39" t="s">
        <v>150</v>
      </c>
      <c r="B20" s="96">
        <v>0.81200000000000006</v>
      </c>
    </row>
    <row r="21" spans="1:5" x14ac:dyDescent="0.3">
      <c r="A21" s="39" t="s">
        <v>151</v>
      </c>
      <c r="B21" s="96">
        <v>1.579</v>
      </c>
    </row>
    <row r="22" spans="1:5" x14ac:dyDescent="0.3">
      <c r="A22" s="39" t="s">
        <v>152</v>
      </c>
    </row>
    <row r="23" spans="1:5" x14ac:dyDescent="0.3">
      <c r="A23" s="39" t="s">
        <v>157</v>
      </c>
      <c r="B23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9"/>
  <sheetViews>
    <sheetView topLeftCell="A9" workbookViewId="0">
      <selection activeCell="C27" sqref="C27"/>
    </sheetView>
  </sheetViews>
  <sheetFormatPr defaultRowHeight="14.4" x14ac:dyDescent="0.3"/>
  <cols>
    <col min="8" max="8" width="12.6640625" bestFit="1" customWidth="1"/>
    <col min="9" max="9" width="12" bestFit="1" customWidth="1"/>
  </cols>
  <sheetData>
    <row r="1" spans="1:9" x14ac:dyDescent="0.3">
      <c r="A1" s="18" t="s">
        <v>272</v>
      </c>
      <c r="B1" s="18" t="s">
        <v>266</v>
      </c>
      <c r="C1" s="18" t="s">
        <v>267</v>
      </c>
      <c r="D1" s="78" t="s">
        <v>270</v>
      </c>
      <c r="E1" s="18" t="s">
        <v>120</v>
      </c>
      <c r="F1" s="18" t="s">
        <v>165</v>
      </c>
      <c r="G1" s="18" t="s">
        <v>145</v>
      </c>
      <c r="H1" s="18" t="s">
        <v>166</v>
      </c>
      <c r="I1" s="18" t="s">
        <v>167</v>
      </c>
    </row>
    <row r="2" spans="1:9" x14ac:dyDescent="0.3">
      <c r="A2" s="18">
        <v>2012</v>
      </c>
      <c r="B2" s="66">
        <v>0.47</v>
      </c>
      <c r="C2" s="60">
        <v>2.7999999999999997E-2</v>
      </c>
      <c r="D2" s="18">
        <v>3.13</v>
      </c>
      <c r="E2" s="18" cm="1">
        <f t="array" ref="E2:E13">TREND(B2:B13,C2:D13,,1)</f>
        <v>0.50598619231285102</v>
      </c>
      <c r="F2" s="80">
        <f>B2-E2</f>
        <v>-3.5986192312851051E-2</v>
      </c>
      <c r="G2" s="18">
        <f>F2^2</f>
        <v>1.2950060371775E-3</v>
      </c>
      <c r="H2" s="18">
        <f>F2^3</f>
        <v>-4.6602336300172652E-5</v>
      </c>
      <c r="I2" s="18">
        <f>F2^4</f>
        <v>1.6770406363261725E-6</v>
      </c>
    </row>
    <row r="3" spans="1:9" x14ac:dyDescent="0.3">
      <c r="A3" s="18">
        <v>2013</v>
      </c>
      <c r="B3" s="66">
        <v>0.48</v>
      </c>
      <c r="C3" s="60">
        <v>2.6000000000000002E-2</v>
      </c>
      <c r="D3" s="18">
        <v>3.03</v>
      </c>
      <c r="E3" s="18">
        <v>0.47958877404158373</v>
      </c>
      <c r="F3" s="80">
        <f t="shared" ref="F3:F13" si="0">B3-E3</f>
        <v>4.1122595841625031E-4</v>
      </c>
      <c r="G3" s="18">
        <f t="shared" ref="G3:G13" si="1">F3^2</f>
        <v>1.6910678887536364E-7</v>
      </c>
      <c r="H3" s="18">
        <f t="shared" ref="H3:H12" si="2">F3^3</f>
        <v>6.9541101329965909E-11</v>
      </c>
      <c r="I3" s="18">
        <f t="shared" ref="I3:I13" si="3">F3^4</f>
        <v>2.8597106043736812E-14</v>
      </c>
    </row>
    <row r="4" spans="1:9" x14ac:dyDescent="0.3">
      <c r="A4" s="18">
        <v>2014</v>
      </c>
      <c r="B4" s="66">
        <v>0.47</v>
      </c>
      <c r="C4" s="60">
        <v>1.4999999999999999E-2</v>
      </c>
      <c r="D4" s="18">
        <v>2.92</v>
      </c>
      <c r="E4" s="18">
        <v>0.43794066949986588</v>
      </c>
      <c r="F4" s="80">
        <f t="shared" si="0"/>
        <v>3.2059330500134098E-2</v>
      </c>
      <c r="G4" s="18">
        <f t="shared" si="1"/>
        <v>1.0278006721168285E-3</v>
      </c>
      <c r="H4" s="18">
        <f t="shared" si="2"/>
        <v>3.2950601435653363E-5</v>
      </c>
      <c r="I4" s="18">
        <f t="shared" si="3"/>
        <v>1.0563742216038044E-6</v>
      </c>
    </row>
    <row r="5" spans="1:9" x14ac:dyDescent="0.3">
      <c r="A5" s="18">
        <v>2015</v>
      </c>
      <c r="B5" s="66">
        <v>0.46</v>
      </c>
      <c r="C5" s="60">
        <v>0</v>
      </c>
      <c r="D5" s="18">
        <v>2.86</v>
      </c>
      <c r="E5" s="18">
        <v>0.40232596475098403</v>
      </c>
      <c r="F5" s="80">
        <f t="shared" si="0"/>
        <v>5.7674035249015987E-2</v>
      </c>
      <c r="G5" s="18">
        <f t="shared" si="1"/>
        <v>3.3262943419047385E-3</v>
      </c>
      <c r="H5" s="18">
        <f t="shared" si="2"/>
        <v>1.9184081712361634E-4</v>
      </c>
      <c r="I5" s="18">
        <f t="shared" si="3"/>
        <v>1.1064234048987478E-5</v>
      </c>
    </row>
    <row r="6" spans="1:9" x14ac:dyDescent="0.3">
      <c r="A6" s="18">
        <v>2016</v>
      </c>
      <c r="B6" s="66">
        <v>0.4</v>
      </c>
      <c r="C6" s="60">
        <v>6.9999999999999993E-3</v>
      </c>
      <c r="D6" s="18">
        <v>2.87</v>
      </c>
      <c r="E6" s="18">
        <v>0.41471052728431568</v>
      </c>
      <c r="F6" s="80">
        <f t="shared" si="0"/>
        <v>-1.4710527284315655E-2</v>
      </c>
      <c r="G6" s="18">
        <f t="shared" si="1"/>
        <v>2.1639961298259533E-4</v>
      </c>
      <c r="H6" s="18">
        <f t="shared" si="2"/>
        <v>-3.1833524110958169E-6</v>
      </c>
      <c r="I6" s="18">
        <f t="shared" si="3"/>
        <v>4.6828792499017042E-8</v>
      </c>
    </row>
    <row r="7" spans="1:9" x14ac:dyDescent="0.3">
      <c r="A7" s="18">
        <v>2017</v>
      </c>
      <c r="B7" s="66">
        <v>0.44</v>
      </c>
      <c r="C7" s="60">
        <v>2.7000000000000003E-2</v>
      </c>
      <c r="D7" s="18">
        <v>2.9</v>
      </c>
      <c r="E7" s="18">
        <v>0.45043115301575054</v>
      </c>
      <c r="F7" s="80">
        <f t="shared" si="0"/>
        <v>-1.0431153015750538E-2</v>
      </c>
      <c r="G7" s="18">
        <f t="shared" si="1"/>
        <v>1.0880895323800155E-4</v>
      </c>
      <c r="H7" s="18">
        <f t="shared" si="2"/>
        <v>-1.1350028407092392E-6</v>
      </c>
      <c r="I7" s="18">
        <f t="shared" si="3"/>
        <v>1.1839388304749607E-8</v>
      </c>
    </row>
    <row r="8" spans="1:9" x14ac:dyDescent="0.3">
      <c r="A8" s="18">
        <v>2018</v>
      </c>
      <c r="B8" s="66">
        <v>0.45</v>
      </c>
      <c r="C8" s="60">
        <v>2.5000000000000001E-2</v>
      </c>
      <c r="D8" s="18">
        <v>2.89</v>
      </c>
      <c r="E8" s="18">
        <v>0.44521189982521669</v>
      </c>
      <c r="F8" s="80">
        <f t="shared" si="0"/>
        <v>4.7881001747833163E-3</v>
      </c>
      <c r="G8" s="18">
        <f t="shared" si="1"/>
        <v>2.2925903283760024E-5</v>
      </c>
      <c r="H8" s="18">
        <f t="shared" si="2"/>
        <v>1.0977152152003677E-7</v>
      </c>
      <c r="I8" s="18">
        <f t="shared" si="3"/>
        <v>5.255970413763186E-10</v>
      </c>
    </row>
    <row r="9" spans="1:9" x14ac:dyDescent="0.3">
      <c r="A9" s="18">
        <v>2019</v>
      </c>
      <c r="B9" s="66">
        <v>0.4</v>
      </c>
      <c r="C9" s="60">
        <v>1.8000000000000002E-2</v>
      </c>
      <c r="D9" s="18">
        <v>2.87</v>
      </c>
      <c r="E9" s="18">
        <v>0.43047420783847035</v>
      </c>
      <c r="F9" s="80">
        <f t="shared" si="0"/>
        <v>-3.0474207838470324E-2</v>
      </c>
      <c r="G9" s="18">
        <f t="shared" si="1"/>
        <v>9.2867734338228619E-4</v>
      </c>
      <c r="H9" s="18">
        <f t="shared" si="2"/>
        <v>-2.8300706377110264E-5</v>
      </c>
      <c r="I9" s="18">
        <f t="shared" si="3"/>
        <v>8.6244160811158065E-7</v>
      </c>
    </row>
    <row r="10" spans="1:9" x14ac:dyDescent="0.3">
      <c r="A10" s="18">
        <v>2020</v>
      </c>
      <c r="B10" s="66">
        <v>0.41</v>
      </c>
      <c r="C10" s="60">
        <v>9.0000000000000011E-3</v>
      </c>
      <c r="D10" s="18">
        <v>3.05</v>
      </c>
      <c r="E10" s="18">
        <v>0.45993298118290149</v>
      </c>
      <c r="F10" s="80">
        <f t="shared" si="0"/>
        <v>-4.9932981182901515E-2</v>
      </c>
      <c r="G10" s="18">
        <f t="shared" si="1"/>
        <v>2.4933026098119967E-3</v>
      </c>
      <c r="H10" s="18">
        <f t="shared" si="2"/>
        <v>-1.2449803229902168E-4</v>
      </c>
      <c r="I10" s="18">
        <f t="shared" si="3"/>
        <v>6.2165579040953137E-6</v>
      </c>
    </row>
    <row r="11" spans="1:9" x14ac:dyDescent="0.3">
      <c r="A11" s="18">
        <v>2021</v>
      </c>
      <c r="B11" s="66">
        <v>0.59</v>
      </c>
      <c r="C11" s="60">
        <v>2.6000000000000002E-2</v>
      </c>
      <c r="D11" s="18">
        <v>3.31</v>
      </c>
      <c r="E11" s="18">
        <v>0.54547639873719889</v>
      </c>
      <c r="F11" s="80">
        <f t="shared" si="0"/>
        <v>4.4523601262801082E-2</v>
      </c>
      <c r="G11" s="18">
        <f t="shared" si="1"/>
        <v>1.9823510694089021E-3</v>
      </c>
      <c r="H11" s="18">
        <f t="shared" si="2"/>
        <v>8.8261408577249264E-5</v>
      </c>
      <c r="I11" s="18">
        <f t="shared" si="3"/>
        <v>3.9297157623866172E-6</v>
      </c>
    </row>
    <row r="12" spans="1:9" x14ac:dyDescent="0.3">
      <c r="A12" s="18">
        <v>2022</v>
      </c>
      <c r="B12" s="66">
        <v>0.62</v>
      </c>
      <c r="C12" s="60">
        <v>9.0999999999999998E-2</v>
      </c>
      <c r="D12" s="18">
        <v>3.12</v>
      </c>
      <c r="E12" s="18">
        <v>0.59391596057868623</v>
      </c>
      <c r="F12" s="80">
        <f t="shared" si="0"/>
        <v>2.6084039421313765E-2</v>
      </c>
      <c r="G12" s="18">
        <f t="shared" si="1"/>
        <v>6.8037711253265054E-4</v>
      </c>
      <c r="H12" s="18">
        <f t="shared" si="2"/>
        <v>1.7746983424661288E-5</v>
      </c>
      <c r="I12" s="18">
        <f t="shared" si="3"/>
        <v>4.62913015258267E-7</v>
      </c>
    </row>
    <row r="13" spans="1:9" x14ac:dyDescent="0.3">
      <c r="A13" s="18">
        <v>2023</v>
      </c>
      <c r="B13" s="66">
        <v>0.56999999999999995</v>
      </c>
      <c r="C13" s="60">
        <v>7.2999999999999995E-2</v>
      </c>
      <c r="D13" s="18">
        <v>3.23</v>
      </c>
      <c r="E13" s="18">
        <v>0.59400527093217792</v>
      </c>
      <c r="F13" s="80">
        <f t="shared" si="0"/>
        <v>-2.4005270932177969E-2</v>
      </c>
      <c r="G13" s="18">
        <f t="shared" si="1"/>
        <v>5.7625303252726852E-4</v>
      </c>
      <c r="H13" s="18">
        <f>F13^3</f>
        <v>-1.3833110171306244E-5</v>
      </c>
      <c r="I13" s="18">
        <f t="shared" si="3"/>
        <v>3.3206755749687319E-7</v>
      </c>
    </row>
    <row r="14" spans="1:9" x14ac:dyDescent="0.3">
      <c r="F14" s="40">
        <f>SUM(F2:F13)</f>
        <v>-2.55351295663786E-15</v>
      </c>
      <c r="G14">
        <f>SUM(G2:G13)</f>
        <v>1.2658365795155405E-2</v>
      </c>
      <c r="H14">
        <f t="shared" ref="H14:I14" si="4">SUM(H2:H13)</f>
        <v>1.1335711122438572E-4</v>
      </c>
      <c r="I14">
        <f t="shared" si="4"/>
        <v>2.5660538560708357E-5</v>
      </c>
    </row>
    <row r="20" spans="2:7" x14ac:dyDescent="0.3">
      <c r="B20" s="39" t="s">
        <v>139</v>
      </c>
      <c r="C20">
        <v>12</v>
      </c>
    </row>
    <row r="21" spans="2:7" x14ac:dyDescent="0.3">
      <c r="B21" s="39" t="s">
        <v>159</v>
      </c>
      <c r="C21" s="40">
        <f>(G14/C20)^0.5</f>
        <v>3.2478667094924793E-2</v>
      </c>
      <c r="F21" t="s">
        <v>323</v>
      </c>
      <c r="G21" t="s">
        <v>320</v>
      </c>
    </row>
    <row r="22" spans="2:7" x14ac:dyDescent="0.3">
      <c r="B22" s="39" t="s">
        <v>160</v>
      </c>
      <c r="C22" s="40">
        <f>(H14/C20)/C21^3</f>
        <v>0.27572295899198479</v>
      </c>
      <c r="F22" t="s">
        <v>322</v>
      </c>
      <c r="G22" t="s">
        <v>321</v>
      </c>
    </row>
    <row r="23" spans="2:7" x14ac:dyDescent="0.3">
      <c r="B23" s="39" t="s">
        <v>161</v>
      </c>
      <c r="C23" s="40">
        <f>(I14/C20)/C21^4</f>
        <v>1.9217271683972663</v>
      </c>
    </row>
    <row r="24" spans="2:7" x14ac:dyDescent="0.3">
      <c r="B24" s="39" t="s">
        <v>162</v>
      </c>
      <c r="C24" s="40">
        <f>(C20/6)*(C22^2+(C23-3)^2/4)</f>
        <v>0.73338244991688017</v>
      </c>
    </row>
    <row r="25" spans="2:7" x14ac:dyDescent="0.3">
      <c r="B25" s="39"/>
    </row>
    <row r="26" spans="2:7" x14ac:dyDescent="0.3">
      <c r="B26" s="39" t="s">
        <v>163</v>
      </c>
      <c r="C26" s="41">
        <f>_xlfn.CHISQ.INV.RT(0.05,2)</f>
        <v>5.9914645471079817</v>
      </c>
    </row>
    <row r="27" spans="2:7" x14ac:dyDescent="0.3">
      <c r="B27" s="39" t="s">
        <v>164</v>
      </c>
      <c r="C27" s="41">
        <f>_xlfn.CHISQ.DIST.RT(C24,2)</f>
        <v>0.69302360040167066</v>
      </c>
      <c r="D27" t="s">
        <v>129</v>
      </c>
    </row>
    <row r="29" spans="2:7" x14ac:dyDescent="0.3">
      <c r="B29" s="42" t="s">
        <v>168</v>
      </c>
      <c r="C29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4"/>
  <sheetViews>
    <sheetView workbookViewId="0">
      <selection activeCell="P3" sqref="P3"/>
    </sheetView>
  </sheetViews>
  <sheetFormatPr defaultRowHeight="14.4" x14ac:dyDescent="0.3"/>
  <sheetData>
    <row r="1" spans="1:26" x14ac:dyDescent="0.3">
      <c r="A1" s="18" t="s">
        <v>272</v>
      </c>
      <c r="B1" s="18" t="s">
        <v>266</v>
      </c>
      <c r="C1" s="18" t="s">
        <v>267</v>
      </c>
      <c r="D1" s="77" t="s">
        <v>270</v>
      </c>
      <c r="G1" s="76"/>
      <c r="K1" s="18" t="s">
        <v>272</v>
      </c>
      <c r="L1" t="s">
        <v>280</v>
      </c>
      <c r="M1" t="s">
        <v>171</v>
      </c>
      <c r="N1" t="s">
        <v>182</v>
      </c>
      <c r="U1" s="18" t="s">
        <v>272</v>
      </c>
      <c r="V1" t="s">
        <v>267</v>
      </c>
      <c r="W1" t="s">
        <v>171</v>
      </c>
      <c r="X1" t="s">
        <v>182</v>
      </c>
    </row>
    <row r="2" spans="1:26" x14ac:dyDescent="0.3">
      <c r="A2">
        <v>2012</v>
      </c>
      <c r="B2" s="7">
        <v>0.47</v>
      </c>
      <c r="C2" s="10">
        <v>2.7999999999999997E-2</v>
      </c>
      <c r="D2">
        <v>3.13</v>
      </c>
      <c r="G2" t="s">
        <v>325</v>
      </c>
      <c r="K2">
        <v>2012</v>
      </c>
      <c r="L2">
        <v>3.13</v>
      </c>
      <c r="M2">
        <v>1</v>
      </c>
      <c r="N2">
        <f t="shared" ref="N2:N13" si="0">M2^2</f>
        <v>1</v>
      </c>
      <c r="P2" t="s">
        <v>284</v>
      </c>
      <c r="U2">
        <v>2012</v>
      </c>
      <c r="V2" s="81">
        <v>2.7999999999999997E-2</v>
      </c>
      <c r="W2">
        <v>1</v>
      </c>
      <c r="X2" s="56">
        <f>W2^2</f>
        <v>1</v>
      </c>
      <c r="Z2" t="s">
        <v>284</v>
      </c>
    </row>
    <row r="3" spans="1:26" ht="15.6" x14ac:dyDescent="0.3">
      <c r="A3">
        <v>2013</v>
      </c>
      <c r="B3" s="7">
        <v>0.48</v>
      </c>
      <c r="C3" s="10">
        <v>2.6000000000000002E-2</v>
      </c>
      <c r="D3">
        <v>3.03</v>
      </c>
      <c r="G3" s="43" t="s">
        <v>279</v>
      </c>
      <c r="K3">
        <v>2013</v>
      </c>
      <c r="L3">
        <v>3.03</v>
      </c>
      <c r="M3">
        <v>2</v>
      </c>
      <c r="N3">
        <f t="shared" si="0"/>
        <v>4</v>
      </c>
      <c r="P3" s="54" t="s">
        <v>231</v>
      </c>
      <c r="U3">
        <v>2013</v>
      </c>
      <c r="V3" s="81">
        <v>2.6000000000000002E-2</v>
      </c>
      <c r="W3">
        <v>2</v>
      </c>
      <c r="X3" s="56">
        <f t="shared" ref="X3:X13" si="1">W3^2</f>
        <v>4</v>
      </c>
      <c r="Z3" s="54" t="s">
        <v>233</v>
      </c>
    </row>
    <row r="4" spans="1:26" ht="15.6" x14ac:dyDescent="0.3">
      <c r="A4">
        <v>2014</v>
      </c>
      <c r="B4" s="7">
        <v>0.47</v>
      </c>
      <c r="C4" s="10">
        <v>1.4999999999999999E-2</v>
      </c>
      <c r="D4">
        <v>2.92</v>
      </c>
      <c r="K4">
        <v>2014</v>
      </c>
      <c r="L4">
        <v>2.92</v>
      </c>
      <c r="M4">
        <v>3</v>
      </c>
      <c r="N4">
        <f t="shared" si="0"/>
        <v>9</v>
      </c>
      <c r="P4" s="54"/>
      <c r="R4" s="54"/>
      <c r="U4">
        <v>2014</v>
      </c>
      <c r="V4" s="81">
        <v>1.4999999999999999E-2</v>
      </c>
      <c r="W4">
        <v>3</v>
      </c>
      <c r="X4" s="56">
        <f t="shared" si="1"/>
        <v>9</v>
      </c>
    </row>
    <row r="5" spans="1:26" ht="15.6" x14ac:dyDescent="0.3">
      <c r="A5">
        <v>2015</v>
      </c>
      <c r="B5" s="7">
        <v>0.46</v>
      </c>
      <c r="C5" s="10">
        <v>0</v>
      </c>
      <c r="D5">
        <v>2.86</v>
      </c>
      <c r="K5">
        <v>2015</v>
      </c>
      <c r="L5">
        <v>2.86</v>
      </c>
      <c r="M5">
        <v>4</v>
      </c>
      <c r="N5">
        <f t="shared" si="0"/>
        <v>16</v>
      </c>
      <c r="P5" s="54"/>
      <c r="U5">
        <v>2015</v>
      </c>
      <c r="V5" s="81">
        <v>0</v>
      </c>
      <c r="W5">
        <v>4</v>
      </c>
      <c r="X5" s="56">
        <f t="shared" si="1"/>
        <v>16</v>
      </c>
    </row>
    <row r="6" spans="1:26" x14ac:dyDescent="0.3">
      <c r="A6">
        <v>2016</v>
      </c>
      <c r="B6" s="7">
        <v>0.4</v>
      </c>
      <c r="C6" s="10">
        <v>6.9999999999999993E-3</v>
      </c>
      <c r="D6">
        <v>2.87</v>
      </c>
      <c r="K6">
        <v>2016</v>
      </c>
      <c r="L6">
        <v>2.87</v>
      </c>
      <c r="M6">
        <v>5</v>
      </c>
      <c r="N6">
        <f t="shared" si="0"/>
        <v>25</v>
      </c>
      <c r="U6">
        <v>2016</v>
      </c>
      <c r="V6" s="81">
        <v>6.9999999999999993E-3</v>
      </c>
      <c r="W6">
        <v>5</v>
      </c>
      <c r="X6" s="56">
        <f t="shared" si="1"/>
        <v>25</v>
      </c>
    </row>
    <row r="7" spans="1:26" x14ac:dyDescent="0.3">
      <c r="A7">
        <v>2017</v>
      </c>
      <c r="B7" s="7">
        <v>0.44</v>
      </c>
      <c r="C7" s="10">
        <v>2.7000000000000003E-2</v>
      </c>
      <c r="D7">
        <v>2.9</v>
      </c>
      <c r="K7">
        <v>2017</v>
      </c>
      <c r="L7">
        <v>2.9</v>
      </c>
      <c r="M7">
        <v>6</v>
      </c>
      <c r="N7">
        <f t="shared" si="0"/>
        <v>36</v>
      </c>
      <c r="U7">
        <v>2017</v>
      </c>
      <c r="V7" s="81">
        <v>2.7000000000000003E-2</v>
      </c>
      <c r="W7">
        <v>6</v>
      </c>
      <c r="X7" s="56">
        <f t="shared" si="1"/>
        <v>36</v>
      </c>
    </row>
    <row r="8" spans="1:26" x14ac:dyDescent="0.3">
      <c r="A8">
        <v>2018</v>
      </c>
      <c r="B8" s="7">
        <v>0.45</v>
      </c>
      <c r="C8" s="10">
        <v>2.5000000000000001E-2</v>
      </c>
      <c r="D8">
        <v>2.89</v>
      </c>
      <c r="K8">
        <v>2018</v>
      </c>
      <c r="L8">
        <v>2.89</v>
      </c>
      <c r="M8">
        <v>7</v>
      </c>
      <c r="N8">
        <f t="shared" si="0"/>
        <v>49</v>
      </c>
      <c r="U8">
        <v>2018</v>
      </c>
      <c r="V8" s="81">
        <v>2.5000000000000001E-2</v>
      </c>
      <c r="W8">
        <v>7</v>
      </c>
      <c r="X8" s="56">
        <f t="shared" si="1"/>
        <v>49</v>
      </c>
    </row>
    <row r="9" spans="1:26" x14ac:dyDescent="0.3">
      <c r="A9">
        <v>2019</v>
      </c>
      <c r="B9" s="7">
        <v>0.4</v>
      </c>
      <c r="C9" s="10">
        <v>1.8000000000000002E-2</v>
      </c>
      <c r="D9">
        <v>2.87</v>
      </c>
      <c r="K9">
        <v>2019</v>
      </c>
      <c r="L9">
        <v>2.87</v>
      </c>
      <c r="M9">
        <v>8</v>
      </c>
      <c r="N9">
        <f t="shared" si="0"/>
        <v>64</v>
      </c>
      <c r="U9">
        <v>2019</v>
      </c>
      <c r="V9" s="81">
        <v>1.8000000000000002E-2</v>
      </c>
      <c r="W9">
        <v>8</v>
      </c>
      <c r="X9" s="56">
        <f t="shared" si="1"/>
        <v>64</v>
      </c>
    </row>
    <row r="10" spans="1:26" x14ac:dyDescent="0.3">
      <c r="A10">
        <v>2020</v>
      </c>
      <c r="B10" s="7">
        <v>0.41</v>
      </c>
      <c r="C10" s="10">
        <v>9.0000000000000011E-3</v>
      </c>
      <c r="D10">
        <v>3.05</v>
      </c>
      <c r="K10">
        <v>2020</v>
      </c>
      <c r="L10">
        <v>3.05</v>
      </c>
      <c r="M10">
        <v>9</v>
      </c>
      <c r="N10">
        <f t="shared" si="0"/>
        <v>81</v>
      </c>
      <c r="U10">
        <v>2020</v>
      </c>
      <c r="V10" s="81">
        <v>9.0000000000000011E-3</v>
      </c>
      <c r="W10">
        <v>9</v>
      </c>
      <c r="X10" s="56">
        <f t="shared" si="1"/>
        <v>81</v>
      </c>
    </row>
    <row r="11" spans="1:26" x14ac:dyDescent="0.3">
      <c r="A11">
        <v>2021</v>
      </c>
      <c r="B11" s="7">
        <v>0.59</v>
      </c>
      <c r="C11" s="10">
        <v>2.6000000000000002E-2</v>
      </c>
      <c r="D11">
        <v>3.31</v>
      </c>
      <c r="K11">
        <v>2021</v>
      </c>
      <c r="L11">
        <v>3.31</v>
      </c>
      <c r="M11">
        <v>10</v>
      </c>
      <c r="N11">
        <f t="shared" si="0"/>
        <v>100</v>
      </c>
      <c r="U11">
        <v>2021</v>
      </c>
      <c r="V11" s="81">
        <v>2.6000000000000002E-2</v>
      </c>
      <c r="W11">
        <v>10</v>
      </c>
      <c r="X11" s="56">
        <f t="shared" si="1"/>
        <v>100</v>
      </c>
    </row>
    <row r="12" spans="1:26" x14ac:dyDescent="0.3">
      <c r="A12">
        <v>2022</v>
      </c>
      <c r="B12" s="7">
        <v>0.62</v>
      </c>
      <c r="C12" s="10">
        <v>9.0999999999999998E-2</v>
      </c>
      <c r="D12">
        <v>3.12</v>
      </c>
      <c r="K12">
        <v>2022</v>
      </c>
      <c r="L12">
        <v>3.12</v>
      </c>
      <c r="M12">
        <v>11</v>
      </c>
      <c r="N12">
        <f t="shared" si="0"/>
        <v>121</v>
      </c>
      <c r="U12">
        <v>2022</v>
      </c>
      <c r="V12" s="81">
        <v>9.0999999999999998E-2</v>
      </c>
      <c r="W12">
        <v>11</v>
      </c>
      <c r="X12" s="56">
        <f t="shared" si="1"/>
        <v>121</v>
      </c>
    </row>
    <row r="13" spans="1:26" x14ac:dyDescent="0.3">
      <c r="A13">
        <v>2023</v>
      </c>
      <c r="B13" s="7">
        <v>0.56999999999999995</v>
      </c>
      <c r="C13" s="10">
        <v>7.2999999999999995E-2</v>
      </c>
      <c r="D13">
        <v>3.23</v>
      </c>
      <c r="K13">
        <v>2023</v>
      </c>
      <c r="L13">
        <v>3.23</v>
      </c>
      <c r="M13">
        <v>12</v>
      </c>
      <c r="N13">
        <f t="shared" si="0"/>
        <v>144</v>
      </c>
      <c r="U13">
        <v>2023</v>
      </c>
      <c r="V13" s="81">
        <v>7.2999999999999995E-2</v>
      </c>
      <c r="W13">
        <v>12</v>
      </c>
      <c r="X13" s="56">
        <f t="shared" si="1"/>
        <v>144</v>
      </c>
    </row>
    <row r="14" spans="1:26" x14ac:dyDescent="0.3">
      <c r="A14" s="51" t="s">
        <v>285</v>
      </c>
      <c r="B14" s="7">
        <f>1.433*C14+0.235*D14-0.271</f>
        <v>0.56697699999999995</v>
      </c>
      <c r="C14" s="81">
        <f>V14</f>
        <v>1.8999999999999989E-2</v>
      </c>
      <c r="D14">
        <f>L14</f>
        <v>3.45</v>
      </c>
      <c r="K14" s="51" t="s">
        <v>285</v>
      </c>
      <c r="L14">
        <f>3.19-0.11*M14+0.01*N14</f>
        <v>3.45</v>
      </c>
      <c r="M14">
        <v>13</v>
      </c>
      <c r="N14">
        <f>M14^2</f>
        <v>169</v>
      </c>
      <c r="U14" s="51" t="s">
        <v>285</v>
      </c>
      <c r="V14" s="10">
        <f>0.045-0.015*W14+0.001*X14</f>
        <v>1.8999999999999989E-2</v>
      </c>
      <c r="W14">
        <v>13</v>
      </c>
      <c r="X14" s="56">
        <f>W14^2</f>
        <v>169</v>
      </c>
    </row>
    <row r="15" spans="1:26" x14ac:dyDescent="0.3">
      <c r="B15" s="7"/>
      <c r="C15" s="81"/>
      <c r="V15" s="10"/>
      <c r="X15" s="56"/>
    </row>
    <row r="16" spans="1:26" x14ac:dyDescent="0.3">
      <c r="B16" s="7"/>
      <c r="C16" s="81"/>
      <c r="V16" s="10"/>
      <c r="X16" s="56"/>
    </row>
    <row r="17" spans="2:24" x14ac:dyDescent="0.3">
      <c r="B17" s="7"/>
      <c r="C17" s="81"/>
      <c r="V17" s="10"/>
      <c r="X17" s="56"/>
    </row>
    <row r="18" spans="2:24" x14ac:dyDescent="0.3">
      <c r="B18" s="7"/>
      <c r="C18" s="81"/>
      <c r="V18" s="10"/>
      <c r="X18" s="56"/>
    </row>
    <row r="19" spans="2:24" x14ac:dyDescent="0.3">
      <c r="X19" s="56"/>
    </row>
    <row r="20" spans="2:24" x14ac:dyDescent="0.3">
      <c r="X20" s="56"/>
    </row>
    <row r="21" spans="2:24" x14ac:dyDescent="0.3">
      <c r="X21" s="56"/>
    </row>
    <row r="22" spans="2:24" x14ac:dyDescent="0.3">
      <c r="X22" s="56"/>
    </row>
    <row r="23" spans="2:24" x14ac:dyDescent="0.3">
      <c r="X23" s="56"/>
    </row>
    <row r="24" spans="2:24" x14ac:dyDescent="0.3">
      <c r="X2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19</vt:i4>
      </vt:variant>
      <vt:variant>
        <vt:lpstr>Nazwane zakresy</vt:lpstr>
      </vt:variant>
      <vt:variant>
        <vt:i4>3</vt:i4>
      </vt:variant>
    </vt:vector>
  </HeadingPairs>
  <TitlesOfParts>
    <vt:vector size="22" baseType="lpstr">
      <vt:lpstr>Surowe dane</vt:lpstr>
      <vt:lpstr>Zmiana danych na wskaźniki</vt:lpstr>
      <vt:lpstr>Zmiana formatu danych na %</vt:lpstr>
      <vt:lpstr>Prognozowanie brakujących danyc</vt:lpstr>
      <vt:lpstr>Zmiana nazw zmiennych na polski</vt:lpstr>
      <vt:lpstr>Przeskalowanie zmiennej X5</vt:lpstr>
      <vt:lpstr>Model</vt:lpstr>
      <vt:lpstr>Wizualizacje modelów</vt:lpstr>
      <vt:lpstr>Modele nieliniowe Y</vt:lpstr>
      <vt:lpstr>CPI modele nieliniowe</vt:lpstr>
      <vt:lpstr>Niepokój modele nieliniowe</vt:lpstr>
      <vt:lpstr>Gretl dane</vt:lpstr>
      <vt:lpstr>Regresja krokowa - Gretl</vt:lpstr>
      <vt:lpstr>Model po regresji krokowej</vt:lpstr>
      <vt:lpstr>RESET</vt:lpstr>
      <vt:lpstr>White</vt:lpstr>
      <vt:lpstr>Durbin-Watson</vt:lpstr>
      <vt:lpstr>Test JBT</vt:lpstr>
      <vt:lpstr>Prognoza na rok 2024</vt:lpstr>
      <vt:lpstr>'CPI modele nieliniowe'!Obszar_wydruku</vt:lpstr>
      <vt:lpstr>'Modele nieliniowe Y'!Obszar_wydruku</vt:lpstr>
      <vt:lpstr>'Niepokój modele nieliniowe'!Obszar_wydruku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Pawlak</dc:creator>
  <cp:lastModifiedBy>Sara Piosik (273682)</cp:lastModifiedBy>
  <dcterms:created xsi:type="dcterms:W3CDTF">2024-03-16T13:22:22Z</dcterms:created>
  <dcterms:modified xsi:type="dcterms:W3CDTF">2024-05-29T21:38:16Z</dcterms:modified>
</cp:coreProperties>
</file>