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nadankis/Desktop/"/>
    </mc:Choice>
  </mc:AlternateContent>
  <xr:revisionPtr revIDLastSave="0" documentId="8_{83203BEE-58CE-8B42-BBED-93BC2DA6B30D}" xr6:coauthVersionLast="36" xr6:coauthVersionMax="36" xr10:uidLastSave="{00000000-0000-0000-0000-000000000000}"/>
  <bookViews>
    <workbookView xWindow="0" yWindow="460" windowWidth="15280" windowHeight="20200" activeTab="1" xr2:uid="{0CF2E8C8-F1D1-4877-9526-BC1E04B0D43F}"/>
  </bookViews>
  <sheets>
    <sheet name="NII Exercise" sheetId="3" r:id="rId1"/>
    <sheet name="DGAP " sheetId="4" r:id="rId2"/>
    <sheet name="Marginal Cost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11" i="1"/>
  <c r="D4" i="1"/>
  <c r="D5" i="1"/>
  <c r="D6" i="1"/>
  <c r="D7" i="1"/>
  <c r="D8" i="1"/>
  <c r="D10" i="1"/>
  <c r="D11" i="1"/>
  <c r="D13" i="1"/>
  <c r="D3" i="1"/>
  <c r="H4" i="1" l="1"/>
  <c r="G10" i="1"/>
  <c r="H10" i="1" s="1"/>
  <c r="G11" i="1"/>
  <c r="G13" i="1"/>
  <c r="H13" i="1" s="1"/>
  <c r="G4" i="1"/>
  <c r="G5" i="1"/>
  <c r="G6" i="1"/>
  <c r="G7" i="1"/>
  <c r="G8" i="1"/>
  <c r="G3" i="1"/>
  <c r="B13" i="1"/>
  <c r="B11" i="1"/>
  <c r="B10" i="1"/>
  <c r="B7" i="1"/>
  <c r="B8" i="1"/>
  <c r="B6" i="1"/>
  <c r="B5" i="1"/>
  <c r="B4" i="1"/>
  <c r="B3" i="1"/>
  <c r="B9" i="1" s="1"/>
  <c r="P17" i="4"/>
  <c r="H15" i="1" l="1"/>
  <c r="B12" i="1"/>
  <c r="B14" i="1" l="1"/>
  <c r="C12" i="1" s="1"/>
  <c r="C11" i="1" l="1"/>
  <c r="C7" i="1"/>
  <c r="C14" i="1"/>
  <c r="C10" i="1"/>
  <c r="C8" i="1"/>
  <c r="C9" i="1"/>
  <c r="C6" i="1"/>
  <c r="C3" i="1"/>
  <c r="H3" i="1" s="1"/>
  <c r="C5" i="1"/>
  <c r="C4" i="1"/>
  <c r="C13" i="1"/>
  <c r="P6" i="4" l="1"/>
  <c r="B16" i="3"/>
  <c r="B14" i="3"/>
  <c r="B15" i="3" s="1"/>
  <c r="G7" i="3" l="1"/>
  <c r="G6" i="3"/>
  <c r="G5" i="3"/>
  <c r="D7" i="3"/>
  <c r="D6" i="3"/>
  <c r="D5" i="3"/>
  <c r="J10" i="4"/>
  <c r="S5" i="4"/>
  <c r="S6" i="4"/>
  <c r="R5" i="4"/>
  <c r="R6" i="4"/>
  <c r="Q5" i="4"/>
  <c r="Q6" i="4"/>
  <c r="P5" i="4"/>
  <c r="P4" i="4"/>
  <c r="Q30" i="4" l="1"/>
  <c r="Q29" i="4"/>
  <c r="Q28" i="4"/>
  <c r="P28" i="4"/>
  <c r="P29" i="4" s="1"/>
  <c r="Q23" i="4"/>
  <c r="P23" i="4"/>
  <c r="Q17" i="4"/>
  <c r="R17" i="4" s="1"/>
  <c r="S17" i="4" s="1"/>
  <c r="S19" i="4" s="1"/>
  <c r="Q16" i="4"/>
  <c r="Q15" i="4"/>
  <c r="Q14" i="4"/>
  <c r="Q13" i="4"/>
  <c r="Q12" i="4"/>
  <c r="P12" i="4"/>
  <c r="P13" i="4" s="1"/>
  <c r="Q4" i="4"/>
  <c r="R4" i="4"/>
  <c r="S4" i="4" s="1"/>
  <c r="S8" i="4" s="1"/>
  <c r="R19" i="4" l="1"/>
  <c r="R20" i="4" s="1"/>
  <c r="R23" i="4"/>
  <c r="R8" i="4"/>
  <c r="R9" i="4" s="1"/>
  <c r="P30" i="4"/>
  <c r="R30" i="4" s="1"/>
  <c r="S30" i="4" s="1"/>
  <c r="R29" i="4"/>
  <c r="S29" i="4" s="1"/>
  <c r="R28" i="4"/>
  <c r="P14" i="4"/>
  <c r="R13" i="4"/>
  <c r="S13" i="4" s="1"/>
  <c r="R12" i="4"/>
  <c r="S12" i="4" s="1"/>
  <c r="S23" i="4" l="1"/>
  <c r="S25" i="4" s="1"/>
  <c r="R25" i="4"/>
  <c r="S28" i="4"/>
  <c r="S32" i="4" s="1"/>
  <c r="R32" i="4"/>
  <c r="R14" i="4"/>
  <c r="S14" i="4" s="1"/>
  <c r="P15" i="4"/>
  <c r="R33" i="4" l="1"/>
  <c r="R26" i="4"/>
  <c r="P16" i="4"/>
  <c r="R16" i="4" s="1"/>
  <c r="S16" i="4" s="1"/>
  <c r="R15" i="4"/>
  <c r="S15" i="4" s="1"/>
  <c r="J7" i="4" l="1"/>
  <c r="J6" i="4"/>
  <c r="J4" i="4"/>
  <c r="I8" i="4"/>
  <c r="H15" i="4" l="1"/>
  <c r="D16" i="4"/>
  <c r="D18" i="4" s="1"/>
  <c r="D20" i="4" s="1"/>
  <c r="M13" i="4"/>
  <c r="L13" i="4"/>
  <c r="K13" i="4"/>
  <c r="H13" i="4"/>
  <c r="K12" i="4"/>
  <c r="H12" i="4"/>
  <c r="H9" i="4"/>
  <c r="D8" i="4"/>
  <c r="D10" i="4" s="1"/>
  <c r="H7" i="4"/>
  <c r="H6" i="4"/>
  <c r="M5" i="4"/>
  <c r="L5" i="4"/>
  <c r="K5" i="4"/>
  <c r="H5" i="4"/>
  <c r="H4" i="4"/>
  <c r="K3" i="4"/>
  <c r="H3" i="4"/>
  <c r="B11" i="3"/>
  <c r="E8" i="3"/>
  <c r="E11" i="3" s="1"/>
  <c r="H8" i="4" l="1"/>
  <c r="I6" i="4" s="1"/>
  <c r="G44" i="1"/>
  <c r="H14" i="4"/>
  <c r="I7" i="4" l="1"/>
  <c r="H10" i="4"/>
  <c r="I10" i="4"/>
  <c r="G8" i="4"/>
  <c r="H32" i="4" s="1"/>
  <c r="H16" i="4"/>
  <c r="H18" i="4" s="1"/>
  <c r="K14" i="4"/>
  <c r="K15" i="4"/>
  <c r="H25" i="4" l="1"/>
  <c r="I15" i="4"/>
  <c r="I14" i="4"/>
  <c r="G10" i="4"/>
  <c r="K6" i="4"/>
  <c r="H19" i="4"/>
  <c r="H20" i="4" s="1"/>
  <c r="I18" i="4" l="1"/>
  <c r="G16" i="4"/>
  <c r="K18" i="4"/>
  <c r="H24" i="4" l="1"/>
  <c r="H33" i="4"/>
  <c r="G18" i="4"/>
  <c r="H36" i="4" l="1"/>
  <c r="K7" i="4"/>
  <c r="K10" i="4" s="1"/>
  <c r="H23" i="4" s="1"/>
  <c r="H35" i="4" l="1"/>
  <c r="H37" i="4" s="1"/>
  <c r="H27" i="4"/>
  <c r="H39" i="4" s="1"/>
  <c r="H28" i="4" l="1"/>
</calcChain>
</file>

<file path=xl/sharedStrings.xml><?xml version="1.0" encoding="utf-8"?>
<sst xmlns="http://schemas.openxmlformats.org/spreadsheetml/2006/main" count="124" uniqueCount="109">
  <si>
    <t>(a) Average Amount ($1,000)</t>
  </si>
  <si>
    <t>(b) % of Total</t>
  </si>
  <si>
    <t>(C) Interest cost</t>
  </si>
  <si>
    <t>(d) Processing, Acquisition Cost</t>
  </si>
  <si>
    <t>(e) Investable %</t>
  </si>
  <si>
    <t>(f) Component Marginal Cost</t>
  </si>
  <si>
    <t>(g) WMC of Funds (b)*(f)</t>
  </si>
  <si>
    <t>Total Deposits</t>
  </si>
  <si>
    <t>Federal Funds Purchased</t>
  </si>
  <si>
    <t>Other Liabilities</t>
  </si>
  <si>
    <t>Total Liabilities</t>
  </si>
  <si>
    <t>Stockholders Equity</t>
  </si>
  <si>
    <t>Total Liabilities and Equity</t>
  </si>
  <si>
    <t>Wtd Marginal Cost of Capital</t>
  </si>
  <si>
    <t>(C+D)/E</t>
  </si>
  <si>
    <t>Complete the appropriate mix in green</t>
  </si>
  <si>
    <t>10 points</t>
  </si>
  <si>
    <t>Expected Balance Sheet for Hypothetical Bank</t>
  </si>
  <si>
    <t>Assets</t>
  </si>
  <si>
    <t>Yield</t>
  </si>
  <si>
    <t>% of TA</t>
  </si>
  <si>
    <t>Liabilities</t>
  </si>
  <si>
    <t>Cost</t>
  </si>
  <si>
    <t>% of TL</t>
  </si>
  <si>
    <t>Rate sensitive</t>
  </si>
  <si>
    <t>Fixed rate</t>
  </si>
  <si>
    <t>Non earning</t>
  </si>
  <si>
    <t>Equity</t>
  </si>
  <si>
    <t xml:space="preserve">  Total</t>
  </si>
  <si>
    <t>Complete the formulas highlighted in yellow</t>
  </si>
  <si>
    <t>NII</t>
  </si>
  <si>
    <t>NIM</t>
  </si>
  <si>
    <t>Gap</t>
  </si>
  <si>
    <t>Par</t>
  </si>
  <si>
    <t xml:space="preserve"> Years</t>
  </si>
  <si>
    <t>15 points</t>
  </si>
  <si>
    <t>% Coup</t>
  </si>
  <si>
    <t xml:space="preserve">  Mat.</t>
  </si>
  <si>
    <t xml:space="preserve"> YTM</t>
  </si>
  <si>
    <t xml:space="preserve">   Market Value</t>
  </si>
  <si>
    <t>Earning Mix</t>
  </si>
  <si>
    <t>Total Mix</t>
  </si>
  <si>
    <t xml:space="preserve">  Dur.</t>
  </si>
  <si>
    <t>3-YR Comm Loan</t>
  </si>
  <si>
    <t>CF</t>
  </si>
  <si>
    <t>DF</t>
  </si>
  <si>
    <t>DCF</t>
  </si>
  <si>
    <t>Duration CF</t>
  </si>
  <si>
    <t>Cash</t>
  </si>
  <si>
    <t>Earning assets</t>
  </si>
  <si>
    <t>3-yr Commercial loan</t>
  </si>
  <si>
    <t>6-yr Treasury bond</t>
  </si>
  <si>
    <t xml:space="preserve">  Total Earning Assets</t>
  </si>
  <si>
    <t>Non-cash earning assets</t>
  </si>
  <si>
    <t>DUR</t>
  </si>
  <si>
    <t xml:space="preserve">  Total assets</t>
  </si>
  <si>
    <t>*% of Earning Assets</t>
  </si>
  <si>
    <t>*% of total</t>
  </si>
  <si>
    <t>6-YR T-Bond</t>
  </si>
  <si>
    <t>Interest bearing liabs.</t>
  </si>
  <si>
    <t>1-yr Time deposit</t>
  </si>
  <si>
    <t>3-yr Certificate of deposit</t>
  </si>
  <si>
    <t xml:space="preserve">  Tot. Int Bearing Liabs.</t>
  </si>
  <si>
    <t>Tot. non-int. bearing</t>
  </si>
  <si>
    <t>Total liabilities</t>
  </si>
  <si>
    <t>Total equity</t>
  </si>
  <si>
    <t>Total liabs &amp; equity</t>
  </si>
  <si>
    <t>Duration Gap Calculations</t>
  </si>
  <si>
    <t>1-YR Time Dep</t>
  </si>
  <si>
    <t>Duration of Assets</t>
  </si>
  <si>
    <t>Duration of Liabilities</t>
  </si>
  <si>
    <t>Liabilities / Assets ratio</t>
  </si>
  <si>
    <t>DGAP = Dur assets - (assets/liab)*Dur liab</t>
  </si>
  <si>
    <t>3-YR COD</t>
  </si>
  <si>
    <t>DGAP* = Dur assets - Dur liab</t>
  </si>
  <si>
    <t>Approximate Impact from a Change in Rates</t>
  </si>
  <si>
    <t>Expected change in rates</t>
  </si>
  <si>
    <t>Average rate on Earning Assets</t>
  </si>
  <si>
    <t>Average rate on Int Bearing Liab</t>
  </si>
  <si>
    <t>DUR=</t>
  </si>
  <si>
    <t>Approx Change in Mkt Value of Assets</t>
  </si>
  <si>
    <t>Approx Change in Mkt Value of Liabilities</t>
  </si>
  <si>
    <t xml:space="preserve">  Approx Change in Mkt Value of Equity (Difference)</t>
  </si>
  <si>
    <t xml:space="preserve">  Approx Change in Mkt Value of Equity</t>
  </si>
  <si>
    <t xml:space="preserve">  using Duration GAP method</t>
  </si>
  <si>
    <t>Marginal Cost of Deposits</t>
  </si>
  <si>
    <t>MERCANTILE BANK OF MICHIGAN</t>
  </si>
  <si>
    <t xml:space="preserve"> Liabilities:</t>
  </si>
  <si>
    <t xml:space="preserve"> Demand Deposits</t>
  </si>
  <si>
    <t xml:space="preserve"> All Now &amp; ATS Accounts</t>
  </si>
  <si>
    <t xml:space="preserve"> Money Market Deposit Accounts</t>
  </si>
  <si>
    <t xml:space="preserve"> Other savings Deposits</t>
  </si>
  <si>
    <t xml:space="preserve"> Time Deps At Or Below Insurance Limit</t>
  </si>
  <si>
    <t xml:space="preserve"> Time Deps Above Insurance Limit</t>
  </si>
  <si>
    <t xml:space="preserve">    Total Deposits</t>
  </si>
  <si>
    <t xml:space="preserve"> Federal Funds Purch &amp; Resale</t>
  </si>
  <si>
    <t xml:space="preserve">    Total Liabilities (Incl Mortg)</t>
  </si>
  <si>
    <t xml:space="preserve"> Total Bank Capital &amp; Min Int</t>
  </si>
  <si>
    <t xml:space="preserve">    Total Liabilities &amp; Capital</t>
  </si>
  <si>
    <t xml:space="preserve"> Total Interest Bearing Deposits</t>
  </si>
  <si>
    <t xml:space="preserve">    Transaction accounts</t>
  </si>
  <si>
    <t xml:space="preserve">    Other Savings Deposits</t>
  </si>
  <si>
    <t xml:space="preserve">    Time Deposits</t>
  </si>
  <si>
    <t xml:space="preserve"> Federal Funds Purchased &amp; Repos</t>
  </si>
  <si>
    <t xml:space="preserve"> Other Borrowed Money</t>
  </si>
  <si>
    <t xml:space="preserve"> Memo: Time Deps Over $250M</t>
  </si>
  <si>
    <t>Interest Cost</t>
  </si>
  <si>
    <t>15 pts</t>
  </si>
  <si>
    <t>Calculate Wtd Marginal Cost of Capital using the information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</si>
</sst>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0.0%"/>
    <numFmt numFmtId="167" formatCode="0.00_)"/>
    <numFmt numFmtId="168" formatCode=";;;"/>
    <numFmt numFmtId="169" formatCode="0_)"/>
    <numFmt numFmtId="170" formatCode="0.000_)"/>
    <numFmt numFmtId="171" formatCode="0.000%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5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b/>
      <u/>
      <sz val="12"/>
      <color indexed="18"/>
      <name val="Arial"/>
      <family val="2"/>
    </font>
    <font>
      <b/>
      <i/>
      <sz val="12"/>
      <color indexed="1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i/>
      <sz val="12"/>
      <name val="Arial"/>
      <family val="2"/>
    </font>
    <font>
      <sz val="12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 style="double">
        <color indexed="1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11">
    <xf numFmtId="0" fontId="0" fillId="0" borderId="0" xfId="0"/>
    <xf numFmtId="166" fontId="0" fillId="0" borderId="0" xfId="2" applyNumberFormat="1" applyFont="1"/>
    <xf numFmtId="0" fontId="0" fillId="2" borderId="0" xfId="0" applyFill="1"/>
    <xf numFmtId="165" fontId="0" fillId="2" borderId="2" xfId="1" applyNumberFormat="1" applyFont="1" applyFill="1" applyBorder="1"/>
    <xf numFmtId="165" fontId="0" fillId="2" borderId="2" xfId="0" applyNumberFormat="1" applyFill="1" applyBorder="1"/>
    <xf numFmtId="9" fontId="0" fillId="2" borderId="0" xfId="2" applyFont="1" applyFill="1"/>
    <xf numFmtId="43" fontId="0" fillId="2" borderId="0" xfId="1" applyFont="1" applyFill="1"/>
    <xf numFmtId="10" fontId="0" fillId="0" borderId="0" xfId="2" applyNumberFormat="1" applyFont="1"/>
    <xf numFmtId="10" fontId="0" fillId="2" borderId="0" xfId="2" applyNumberFormat="1" applyFont="1" applyFill="1"/>
    <xf numFmtId="0" fontId="0" fillId="3" borderId="0" xfId="0" applyFill="1"/>
    <xf numFmtId="0" fontId="2" fillId="0" borderId="0" xfId="0" applyFont="1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9" fontId="5" fillId="4" borderId="0" xfId="2" applyFont="1" applyFill="1"/>
    <xf numFmtId="9" fontId="0" fillId="4" borderId="0" xfId="2" applyFont="1" applyFill="1"/>
    <xf numFmtId="0" fontId="7" fillId="0" borderId="0" xfId="0" applyFont="1" applyProtection="1">
      <protection locked="0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9" fontId="8" fillId="0" borderId="0" xfId="0" quotePrefix="1" applyNumberFormat="1" applyFont="1"/>
    <xf numFmtId="10" fontId="5" fillId="0" borderId="0" xfId="2" applyNumberFormat="1" applyFont="1" applyAlignment="1">
      <alignment horizontal="right"/>
    </xf>
    <xf numFmtId="0" fontId="7" fillId="5" borderId="0" xfId="0" applyFont="1" applyFill="1" applyAlignment="1" applyProtection="1">
      <alignment horizontal="center"/>
      <protection locked="0"/>
    </xf>
    <xf numFmtId="0" fontId="8" fillId="0" borderId="0" xfId="0" applyFont="1"/>
    <xf numFmtId="10" fontId="5" fillId="5" borderId="0" xfId="2" applyNumberFormat="1" applyFont="1" applyFill="1" applyAlignment="1">
      <alignment horizontal="right"/>
    </xf>
    <xf numFmtId="0" fontId="5" fillId="0" borderId="0" xfId="0" applyFont="1" applyAlignment="1">
      <alignment horizontal="right"/>
    </xf>
    <xf numFmtId="0" fontId="5" fillId="5" borderId="0" xfId="0" applyFont="1" applyFill="1" applyAlignment="1">
      <alignment horizontal="right"/>
    </xf>
    <xf numFmtId="0" fontId="9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3" applyFont="1"/>
    <xf numFmtId="0" fontId="10" fillId="0" borderId="0" xfId="3" applyFont="1" applyAlignment="1">
      <alignment horizontal="right"/>
    </xf>
    <xf numFmtId="0" fontId="10" fillId="0" borderId="0" xfId="3" applyFont="1" applyAlignment="1">
      <alignment horizontal="center"/>
    </xf>
    <xf numFmtId="0" fontId="11" fillId="0" borderId="0" xfId="3" applyFont="1"/>
    <xf numFmtId="0" fontId="10" fillId="0" borderId="0" xfId="3" applyFont="1" applyAlignment="1" applyProtection="1">
      <alignment horizontal="left"/>
      <protection locked="0"/>
    </xf>
    <xf numFmtId="5" fontId="12" fillId="0" borderId="0" xfId="3" applyNumberFormat="1" applyFont="1"/>
    <xf numFmtId="0" fontId="12" fillId="0" borderId="0" xfId="3" applyFont="1" applyAlignment="1">
      <alignment horizontal="left"/>
    </xf>
    <xf numFmtId="0" fontId="12" fillId="0" borderId="0" xfId="3" applyFont="1" applyAlignment="1">
      <alignment horizontal="right"/>
    </xf>
    <xf numFmtId="0" fontId="12" fillId="0" borderId="0" xfId="3" applyFont="1" applyAlignment="1">
      <alignment horizontal="center"/>
    </xf>
    <xf numFmtId="0" fontId="12" fillId="0" borderId="0" xfId="3" applyFont="1" applyAlignment="1">
      <alignment horizontal="center" wrapText="1"/>
    </xf>
    <xf numFmtId="0" fontId="13" fillId="0" borderId="0" xfId="3" applyFont="1" applyAlignment="1">
      <alignment horizontal="left"/>
    </xf>
    <xf numFmtId="0" fontId="13" fillId="0" borderId="0" xfId="3" applyFont="1"/>
    <xf numFmtId="10" fontId="10" fillId="0" borderId="0" xfId="3" applyNumberFormat="1" applyFont="1"/>
    <xf numFmtId="167" fontId="10" fillId="0" borderId="0" xfId="3" applyNumberFormat="1" applyFont="1"/>
    <xf numFmtId="168" fontId="11" fillId="0" borderId="0" xfId="3" applyNumberFormat="1" applyFont="1"/>
    <xf numFmtId="0" fontId="14" fillId="0" borderId="0" xfId="3" applyFont="1"/>
    <xf numFmtId="0" fontId="15" fillId="0" borderId="0" xfId="3" applyFont="1"/>
    <xf numFmtId="0" fontId="10" fillId="0" borderId="0" xfId="3" applyFont="1" applyAlignment="1">
      <alignment horizontal="left"/>
    </xf>
    <xf numFmtId="0" fontId="16" fillId="0" borderId="0" xfId="3" applyFont="1" applyProtection="1">
      <protection locked="0"/>
    </xf>
    <xf numFmtId="9" fontId="15" fillId="5" borderId="0" xfId="4" applyFont="1" applyFill="1" applyProtection="1"/>
    <xf numFmtId="167" fontId="15" fillId="0" borderId="0" xfId="3" applyNumberFormat="1" applyFont="1"/>
    <xf numFmtId="0" fontId="11" fillId="5" borderId="0" xfId="3" applyFont="1" applyFill="1"/>
    <xf numFmtId="0" fontId="14" fillId="5" borderId="0" xfId="3" applyFont="1" applyFill="1"/>
    <xf numFmtId="0" fontId="15" fillId="0" borderId="0" xfId="3" applyFont="1" applyAlignment="1">
      <alignment horizontal="left"/>
    </xf>
    <xf numFmtId="10" fontId="15" fillId="0" borderId="0" xfId="3" applyNumberFormat="1" applyFont="1"/>
    <xf numFmtId="43" fontId="14" fillId="0" borderId="0" xfId="5" applyFont="1" applyProtection="1"/>
    <xf numFmtId="0" fontId="16" fillId="0" borderId="0" xfId="3" quotePrefix="1" applyFont="1" applyAlignment="1" applyProtection="1">
      <alignment horizontal="left"/>
      <protection locked="0"/>
    </xf>
    <xf numFmtId="10" fontId="16" fillId="0" borderId="0" xfId="3" applyNumberFormat="1" applyFont="1" applyProtection="1">
      <protection locked="0"/>
    </xf>
    <xf numFmtId="169" fontId="16" fillId="0" borderId="0" xfId="3" applyNumberFormat="1" applyFont="1" applyAlignment="1" applyProtection="1">
      <alignment horizontal="center"/>
      <protection locked="0"/>
    </xf>
    <xf numFmtId="0" fontId="15" fillId="0" borderId="4" xfId="3" applyFont="1" applyBorder="1"/>
    <xf numFmtId="169" fontId="15" fillId="0" borderId="0" xfId="3" applyNumberFormat="1" applyFont="1" applyAlignment="1">
      <alignment horizontal="center"/>
    </xf>
    <xf numFmtId="10" fontId="15" fillId="0" borderId="4" xfId="3" applyNumberFormat="1" applyFont="1" applyBorder="1"/>
    <xf numFmtId="0" fontId="16" fillId="0" borderId="0" xfId="3" applyFont="1" applyAlignment="1" applyProtection="1">
      <alignment horizontal="left"/>
      <protection locked="0"/>
    </xf>
    <xf numFmtId="0" fontId="15" fillId="0" borderId="5" xfId="3" applyFont="1" applyBorder="1"/>
    <xf numFmtId="10" fontId="15" fillId="0" borderId="5" xfId="3" applyNumberFormat="1" applyFont="1" applyBorder="1"/>
    <xf numFmtId="9" fontId="15" fillId="0" borderId="0" xfId="4" applyFont="1" applyProtection="1"/>
    <xf numFmtId="168" fontId="14" fillId="0" borderId="0" xfId="3" applyNumberFormat="1" applyFont="1"/>
    <xf numFmtId="169" fontId="10" fillId="0" borderId="0" xfId="3" applyNumberFormat="1" applyFont="1" applyAlignment="1">
      <alignment horizontal="center"/>
    </xf>
    <xf numFmtId="10" fontId="15" fillId="0" borderId="4" xfId="4" applyNumberFormat="1" applyFont="1" applyBorder="1" applyProtection="1"/>
    <xf numFmtId="9" fontId="15" fillId="5" borderId="0" xfId="4" applyFont="1" applyFill="1" applyBorder="1" applyProtection="1"/>
    <xf numFmtId="9" fontId="15" fillId="0" borderId="0" xfId="4" applyFont="1" applyBorder="1" applyProtection="1"/>
    <xf numFmtId="0" fontId="8" fillId="0" borderId="0" xfId="3" applyFont="1"/>
    <xf numFmtId="0" fontId="17" fillId="0" borderId="0" xfId="3" applyFont="1" applyAlignment="1">
      <alignment horizontal="left"/>
    </xf>
    <xf numFmtId="0" fontId="9" fillId="0" borderId="0" xfId="3"/>
    <xf numFmtId="0" fontId="14" fillId="0" borderId="0" xfId="3" applyFont="1" applyAlignment="1">
      <alignment horizontal="left"/>
    </xf>
    <xf numFmtId="170" fontId="14" fillId="5" borderId="0" xfId="3" applyNumberFormat="1" applyFont="1" applyFill="1"/>
    <xf numFmtId="170" fontId="14" fillId="0" borderId="0" xfId="3" applyNumberFormat="1" applyFont="1"/>
    <xf numFmtId="10" fontId="18" fillId="0" borderId="0" xfId="3" applyNumberFormat="1" applyFont="1" applyProtection="1">
      <protection locked="0"/>
    </xf>
    <xf numFmtId="10" fontId="14" fillId="5" borderId="0" xfId="3" applyNumberFormat="1" applyFont="1" applyFill="1"/>
    <xf numFmtId="10" fontId="14" fillId="0" borderId="0" xfId="3" applyNumberFormat="1" applyFont="1"/>
    <xf numFmtId="10" fontId="14" fillId="5" borderId="2" xfId="3" applyNumberFormat="1" applyFont="1" applyFill="1" applyBorder="1"/>
    <xf numFmtId="167" fontId="14" fillId="5" borderId="0" xfId="3" applyNumberFormat="1" applyFont="1" applyFill="1"/>
    <xf numFmtId="167" fontId="14" fillId="0" borderId="0" xfId="3" applyNumberFormat="1" applyFont="1"/>
    <xf numFmtId="0" fontId="18" fillId="0" borderId="0" xfId="3" applyFont="1" applyProtection="1">
      <protection locked="0" hidden="1"/>
    </xf>
    <xf numFmtId="166" fontId="0" fillId="7" borderId="0" xfId="2" applyNumberFormat="1" applyFont="1" applyFill="1"/>
    <xf numFmtId="14" fontId="0" fillId="0" borderId="0" xfId="0" applyNumberFormat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0" fontId="0" fillId="0" borderId="0" xfId="0" applyNumberFormat="1"/>
    <xf numFmtId="43" fontId="0" fillId="0" borderId="0" xfId="0" applyNumberFormat="1"/>
    <xf numFmtId="0" fontId="0" fillId="0" borderId="2" xfId="0" applyBorder="1"/>
    <xf numFmtId="3" fontId="0" fillId="0" borderId="2" xfId="0" applyNumberFormat="1" applyBorder="1"/>
    <xf numFmtId="9" fontId="0" fillId="0" borderId="0" xfId="0" applyNumberFormat="1"/>
    <xf numFmtId="10" fontId="7" fillId="0" borderId="0" xfId="2" applyNumberFormat="1" applyFont="1" applyAlignment="1" applyProtection="1">
      <alignment horizontal="center"/>
      <protection locked="0"/>
    </xf>
    <xf numFmtId="164" fontId="0" fillId="5" borderId="0" xfId="0" applyNumberFormat="1" applyFill="1"/>
    <xf numFmtId="165" fontId="0" fillId="5" borderId="0" xfId="1" applyNumberFormat="1" applyFont="1" applyFill="1"/>
    <xf numFmtId="165" fontId="0" fillId="5" borderId="0" xfId="1" applyNumberFormat="1" applyFont="1" applyFill="1" applyBorder="1"/>
    <xf numFmtId="165" fontId="0" fillId="5" borderId="2" xfId="0" applyNumberFormat="1" applyFill="1" applyBorder="1"/>
    <xf numFmtId="10" fontId="0" fillId="5" borderId="0" xfId="2" applyNumberFormat="1" applyFont="1" applyFill="1"/>
    <xf numFmtId="2" fontId="15" fillId="0" borderId="0" xfId="3" applyNumberFormat="1" applyFont="1"/>
    <xf numFmtId="2" fontId="15" fillId="0" borderId="4" xfId="3" applyNumberFormat="1" applyFont="1" applyBorder="1"/>
    <xf numFmtId="0" fontId="14" fillId="5" borderId="0" xfId="0" applyFont="1" applyFill="1"/>
    <xf numFmtId="0" fontId="11" fillId="5" borderId="0" xfId="0" applyFont="1" applyFill="1"/>
    <xf numFmtId="0" fontId="14" fillId="0" borderId="0" xfId="0" applyFont="1"/>
    <xf numFmtId="0" fontId="14" fillId="6" borderId="0" xfId="0" applyFont="1" applyFill="1"/>
    <xf numFmtId="171" fontId="0" fillId="5" borderId="0" xfId="2" applyNumberFormat="1" applyFont="1" applyFill="1"/>
  </cellXfs>
  <cellStyles count="6">
    <cellStyle name="Comma" xfId="1" builtinId="3"/>
    <cellStyle name="Comma 2" xfId="5" xr:uid="{5B974331-355D-43E3-82F2-7C02EB2CB4FA}"/>
    <cellStyle name="Normal" xfId="0" builtinId="0"/>
    <cellStyle name="Normal 2" xfId="3" xr:uid="{36F79BA4-D9A2-4631-952F-10AD47139FFE}"/>
    <cellStyle name="Percent" xfId="2" builtinId="5"/>
    <cellStyle name="Percent 2" xfId="4" xr:uid="{C331CBCA-54E2-48BA-AAB7-42AAD1F809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1B9A-42A3-4C2C-9081-56B629C8DC22}">
  <dimension ref="A1:H16"/>
  <sheetViews>
    <sheetView zoomScale="150" workbookViewId="0">
      <selection activeCell="B25" sqref="B25"/>
    </sheetView>
  </sheetViews>
  <sheetFormatPr baseColWidth="10" defaultColWidth="8.83203125" defaultRowHeight="15"/>
  <cols>
    <col min="1" max="1" width="13" bestFit="1" customWidth="1"/>
  </cols>
  <sheetData>
    <row r="1" spans="1:8">
      <c r="A1" s="9"/>
      <c r="B1" s="9"/>
      <c r="C1" s="9"/>
      <c r="D1" s="9"/>
      <c r="E1" s="9"/>
      <c r="F1" s="9"/>
      <c r="G1" s="9"/>
      <c r="H1" s="9"/>
    </row>
    <row r="2" spans="1:8">
      <c r="A2" t="s">
        <v>15</v>
      </c>
      <c r="G2" s="10" t="s">
        <v>16</v>
      </c>
    </row>
    <row r="3" spans="1:8">
      <c r="A3" s="11" t="s">
        <v>17</v>
      </c>
      <c r="B3" s="12"/>
      <c r="C3" s="12"/>
      <c r="D3" s="12"/>
      <c r="E3" s="12"/>
      <c r="F3" s="12"/>
      <c r="G3" s="12"/>
      <c r="H3" s="12"/>
    </row>
    <row r="4" spans="1:8">
      <c r="A4" s="13"/>
      <c r="B4" s="14" t="s">
        <v>18</v>
      </c>
      <c r="C4" s="14" t="s">
        <v>19</v>
      </c>
      <c r="D4" s="14" t="s">
        <v>20</v>
      </c>
      <c r="E4" s="14" t="s">
        <v>21</v>
      </c>
      <c r="F4" s="14" t="s">
        <v>22</v>
      </c>
      <c r="G4" s="14" t="s">
        <v>23</v>
      </c>
    </row>
    <row r="5" spans="1:8">
      <c r="A5" s="13" t="s">
        <v>24</v>
      </c>
      <c r="B5" s="15">
        <v>750</v>
      </c>
      <c r="C5" s="98">
        <v>3.2500000000000001E-2</v>
      </c>
      <c r="D5" s="16">
        <f>B5/$B$11</f>
        <v>0.7142857142857143</v>
      </c>
      <c r="E5" s="15">
        <v>600</v>
      </c>
      <c r="F5" s="98">
        <v>2.5000000000000001E-3</v>
      </c>
      <c r="G5" s="17">
        <f>E5/$E$8</f>
        <v>0.61855670103092786</v>
      </c>
    </row>
    <row r="6" spans="1:8">
      <c r="A6" s="13" t="s">
        <v>25</v>
      </c>
      <c r="B6" s="15">
        <v>150</v>
      </c>
      <c r="C6" s="98">
        <v>4.1500000000000002E-2</v>
      </c>
      <c r="D6" s="16">
        <f t="shared" ref="D6:D7" si="0">B6/$B$11</f>
        <v>0.14285714285714285</v>
      </c>
      <c r="E6" s="15">
        <v>270</v>
      </c>
      <c r="F6" s="98">
        <v>2.75E-2</v>
      </c>
      <c r="G6" s="17">
        <f t="shared" ref="G6:G7" si="1">E6/$E$8</f>
        <v>0.27835051546391754</v>
      </c>
    </row>
    <row r="7" spans="1:8">
      <c r="A7" s="13" t="s">
        <v>26</v>
      </c>
      <c r="B7" s="15">
        <v>150</v>
      </c>
      <c r="C7" s="18"/>
      <c r="D7" s="16">
        <f t="shared" si="0"/>
        <v>0.14285714285714285</v>
      </c>
      <c r="E7" s="15">
        <v>100</v>
      </c>
      <c r="F7" s="15">
        <v>0</v>
      </c>
      <c r="G7" s="17">
        <f t="shared" si="1"/>
        <v>0.10309278350515463</v>
      </c>
    </row>
    <row r="8" spans="1:8">
      <c r="A8" s="13"/>
      <c r="B8" s="13"/>
      <c r="C8" s="13"/>
      <c r="D8" s="13"/>
      <c r="E8" s="19">
        <f>SUM(E5:E7)</f>
        <v>970</v>
      </c>
      <c r="F8" s="20"/>
    </row>
    <row r="9" spans="1:8">
      <c r="A9" s="13"/>
      <c r="B9" s="13"/>
      <c r="C9" s="13"/>
      <c r="D9" s="13"/>
      <c r="E9" s="21" t="s">
        <v>27</v>
      </c>
      <c r="F9" s="13"/>
    </row>
    <row r="10" spans="1:8">
      <c r="A10" s="13"/>
      <c r="B10" s="13"/>
      <c r="C10" s="13"/>
      <c r="D10" s="13"/>
      <c r="E10" s="20">
        <v>80</v>
      </c>
      <c r="F10" s="13"/>
    </row>
    <row r="11" spans="1:8" ht="16" thickBot="1">
      <c r="A11" s="13" t="s">
        <v>28</v>
      </c>
      <c r="B11" s="22">
        <f>SUM(B5:B7)</f>
        <v>1050</v>
      </c>
      <c r="C11" s="13"/>
      <c r="D11" s="13"/>
      <c r="E11" s="23">
        <f>E10+E8</f>
        <v>1050</v>
      </c>
      <c r="F11" s="13"/>
    </row>
    <row r="12" spans="1:8" ht="16" thickTop="1">
      <c r="A12" s="13"/>
      <c r="B12" s="13"/>
      <c r="C12" s="13"/>
      <c r="D12" s="13"/>
      <c r="E12" s="13"/>
      <c r="F12" s="13"/>
    </row>
    <row r="13" spans="1:8">
      <c r="A13" s="24" t="s">
        <v>29</v>
      </c>
      <c r="B13" s="24"/>
      <c r="C13" s="24"/>
      <c r="D13" s="24"/>
      <c r="E13" s="24"/>
      <c r="F13" s="24"/>
    </row>
    <row r="14" spans="1:8">
      <c r="A14" s="25" t="s">
        <v>30</v>
      </c>
      <c r="B14" s="26">
        <f>(C5*B5+C6*B6)-(F5*E5+F6*E6)</f>
        <v>21.675000000000001</v>
      </c>
      <c r="C14" s="27"/>
      <c r="D14" s="27"/>
      <c r="E14" s="27"/>
      <c r="F14" s="27"/>
    </row>
    <row r="15" spans="1:8">
      <c r="A15" s="25" t="s">
        <v>31</v>
      </c>
      <c r="B15" s="28">
        <f>B14/(B5+B6)</f>
        <v>2.4083333333333335E-2</v>
      </c>
      <c r="C15" s="27"/>
      <c r="D15" s="27"/>
      <c r="E15" s="27"/>
      <c r="F15" s="27"/>
    </row>
    <row r="16" spans="1:8">
      <c r="A16" s="29" t="s">
        <v>32</v>
      </c>
      <c r="B16" s="30">
        <f>B5-E5</f>
        <v>150</v>
      </c>
      <c r="C16" s="31"/>
      <c r="D16" s="32"/>
      <c r="E16" s="33"/>
      <c r="F16" s="3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4847-D838-4675-B7E4-9195E47382F6}">
  <dimension ref="A1:S41"/>
  <sheetViews>
    <sheetView tabSelected="1" zoomScale="112" workbookViewId="0">
      <selection activeCell="L12" sqref="L12"/>
    </sheetView>
  </sheetViews>
  <sheetFormatPr baseColWidth="10" defaultColWidth="8.83203125" defaultRowHeight="16"/>
  <cols>
    <col min="1" max="1" width="2.33203125" style="49" customWidth="1"/>
    <col min="2" max="2" width="2.5" style="49" customWidth="1"/>
    <col min="3" max="3" width="25.83203125" style="49" customWidth="1"/>
    <col min="4" max="4" width="9.33203125" style="49" bestFit="1" customWidth="1"/>
    <col min="5" max="5" width="10.5" style="49" bestFit="1" customWidth="1"/>
    <col min="6" max="6" width="7.6640625" style="49" customWidth="1"/>
    <col min="7" max="7" width="9.5" style="49" bestFit="1" customWidth="1"/>
    <col min="8" max="13" width="8.83203125" style="49"/>
    <col min="14" max="14" width="11" style="49" bestFit="1" customWidth="1"/>
    <col min="15" max="15" width="11.6640625" style="49" bestFit="1" customWidth="1"/>
    <col min="16" max="16384" width="8.83203125" style="49"/>
  </cols>
  <sheetData>
    <row r="1" spans="1:19" s="37" customFormat="1">
      <c r="A1" s="34">
        <v>1</v>
      </c>
      <c r="B1" s="34"/>
      <c r="C1" s="34"/>
      <c r="D1" s="35" t="s">
        <v>33</v>
      </c>
      <c r="E1" s="34"/>
      <c r="F1" s="35" t="s">
        <v>34</v>
      </c>
      <c r="G1" s="34"/>
      <c r="H1" s="36"/>
      <c r="I1" s="36"/>
      <c r="J1" s="36"/>
      <c r="K1" s="34" t="s">
        <v>35</v>
      </c>
    </row>
    <row r="2" spans="1:19" s="37" customFormat="1" ht="51">
      <c r="A2" s="38"/>
      <c r="B2" s="34"/>
      <c r="C2" s="34"/>
      <c r="D2" s="39">
        <v>1000</v>
      </c>
      <c r="E2" s="40" t="s">
        <v>36</v>
      </c>
      <c r="F2" s="41" t="s">
        <v>37</v>
      </c>
      <c r="G2" s="42" t="s">
        <v>38</v>
      </c>
      <c r="H2" s="43" t="s">
        <v>39</v>
      </c>
      <c r="I2" s="43" t="s">
        <v>40</v>
      </c>
      <c r="J2" s="43" t="s">
        <v>41</v>
      </c>
      <c r="K2" s="42" t="s">
        <v>42</v>
      </c>
      <c r="O2" s="37" t="s">
        <v>18</v>
      </c>
    </row>
    <row r="3" spans="1:19" s="37" customFormat="1">
      <c r="A3" s="44" t="s">
        <v>18</v>
      </c>
      <c r="B3" s="45"/>
      <c r="C3" s="34"/>
      <c r="D3" s="34"/>
      <c r="E3" s="46"/>
      <c r="F3" s="47"/>
      <c r="G3" s="46"/>
      <c r="H3" s="34" t="str">
        <f>IF(D3="","",PV(G3/A1,F3*A1,-(E3*D3/A1))+D3/(1+(G3/A1))^(F3*A1))</f>
        <v/>
      </c>
      <c r="I3" s="34"/>
      <c r="J3" s="34"/>
      <c r="K3" s="47" t="str">
        <f>IF(D3="","",(((E3*D3/A1)*(((1+(G3/A1))^((F3*A1)+1)-(1+(G3/A1))-G3*F3)/((G3/A1)^2*(1+(G3/A1))^(F3*A1)))+D3*(F3*A1)/(1+(G3/A1))^(F3*A1))/H3)/A1)</f>
        <v/>
      </c>
      <c r="L3" s="48"/>
      <c r="M3" s="48"/>
      <c r="O3" s="49" t="s">
        <v>43</v>
      </c>
      <c r="P3" s="49" t="s">
        <v>44</v>
      </c>
      <c r="Q3" s="49" t="s">
        <v>45</v>
      </c>
      <c r="R3" s="49" t="s">
        <v>46</v>
      </c>
      <c r="S3" s="49" t="s">
        <v>47</v>
      </c>
    </row>
    <row r="4" spans="1:19">
      <c r="A4" s="50"/>
      <c r="B4" s="51" t="s">
        <v>48</v>
      </c>
      <c r="C4" s="50"/>
      <c r="D4" s="52">
        <v>100</v>
      </c>
      <c r="E4" s="50"/>
      <c r="F4" s="50"/>
      <c r="G4" s="50"/>
      <c r="H4" s="50">
        <f>D4</f>
        <v>100</v>
      </c>
      <c r="I4" s="53"/>
      <c r="J4" s="53">
        <f>H4/$H$10</f>
        <v>9.2110143836340114E-2</v>
      </c>
      <c r="K4" s="54"/>
      <c r="O4" s="55">
        <v>1</v>
      </c>
      <c r="P4" s="106">
        <f>650*4%</f>
        <v>26</v>
      </c>
      <c r="Q4" s="107">
        <f>1/(1+$G$6)^O4</f>
        <v>0.95238095238095233</v>
      </c>
      <c r="R4" s="107">
        <f>P4*Q4</f>
        <v>24.761904761904759</v>
      </c>
      <c r="S4" s="107">
        <f>R4*O4</f>
        <v>24.761904761904759</v>
      </c>
    </row>
    <row r="5" spans="1:19">
      <c r="A5" s="50"/>
      <c r="B5" s="57" t="s">
        <v>49</v>
      </c>
      <c r="C5" s="50"/>
      <c r="D5" s="50"/>
      <c r="E5" s="58"/>
      <c r="F5" s="54"/>
      <c r="G5" s="58"/>
      <c r="H5" s="50" t="str">
        <f>IF(D5="","",PV(G5/A1,F5*A1,-(E5*D5/A1))+D5/(1+(G5/A1))^(F5*A1))</f>
        <v/>
      </c>
      <c r="I5" s="53"/>
      <c r="J5" s="53"/>
      <c r="K5" s="54" t="str">
        <f>IF(D5="","",(((E5*D5/A1)*(((1+(G5/A1))^((F5*A1)+1)-(1+(G5/A1))-G5*F5)/((G5/A1)^2*(1+(G5/A1))^(F5*A1)))+D5*(F5*A1)/(1+(G5/A1))^(F5*A1))/H5)/A1)</f>
        <v/>
      </c>
      <c r="L5" s="59" t="str">
        <f>IF(D5="","",+H5/H$10*K5)</f>
        <v/>
      </c>
      <c r="M5" s="59" t="str">
        <f>IF(D5="","",+G5*H5/A1)</f>
        <v/>
      </c>
      <c r="O5" s="56">
        <v>2</v>
      </c>
      <c r="P5" s="106">
        <f t="shared" ref="P5" si="0">650*4%</f>
        <v>26</v>
      </c>
      <c r="Q5" s="107">
        <f t="shared" ref="Q5:Q6" si="1">1/(1+$G$6)^O5</f>
        <v>0.90702947845804982</v>
      </c>
      <c r="R5" s="107">
        <f t="shared" ref="R5:R6" si="2">P5*Q5</f>
        <v>23.582766439909296</v>
      </c>
      <c r="S5" s="107">
        <f t="shared" ref="S5:S6" si="3">R5*O5</f>
        <v>47.165532879818592</v>
      </c>
    </row>
    <row r="6" spans="1:19">
      <c r="A6" s="52"/>
      <c r="B6" s="52"/>
      <c r="C6" s="60" t="s">
        <v>50</v>
      </c>
      <c r="D6" s="52">
        <v>650</v>
      </c>
      <c r="E6" s="61">
        <v>0.04</v>
      </c>
      <c r="F6" s="62">
        <v>3</v>
      </c>
      <c r="G6" s="61">
        <v>0.05</v>
      </c>
      <c r="H6" s="104">
        <f>IF(D6="","",PV(G6/A1,F6*A1,-(E6*D6/A1))+D6/(1+(G6/A1))^(F6*A1))</f>
        <v>632.29888780909187</v>
      </c>
      <c r="I6" s="53">
        <f>H6/$H$8</f>
        <v>0.71393221262512752</v>
      </c>
      <c r="J6" s="53">
        <f>H6/$H$10</f>
        <v>0.58241141503653338</v>
      </c>
      <c r="K6" s="54">
        <f>R9</f>
        <v>2.8843797176094483</v>
      </c>
      <c r="L6" s="59"/>
      <c r="M6" s="59"/>
      <c r="O6" s="56">
        <v>3</v>
      </c>
      <c r="P6" s="106">
        <f>(650*4%)+D6</f>
        <v>676</v>
      </c>
      <c r="Q6" s="107">
        <f t="shared" si="1"/>
        <v>0.86383759853147601</v>
      </c>
      <c r="R6" s="107">
        <f t="shared" si="2"/>
        <v>583.95421660727777</v>
      </c>
      <c r="S6" s="107">
        <f t="shared" si="3"/>
        <v>1751.8626498218332</v>
      </c>
    </row>
    <row r="7" spans="1:19">
      <c r="A7" s="52"/>
      <c r="B7" s="52"/>
      <c r="C7" s="60" t="s">
        <v>51</v>
      </c>
      <c r="D7" s="52">
        <v>250</v>
      </c>
      <c r="E7" s="61">
        <v>3.5000000000000003E-2</v>
      </c>
      <c r="F7" s="62">
        <v>6</v>
      </c>
      <c r="G7" s="61">
        <v>3.2500000000000001E-2</v>
      </c>
      <c r="H7" s="104">
        <f>IF(D7="","",PV(G7/A1,F7*A1,-(E7*D7/A1))+D7/(1+(G7/A1))^(F7*A1))</f>
        <v>253.35786871143262</v>
      </c>
      <c r="I7" s="53">
        <f>H7/$H$8</f>
        <v>0.28606778737487248</v>
      </c>
      <c r="J7" s="53">
        <f>H7/$H$10</f>
        <v>0.23336829729078634</v>
      </c>
      <c r="K7" s="54">
        <f>R20</f>
        <v>5.5188310819131576</v>
      </c>
      <c r="L7" s="59"/>
      <c r="M7" s="59"/>
    </row>
    <row r="8" spans="1:19">
      <c r="A8" s="50"/>
      <c r="B8" s="50"/>
      <c r="C8" s="57" t="s">
        <v>52</v>
      </c>
      <c r="D8" s="63">
        <f>SUM(D5:D7)</f>
        <v>900</v>
      </c>
      <c r="E8" s="58"/>
      <c r="F8" s="64"/>
      <c r="G8" s="65">
        <f>SUMPRODUCT(G6:G7,I6:I7)</f>
        <v>4.4993813720939732E-2</v>
      </c>
      <c r="H8" s="105">
        <f>SUM(H5:H7)</f>
        <v>885.65675652052448</v>
      </c>
      <c r="I8" s="53">
        <f>I7+I6</f>
        <v>1</v>
      </c>
      <c r="J8" s="53"/>
      <c r="K8" s="54"/>
      <c r="L8" s="59"/>
      <c r="M8" s="59"/>
      <c r="Q8" s="108"/>
      <c r="R8" s="108">
        <f>SUM(R4:R7)</f>
        <v>632.29888780909187</v>
      </c>
      <c r="S8" s="108">
        <f>SUM(S4:S6)</f>
        <v>1823.7900874635566</v>
      </c>
    </row>
    <row r="9" spans="1:19">
      <c r="A9" s="52"/>
      <c r="B9" s="52"/>
      <c r="C9" s="66" t="s">
        <v>53</v>
      </c>
      <c r="D9" s="52">
        <v>100</v>
      </c>
      <c r="E9" s="58"/>
      <c r="F9" s="64"/>
      <c r="G9" s="58"/>
      <c r="H9" s="50">
        <f>D9</f>
        <v>100</v>
      </c>
      <c r="I9" s="53"/>
      <c r="J9" s="53"/>
      <c r="K9" s="54"/>
      <c r="L9" s="59"/>
      <c r="M9" s="59"/>
      <c r="Q9" s="109" t="s">
        <v>54</v>
      </c>
      <c r="R9" s="109">
        <f>S8/R8</f>
        <v>2.8843797176094483</v>
      </c>
      <c r="S9" s="108"/>
    </row>
    <row r="10" spans="1:19" ht="17" thickBot="1">
      <c r="A10" s="50"/>
      <c r="B10" s="57" t="s">
        <v>55</v>
      </c>
      <c r="C10" s="50"/>
      <c r="D10" s="67">
        <f>SUM(D4,D8,D9)</f>
        <v>1100</v>
      </c>
      <c r="E10" s="58"/>
      <c r="F10" s="64"/>
      <c r="G10" s="68">
        <f>IF(H10=0,NA(),+G8*(H8/H10))</f>
        <v>3.6705040413777222E-2</v>
      </c>
      <c r="H10" s="67">
        <f>SUM(H4,H8,H9)</f>
        <v>1085.6567565205246</v>
      </c>
      <c r="I10" s="69">
        <f>SUM(I4:I7)</f>
        <v>1</v>
      </c>
      <c r="J10" s="69">
        <f>SUM(J4:J9)</f>
        <v>0.9078898561636598</v>
      </c>
      <c r="K10" s="54">
        <f>SUMPRODUCT(K4:K7,J4:J7)</f>
        <v>2.9678158854571373</v>
      </c>
      <c r="L10" s="59"/>
      <c r="M10" s="59"/>
    </row>
    <row r="11" spans="1:19" ht="22.25" customHeight="1" thickTop="1">
      <c r="A11" s="50"/>
      <c r="B11" s="57"/>
      <c r="C11" s="50"/>
      <c r="D11" s="50"/>
      <c r="E11" s="58"/>
      <c r="F11" s="64"/>
      <c r="G11" s="58" t="s">
        <v>56</v>
      </c>
      <c r="H11" s="50"/>
      <c r="I11" s="50"/>
      <c r="J11" s="50"/>
      <c r="K11" s="49" t="s">
        <v>57</v>
      </c>
      <c r="L11" s="70"/>
      <c r="M11" s="70"/>
      <c r="O11" s="49" t="s">
        <v>58</v>
      </c>
    </row>
    <row r="12" spans="1:19" s="37" customFormat="1">
      <c r="A12" s="44" t="s">
        <v>21</v>
      </c>
      <c r="B12" s="34"/>
      <c r="C12" s="34"/>
      <c r="D12" s="34"/>
      <c r="E12" s="46"/>
      <c r="F12" s="71"/>
      <c r="G12" s="46"/>
      <c r="H12" s="34" t="str">
        <f>IF(D12="","",PV(G12/A1,F12*A1,-(E12*D12/A1))+D12/(1+(G12/A1))^(F12*A1))</f>
        <v/>
      </c>
      <c r="I12" s="34"/>
      <c r="J12" s="34"/>
      <c r="K12" s="47" t="str">
        <f>IF(D12="","",(((E12*D12/A1)*(((1+(G12/A1))^((F12*A1)+1)-(1+(G12/A1))-G12*F12)/((G12/A1)^2*(1+(G12/A1))^(F12*A1)))+D12*(F12*A1)/(1+(G12/A1))^(F12*A1))/H12)/A1)</f>
        <v/>
      </c>
      <c r="L12" s="48"/>
      <c r="M12" s="48"/>
      <c r="O12" s="107">
        <v>1</v>
      </c>
      <c r="P12" s="107">
        <f>D7*E7</f>
        <v>8.75</v>
      </c>
      <c r="Q12" s="107">
        <f>1/(1+$G$7)^O12</f>
        <v>0.96852300242130751</v>
      </c>
      <c r="R12" s="107">
        <f>P12*Q12</f>
        <v>8.4745762711864412</v>
      </c>
      <c r="S12" s="107">
        <f>R12*O12</f>
        <v>8.4745762711864412</v>
      </c>
    </row>
    <row r="13" spans="1:19">
      <c r="A13" s="50"/>
      <c r="B13" s="57" t="s">
        <v>59</v>
      </c>
      <c r="C13" s="50"/>
      <c r="D13" s="50"/>
      <c r="E13" s="58"/>
      <c r="F13" s="64"/>
      <c r="G13" s="58"/>
      <c r="H13" s="50" t="str">
        <f>IF(D13="","",PV(G13/A1,F13*A1,-(E13*D13/A1))+D13/(1+(G13/A1))^(F13*A1))</f>
        <v/>
      </c>
      <c r="I13" s="69"/>
      <c r="J13" s="69"/>
      <c r="K13" s="54" t="str">
        <f>IF(D13="","",(((E13*D13/A1)*(((1+(G13/A1))^((F13*A1)+1)-(1+(G13/A1))-G13*F13)/((G13/A1)^2*(1+(G13/A1))^(F13*A1)))+D13*(F13*A1)/(1+(G13/A1))^(F13*A1))/H13)/A1)</f>
        <v/>
      </c>
      <c r="L13" s="70" t="str">
        <f>IF(D13="","",+H13/H$18*K13)</f>
        <v/>
      </c>
      <c r="M13" s="49" t="str">
        <f>IF(D13="","",+G13*H13/H$16)</f>
        <v/>
      </c>
      <c r="O13" s="106">
        <v>2</v>
      </c>
      <c r="P13" s="106">
        <f>P12</f>
        <v>8.75</v>
      </c>
      <c r="Q13" s="107">
        <f t="shared" ref="Q13:Q17" si="4">1/(1+$G$7)^O13</f>
        <v>0.93803680621918406</v>
      </c>
      <c r="R13" s="107">
        <f t="shared" ref="R13:R17" si="5">P13*Q13</f>
        <v>8.2078220544178606</v>
      </c>
      <c r="S13" s="107">
        <f t="shared" ref="S13:S17" si="6">R13*O13</f>
        <v>16.415644108835721</v>
      </c>
    </row>
    <row r="14" spans="1:19">
      <c r="A14" s="52"/>
      <c r="B14" s="52"/>
      <c r="C14" s="60" t="s">
        <v>60</v>
      </c>
      <c r="D14" s="52">
        <v>620</v>
      </c>
      <c r="E14" s="61">
        <v>1.2500000000000001E-2</v>
      </c>
      <c r="F14" s="62">
        <v>1</v>
      </c>
      <c r="G14" s="61">
        <v>1.2500000000000001E-2</v>
      </c>
      <c r="H14" s="50">
        <f>IF(D14="","",PV(G14/A1,F14*A1,-(E14*D14/A1))+D14/(1+(G14/A1))^(F14*A1))</f>
        <v>620</v>
      </c>
      <c r="I14" s="53">
        <f>H14/$H$18</f>
        <v>0.67391304347826086</v>
      </c>
      <c r="J14" s="69"/>
      <c r="K14" s="54">
        <f>R26</f>
        <v>1</v>
      </c>
      <c r="L14" s="59"/>
      <c r="M14" s="59"/>
      <c r="O14" s="106">
        <v>3</v>
      </c>
      <c r="P14" s="106">
        <f t="shared" ref="P14:P16" si="7">P13</f>
        <v>8.75</v>
      </c>
      <c r="Q14" s="107">
        <f t="shared" si="4"/>
        <v>0.90851022394109848</v>
      </c>
      <c r="R14" s="107">
        <f t="shared" si="5"/>
        <v>7.949464459484612</v>
      </c>
      <c r="S14" s="107">
        <f t="shared" si="6"/>
        <v>23.848393378453835</v>
      </c>
    </row>
    <row r="15" spans="1:19">
      <c r="A15" s="52"/>
      <c r="B15" s="52"/>
      <c r="C15" s="60" t="s">
        <v>61</v>
      </c>
      <c r="D15" s="52">
        <v>300</v>
      </c>
      <c r="E15" s="61">
        <v>2.6499999999999999E-2</v>
      </c>
      <c r="F15" s="62">
        <v>3</v>
      </c>
      <c r="G15" s="61">
        <v>2.6499999999999999E-2</v>
      </c>
      <c r="H15" s="50">
        <f>IF(D15="","",PV(G15/A1,F15*A1,-(E15*D15/A1))+D15/(1+(G15/A1))^(F15*A1))</f>
        <v>300</v>
      </c>
      <c r="I15" s="53">
        <f>H15/$H$18</f>
        <v>0.32608695652173914</v>
      </c>
      <c r="J15" s="69"/>
      <c r="K15" s="54">
        <f>R33</f>
        <v>2.9232188220154227</v>
      </c>
      <c r="L15" s="59"/>
      <c r="M15" s="59"/>
      <c r="O15" s="106">
        <v>4</v>
      </c>
      <c r="P15" s="106">
        <f t="shared" si="7"/>
        <v>8.75</v>
      </c>
      <c r="Q15" s="107">
        <f t="shared" si="4"/>
        <v>0.87991304982188712</v>
      </c>
      <c r="R15" s="107">
        <f t="shared" si="5"/>
        <v>7.6992391859415124</v>
      </c>
      <c r="S15" s="107">
        <f t="shared" si="6"/>
        <v>30.796956743766049</v>
      </c>
    </row>
    <row r="16" spans="1:19">
      <c r="A16" s="50"/>
      <c r="B16" s="50"/>
      <c r="C16" s="57" t="s">
        <v>62</v>
      </c>
      <c r="D16" s="63">
        <f>SUM(D14:D15)</f>
        <v>920</v>
      </c>
      <c r="E16" s="58"/>
      <c r="F16" s="64"/>
      <c r="G16" s="72">
        <f>SUMPRODUCT(G14:G15,I14:I15)</f>
        <v>1.7065217391304347E-2</v>
      </c>
      <c r="H16" s="63">
        <f>SUM(H14:H15)</f>
        <v>920</v>
      </c>
      <c r="I16" s="73"/>
      <c r="J16" s="74"/>
      <c r="K16" s="54"/>
      <c r="L16" s="59"/>
      <c r="M16" s="59"/>
      <c r="O16" s="106">
        <v>5</v>
      </c>
      <c r="P16" s="106">
        <f t="shared" si="7"/>
        <v>8.75</v>
      </c>
      <c r="Q16" s="107">
        <f t="shared" si="4"/>
        <v>0.85221602888318371</v>
      </c>
      <c r="R16" s="107">
        <f t="shared" si="5"/>
        <v>7.4568902527278578</v>
      </c>
      <c r="S16" s="107">
        <f t="shared" si="6"/>
        <v>37.284451263639291</v>
      </c>
    </row>
    <row r="17" spans="1:19">
      <c r="A17" s="50"/>
      <c r="B17" s="50"/>
      <c r="C17" s="57" t="s">
        <v>63</v>
      </c>
      <c r="D17" s="52">
        <v>0</v>
      </c>
      <c r="E17" s="58"/>
      <c r="F17" s="54"/>
      <c r="G17" s="58"/>
      <c r="H17" s="52">
        <v>0</v>
      </c>
      <c r="I17" s="53"/>
      <c r="J17" s="69"/>
      <c r="K17" s="54"/>
      <c r="L17" s="59"/>
      <c r="M17" s="59"/>
      <c r="O17" s="106">
        <v>6</v>
      </c>
      <c r="P17" s="106">
        <f>D7+P16</f>
        <v>258.75</v>
      </c>
      <c r="Q17" s="107">
        <f t="shared" si="4"/>
        <v>0.82539082700550481</v>
      </c>
      <c r="R17" s="107">
        <f t="shared" si="5"/>
        <v>213.56987648767438</v>
      </c>
      <c r="S17" s="107">
        <f t="shared" si="6"/>
        <v>1281.4192589260463</v>
      </c>
    </row>
    <row r="18" spans="1:19" ht="17" thickBot="1">
      <c r="A18" s="50"/>
      <c r="B18" s="50"/>
      <c r="C18" s="57" t="s">
        <v>64</v>
      </c>
      <c r="D18" s="67">
        <f>D16+D17</f>
        <v>920</v>
      </c>
      <c r="E18" s="58"/>
      <c r="F18" s="54"/>
      <c r="G18" s="58">
        <f>IF(H18=0,NA(),+G16*(H16/H18))</f>
        <v>1.7065217391304347E-2</v>
      </c>
      <c r="H18" s="67">
        <f>H16+H17</f>
        <v>920</v>
      </c>
      <c r="I18" s="74">
        <f>SUM(I14:I17)</f>
        <v>1</v>
      </c>
      <c r="J18" s="74"/>
      <c r="K18" s="54">
        <f>SUMPRODUCT(I14:I17,K14:K17)</f>
        <v>1.6271365723963336</v>
      </c>
      <c r="L18" s="59"/>
      <c r="M18" s="59"/>
    </row>
    <row r="19" spans="1:19" ht="17" thickTop="1">
      <c r="A19" s="75"/>
      <c r="B19" s="57" t="s">
        <v>65</v>
      </c>
      <c r="C19" s="52"/>
      <c r="D19" s="52">
        <v>80</v>
      </c>
      <c r="E19" s="50"/>
      <c r="F19" s="50"/>
      <c r="G19" s="50"/>
      <c r="H19" s="52">
        <f>H10-H18</f>
        <v>165.6567565205246</v>
      </c>
      <c r="I19" s="69"/>
      <c r="J19" s="69"/>
      <c r="K19" s="54"/>
      <c r="L19" s="59"/>
      <c r="M19" s="59"/>
      <c r="Q19" s="108"/>
      <c r="R19" s="108">
        <f>SUM(R12:R17)</f>
        <v>253.35786871143267</v>
      </c>
      <c r="S19" s="108">
        <f>SUM(S12:S17)</f>
        <v>1398.2392806919277</v>
      </c>
    </row>
    <row r="20" spans="1:19" ht="17" thickBot="1">
      <c r="A20" s="50"/>
      <c r="B20" s="50"/>
      <c r="C20" s="57" t="s">
        <v>66</v>
      </c>
      <c r="D20" s="67">
        <f>D18+D19</f>
        <v>1000</v>
      </c>
      <c r="E20" s="50"/>
      <c r="F20" s="50"/>
      <c r="G20" s="50"/>
      <c r="H20" s="67">
        <f>H18+H19</f>
        <v>1085.6567565205246</v>
      </c>
      <c r="J20" s="74"/>
      <c r="K20" s="54"/>
      <c r="L20" s="70"/>
      <c r="M20" s="70"/>
      <c r="Q20" s="109" t="s">
        <v>54</v>
      </c>
      <c r="R20" s="109">
        <f>S19/R19</f>
        <v>5.5188310819131576</v>
      </c>
      <c r="S20" s="108"/>
    </row>
    <row r="21" spans="1:19" ht="17" thickTop="1">
      <c r="O21" s="49" t="s">
        <v>21</v>
      </c>
    </row>
    <row r="22" spans="1:19">
      <c r="A22" s="76" t="s">
        <v>67</v>
      </c>
      <c r="H22" s="77"/>
      <c r="I22" s="77"/>
      <c r="J22" s="77"/>
      <c r="O22" s="49" t="s">
        <v>68</v>
      </c>
    </row>
    <row r="23" spans="1:19">
      <c r="B23" s="78" t="s">
        <v>69</v>
      </c>
      <c r="H23" s="79">
        <f>K10</f>
        <v>2.9678158854571373</v>
      </c>
      <c r="I23" s="80"/>
      <c r="J23" s="80"/>
      <c r="O23" s="106">
        <v>1</v>
      </c>
      <c r="P23" s="106">
        <f>(D14*E14)+D14</f>
        <v>627.75</v>
      </c>
      <c r="Q23" s="106">
        <f>1/(1+E14)^O23</f>
        <v>0.98765432098765438</v>
      </c>
      <c r="R23" s="106">
        <f>P23*Q23</f>
        <v>620</v>
      </c>
      <c r="S23" s="106">
        <f>R23*O23</f>
        <v>620</v>
      </c>
    </row>
    <row r="24" spans="1:19">
      <c r="B24" s="78" t="s">
        <v>70</v>
      </c>
      <c r="H24" s="79">
        <f>+K18</f>
        <v>1.6271365723963336</v>
      </c>
      <c r="I24" s="80"/>
      <c r="J24" s="80"/>
    </row>
    <row r="25" spans="1:19">
      <c r="B25" s="78" t="s">
        <v>71</v>
      </c>
      <c r="H25" s="79">
        <f>H18/H10</f>
        <v>0.84741332329432906</v>
      </c>
      <c r="I25" s="80"/>
      <c r="J25" s="80"/>
      <c r="Q25" s="108"/>
      <c r="R25" s="108">
        <f>R23</f>
        <v>620</v>
      </c>
      <c r="S25" s="108">
        <f>S23</f>
        <v>620</v>
      </c>
    </row>
    <row r="26" spans="1:19">
      <c r="H26" s="80"/>
      <c r="I26" s="80"/>
      <c r="J26" s="80"/>
      <c r="Q26" s="109" t="s">
        <v>54</v>
      </c>
      <c r="R26" s="109">
        <f>S25/R25</f>
        <v>1</v>
      </c>
      <c r="S26" s="108"/>
    </row>
    <row r="27" spans="1:19">
      <c r="B27" s="78" t="s">
        <v>72</v>
      </c>
      <c r="H27" s="79">
        <f>IF(H25=0,NA(),+H23-H24*H25)</f>
        <v>1.5889586751890166</v>
      </c>
      <c r="I27" s="80"/>
      <c r="J27" s="80"/>
      <c r="O27" s="49" t="s">
        <v>73</v>
      </c>
    </row>
    <row r="28" spans="1:19">
      <c r="B28" s="78" t="s">
        <v>74</v>
      </c>
      <c r="H28" s="79">
        <f>H23-H27</f>
        <v>1.3788572102681207</v>
      </c>
      <c r="I28" s="80"/>
      <c r="J28" s="80"/>
      <c r="O28" s="106">
        <v>1</v>
      </c>
      <c r="P28" s="106">
        <f>D15*E15</f>
        <v>7.95</v>
      </c>
      <c r="Q28" s="106">
        <f>1/(1+$E$15)^O28</f>
        <v>0.97418412079883099</v>
      </c>
      <c r="R28" s="106">
        <f>P28*Q28</f>
        <v>7.7447637603507067</v>
      </c>
      <c r="S28" s="106">
        <f>R28*O28</f>
        <v>7.7447637603507067</v>
      </c>
    </row>
    <row r="29" spans="1:19">
      <c r="O29" s="106">
        <v>2</v>
      </c>
      <c r="P29" s="106">
        <f>P28</f>
        <v>7.95</v>
      </c>
      <c r="Q29" s="106">
        <f t="shared" ref="Q29:Q30" si="8">1/(1+$E$15)^O29</f>
        <v>0.94903470121659139</v>
      </c>
      <c r="R29" s="106">
        <f t="shared" ref="R29:R30" si="9">P29*Q29</f>
        <v>7.5448258746719015</v>
      </c>
      <c r="S29" s="106">
        <f t="shared" ref="S29:S30" si="10">R29*O29</f>
        <v>15.089651749343803</v>
      </c>
    </row>
    <row r="30" spans="1:19">
      <c r="A30" s="76" t="s">
        <v>75</v>
      </c>
      <c r="O30" s="106">
        <v>3</v>
      </c>
      <c r="P30" s="106">
        <f>P29+D15</f>
        <v>307.95</v>
      </c>
      <c r="Q30" s="106">
        <f t="shared" si="8"/>
        <v>0.92453453601226643</v>
      </c>
      <c r="R30" s="106">
        <f t="shared" si="9"/>
        <v>284.71041036497746</v>
      </c>
      <c r="S30" s="106">
        <f t="shared" si="10"/>
        <v>854.13123109493245</v>
      </c>
    </row>
    <row r="31" spans="1:19">
      <c r="B31" s="78" t="s">
        <v>76</v>
      </c>
      <c r="H31" s="81">
        <v>0.01</v>
      </c>
      <c r="I31" s="81"/>
      <c r="J31" s="81"/>
    </row>
    <row r="32" spans="1:19">
      <c r="B32" s="78" t="s">
        <v>77</v>
      </c>
      <c r="H32" s="82">
        <f>G8</f>
        <v>4.4993813720939732E-2</v>
      </c>
      <c r="I32" s="83"/>
      <c r="J32" s="83"/>
      <c r="Q32" s="108"/>
      <c r="R32" s="108">
        <f>SUM(R28:R30)</f>
        <v>300.00000000000006</v>
      </c>
      <c r="S32" s="108">
        <f>SUM(S28:S30)</f>
        <v>876.96564660462695</v>
      </c>
    </row>
    <row r="33" spans="1:19">
      <c r="B33" s="78" t="s">
        <v>78</v>
      </c>
      <c r="H33" s="84">
        <f>G16</f>
        <v>1.7065217391304347E-2</v>
      </c>
      <c r="I33" s="83"/>
      <c r="J33" s="83"/>
      <c r="Q33" s="109" t="s">
        <v>79</v>
      </c>
      <c r="R33" s="109">
        <f>S32/R32</f>
        <v>2.9232188220154227</v>
      </c>
      <c r="S33" s="108"/>
    </row>
    <row r="35" spans="1:19">
      <c r="B35" s="78" t="s">
        <v>80</v>
      </c>
      <c r="H35" s="85">
        <f>(-H23)*(H31/(1+H32))*H10</f>
        <v>-30.832999447936547</v>
      </c>
      <c r="I35" s="86"/>
      <c r="J35" s="86"/>
    </row>
    <row r="36" spans="1:19">
      <c r="B36" s="78" t="s">
        <v>81</v>
      </c>
      <c r="H36" s="85">
        <f>(-H24)*(H31/(1+H33))*H18</f>
        <v>-14.718482364820526</v>
      </c>
      <c r="I36" s="86"/>
      <c r="J36" s="86"/>
    </row>
    <row r="37" spans="1:19">
      <c r="B37" s="78" t="s">
        <v>82</v>
      </c>
      <c r="H37" s="85">
        <f>+H35-H36</f>
        <v>-16.11451708311602</v>
      </c>
      <c r="I37" s="86"/>
      <c r="J37" s="86"/>
    </row>
    <row r="39" spans="1:19">
      <c r="B39" s="78" t="s">
        <v>83</v>
      </c>
      <c r="H39" s="85">
        <f>(-H27)*(H31/(1+H32))*H10</f>
        <v>-16.507884533865067</v>
      </c>
      <c r="I39" s="86"/>
      <c r="J39" s="86"/>
    </row>
    <row r="40" spans="1:19">
      <c r="C40" s="78" t="s">
        <v>84</v>
      </c>
    </row>
    <row r="41" spans="1:19">
      <c r="A41" s="77"/>
      <c r="B41" s="87">
        <v>1</v>
      </c>
      <c r="C41" s="77"/>
      <c r="D41" s="77"/>
      <c r="E41" s="77"/>
      <c r="F41" s="77"/>
      <c r="G41" s="77"/>
      <c r="H41" s="77"/>
      <c r="I41" s="77"/>
      <c r="J41" s="7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8AF1-703D-4EB0-8062-72BEE56A5F96}">
  <dimension ref="A1:H44"/>
  <sheetViews>
    <sheetView workbookViewId="0">
      <selection activeCell="D10" sqref="D10"/>
    </sheetView>
  </sheetViews>
  <sheetFormatPr baseColWidth="10" defaultColWidth="8.83203125" defaultRowHeight="15"/>
  <cols>
    <col min="1" max="1" width="32.1640625" bestFit="1" customWidth="1"/>
    <col min="2" max="2" width="23.83203125" bestFit="1" customWidth="1"/>
    <col min="3" max="3" width="11.33203125" bestFit="1" customWidth="1"/>
    <col min="4" max="4" width="27.83203125" bestFit="1" customWidth="1"/>
    <col min="5" max="5" width="27.33203125" bestFit="1" customWidth="1"/>
    <col min="6" max="6" width="26.1640625" bestFit="1" customWidth="1"/>
    <col min="7" max="7" width="23.6640625" bestFit="1" customWidth="1"/>
    <col min="8" max="8" width="22.33203125" bestFit="1" customWidth="1"/>
  </cols>
  <sheetData>
    <row r="1" spans="1:8">
      <c r="A1" s="10" t="s">
        <v>85</v>
      </c>
      <c r="B1" s="10" t="s">
        <v>107</v>
      </c>
      <c r="C1" s="10" t="s">
        <v>108</v>
      </c>
      <c r="G1" t="s">
        <v>14</v>
      </c>
    </row>
    <row r="2" spans="1:8">
      <c r="B2" s="2" t="s">
        <v>0</v>
      </c>
      <c r="C2" t="s">
        <v>1</v>
      </c>
      <c r="D2" s="2" t="s">
        <v>2</v>
      </c>
      <c r="E2" t="s">
        <v>3</v>
      </c>
      <c r="F2" s="2" t="s">
        <v>4</v>
      </c>
      <c r="G2" t="s">
        <v>5</v>
      </c>
      <c r="H2" s="2" t="s">
        <v>6</v>
      </c>
    </row>
    <row r="3" spans="1:8">
      <c r="A3" t="s">
        <v>88</v>
      </c>
      <c r="B3" s="99">
        <f t="shared" ref="B3:B8" si="0">C25</f>
        <v>329997</v>
      </c>
      <c r="C3" s="88">
        <f t="shared" ref="C3:C8" si="1">B3/$B$14</f>
        <v>7.468661888791972E-2</v>
      </c>
      <c r="D3" s="103">
        <f>E25</f>
        <v>3.4999999999999996E-3</v>
      </c>
      <c r="E3" s="1">
        <v>0.05</v>
      </c>
      <c r="F3" s="5">
        <v>0.85</v>
      </c>
      <c r="G3" s="103">
        <f>(E3+D3)/F3</f>
        <v>6.294117647058825E-2</v>
      </c>
      <c r="H3" s="110">
        <f t="shared" ref="H3:H8" si="2">G3*C3</f>
        <v>4.7008636594161246E-3</v>
      </c>
    </row>
    <row r="4" spans="1:8">
      <c r="A4" t="s">
        <v>89</v>
      </c>
      <c r="B4" s="100">
        <f t="shared" si="0"/>
        <v>50792</v>
      </c>
      <c r="C4" s="88">
        <f t="shared" si="1"/>
        <v>1.1495506766895511E-2</v>
      </c>
      <c r="D4" s="103">
        <f t="shared" ref="D4:D13" si="3">E26</f>
        <v>8.199999999999999E-3</v>
      </c>
      <c r="E4" s="1">
        <v>0.04</v>
      </c>
      <c r="F4" s="5">
        <v>0.85</v>
      </c>
      <c r="G4" s="103">
        <f t="shared" ref="G4:G13" si="4">(E4+D4)/F4</f>
        <v>5.6705882352941175E-2</v>
      </c>
      <c r="H4" s="110">
        <f t="shared" si="2"/>
        <v>6.5186285431101604E-4</v>
      </c>
    </row>
    <row r="5" spans="1:8">
      <c r="A5" t="s">
        <v>90</v>
      </c>
      <c r="B5" s="100">
        <f t="shared" si="0"/>
        <v>623894</v>
      </c>
      <c r="C5" s="88">
        <f t="shared" si="1"/>
        <v>0.14120290003987848</v>
      </c>
      <c r="D5" s="103">
        <f t="shared" si="3"/>
        <v>1.9599999999999999E-2</v>
      </c>
      <c r="E5" s="1">
        <v>1.4999999999999999E-2</v>
      </c>
      <c r="F5" s="5">
        <v>0.97</v>
      </c>
      <c r="G5" s="103">
        <f t="shared" si="4"/>
        <v>3.5670103092783505E-2</v>
      </c>
      <c r="H5" s="110">
        <f t="shared" si="2"/>
        <v>5.0367220014224693E-3</v>
      </c>
    </row>
    <row r="6" spans="1:8">
      <c r="A6" t="s">
        <v>91</v>
      </c>
      <c r="B6" s="100">
        <f t="shared" si="0"/>
        <v>1864500</v>
      </c>
      <c r="C6" s="88">
        <f t="shared" si="1"/>
        <v>0.42198323292795481</v>
      </c>
      <c r="D6" s="103">
        <f t="shared" si="3"/>
        <v>3.3E-3</v>
      </c>
      <c r="E6" s="1">
        <v>1.2E-2</v>
      </c>
      <c r="F6" s="5">
        <v>0.98499999999999999</v>
      </c>
      <c r="G6" s="103">
        <f t="shared" si="4"/>
        <v>1.553299492385787E-2</v>
      </c>
      <c r="H6" s="110">
        <f t="shared" si="2"/>
        <v>6.5546634150230555E-3</v>
      </c>
    </row>
    <row r="7" spans="1:8">
      <c r="A7" t="s">
        <v>92</v>
      </c>
      <c r="B7" s="100">
        <f t="shared" si="0"/>
        <v>337308</v>
      </c>
      <c r="C7" s="88">
        <f t="shared" si="1"/>
        <v>7.6341282023310586E-2</v>
      </c>
      <c r="D7" s="103">
        <f t="shared" si="3"/>
        <v>2.01E-2</v>
      </c>
      <c r="E7" s="1">
        <v>1.4E-2</v>
      </c>
      <c r="F7" s="5">
        <v>0.99</v>
      </c>
      <c r="G7" s="103">
        <f t="shared" si="4"/>
        <v>3.4444444444444444E-2</v>
      </c>
      <c r="H7" s="110">
        <f t="shared" si="2"/>
        <v>2.6295330474695867E-3</v>
      </c>
    </row>
    <row r="8" spans="1:8">
      <c r="A8" t="s">
        <v>93</v>
      </c>
      <c r="B8" s="100">
        <f t="shared" si="0"/>
        <v>217808</v>
      </c>
      <c r="C8" s="88">
        <f t="shared" si="1"/>
        <v>4.9295427190974517E-2</v>
      </c>
      <c r="D8" s="103">
        <f t="shared" si="3"/>
        <v>1.84E-2</v>
      </c>
      <c r="E8" s="1">
        <v>3.0000000000000001E-3</v>
      </c>
      <c r="F8" s="5">
        <v>0.995</v>
      </c>
      <c r="G8" s="103">
        <f t="shared" si="4"/>
        <v>2.150753768844221E-2</v>
      </c>
      <c r="H8" s="110">
        <f t="shared" si="2"/>
        <v>1.0602232581777434E-3</v>
      </c>
    </row>
    <row r="9" spans="1:8">
      <c r="A9" t="s">
        <v>7</v>
      </c>
      <c r="B9" s="3">
        <f>SUM(B3:B8)</f>
        <v>3424299</v>
      </c>
      <c r="C9" s="88">
        <f>B9/$B$14</f>
        <v>0.77500496783693362</v>
      </c>
      <c r="D9" s="3"/>
      <c r="E9" s="1"/>
      <c r="F9" s="5"/>
      <c r="G9" s="5"/>
      <c r="H9" s="5"/>
    </row>
    <row r="10" spans="1:8">
      <c r="A10" t="s">
        <v>8</v>
      </c>
      <c r="B10" s="101">
        <f>C32</f>
        <v>118364</v>
      </c>
      <c r="C10" s="88">
        <f t="shared" ref="C10:C14" si="5">B10/$B$14</f>
        <v>2.6788749467570098E-2</v>
      </c>
      <c r="D10" s="103">
        <f t="shared" si="3"/>
        <v>1.1999999999999999E-3</v>
      </c>
      <c r="E10" s="1">
        <v>0</v>
      </c>
      <c r="F10" s="5">
        <v>1</v>
      </c>
      <c r="G10" s="103">
        <f t="shared" si="4"/>
        <v>1.1999999999999999E-3</v>
      </c>
      <c r="H10" s="110">
        <f>G10*C10</f>
        <v>3.2146499361084113E-5</v>
      </c>
    </row>
    <row r="11" spans="1:8">
      <c r="A11" t="s">
        <v>9</v>
      </c>
      <c r="B11" s="101">
        <f>C33</f>
        <v>416929</v>
      </c>
      <c r="C11" s="88">
        <f t="shared" si="5"/>
        <v>9.4361516396577777E-2</v>
      </c>
      <c r="D11" s="103">
        <f t="shared" si="3"/>
        <v>2.1899999999999999E-2</v>
      </c>
      <c r="E11" s="1">
        <v>0</v>
      </c>
      <c r="F11" s="5">
        <v>0.6</v>
      </c>
      <c r="G11" s="103">
        <f t="shared" si="4"/>
        <v>3.6499999999999998E-2</v>
      </c>
      <c r="H11" s="110">
        <f>G11*C11</f>
        <v>3.4441953484750888E-3</v>
      </c>
    </row>
    <row r="12" spans="1:8">
      <c r="A12" t="s">
        <v>10</v>
      </c>
      <c r="B12" s="4">
        <f>B9+SUM(B10:B11)</f>
        <v>3959592</v>
      </c>
      <c r="C12" s="88">
        <f t="shared" si="5"/>
        <v>0.89615523370108152</v>
      </c>
      <c r="D12" s="3"/>
      <c r="E12" s="1"/>
      <c r="F12" s="6"/>
      <c r="G12" s="6"/>
      <c r="H12" s="6"/>
    </row>
    <row r="13" spans="1:8">
      <c r="A13" t="s">
        <v>11</v>
      </c>
      <c r="B13" s="102">
        <f>C35</f>
        <v>458830</v>
      </c>
      <c r="C13" s="88">
        <f t="shared" si="5"/>
        <v>0.10384476629891848</v>
      </c>
      <c r="D13" s="103">
        <f t="shared" si="3"/>
        <v>0.11</v>
      </c>
      <c r="E13" s="1"/>
      <c r="F13" s="5">
        <v>0.96</v>
      </c>
      <c r="G13" s="103">
        <f t="shared" si="4"/>
        <v>0.11458333333333334</v>
      </c>
      <c r="H13" s="110">
        <f>G13*C13</f>
        <v>1.1898879471751077E-2</v>
      </c>
    </row>
    <row r="14" spans="1:8">
      <c r="A14" t="s">
        <v>12</v>
      </c>
      <c r="B14" s="4">
        <f>B12+B13</f>
        <v>4418422</v>
      </c>
      <c r="C14" s="88">
        <f t="shared" si="5"/>
        <v>1</v>
      </c>
      <c r="D14" s="3"/>
      <c r="E14" s="1"/>
      <c r="F14" s="5"/>
      <c r="G14" s="5"/>
      <c r="H14" s="8"/>
    </row>
    <row r="15" spans="1:8">
      <c r="A15" t="s">
        <v>13</v>
      </c>
      <c r="G15" s="5"/>
      <c r="H15" s="8">
        <f>SUMPRODUCT(G3:G13,C3:C13)</f>
        <v>3.6009089555407242E-2</v>
      </c>
    </row>
    <row r="21" spans="1:7">
      <c r="A21" t="s">
        <v>86</v>
      </c>
    </row>
    <row r="23" spans="1:7">
      <c r="C23" s="89">
        <v>44196</v>
      </c>
    </row>
    <row r="24" spans="1:7">
      <c r="A24" t="s">
        <v>87</v>
      </c>
      <c r="E24" s="93" t="s">
        <v>106</v>
      </c>
    </row>
    <row r="25" spans="1:7">
      <c r="A25" t="s">
        <v>88</v>
      </c>
      <c r="C25" s="90">
        <v>329997</v>
      </c>
      <c r="D25" t="s">
        <v>100</v>
      </c>
      <c r="E25" s="93">
        <v>3.4999999999999996E-3</v>
      </c>
      <c r="F25" s="7"/>
    </row>
    <row r="26" spans="1:7">
      <c r="A26" t="s">
        <v>89</v>
      </c>
      <c r="C26" s="90">
        <v>50792</v>
      </c>
      <c r="D26" t="s">
        <v>99</v>
      </c>
      <c r="E26" s="93">
        <v>8.199999999999999E-3</v>
      </c>
      <c r="F26" s="7"/>
    </row>
    <row r="27" spans="1:7">
      <c r="A27" t="s">
        <v>90</v>
      </c>
      <c r="C27" s="90">
        <v>623894</v>
      </c>
      <c r="D27" t="s">
        <v>102</v>
      </c>
      <c r="E27" s="93">
        <v>1.9599999999999999E-2</v>
      </c>
      <c r="F27" s="7"/>
    </row>
    <row r="28" spans="1:7">
      <c r="A28" t="s">
        <v>91</v>
      </c>
      <c r="C28" s="90">
        <v>1864500</v>
      </c>
      <c r="D28" t="s">
        <v>101</v>
      </c>
      <c r="E28" s="93">
        <v>3.3E-3</v>
      </c>
      <c r="F28" s="7"/>
    </row>
    <row r="29" spans="1:7">
      <c r="A29" t="s">
        <v>92</v>
      </c>
      <c r="C29" s="90">
        <v>337308</v>
      </c>
      <c r="D29" t="s">
        <v>102</v>
      </c>
      <c r="E29" s="93">
        <v>2.01E-2</v>
      </c>
      <c r="F29" s="7"/>
    </row>
    <row r="30" spans="1:7">
      <c r="A30" s="91" t="s">
        <v>93</v>
      </c>
      <c r="B30" s="91"/>
      <c r="C30" s="92">
        <v>217808</v>
      </c>
      <c r="D30" t="s">
        <v>105</v>
      </c>
      <c r="E30" s="93">
        <v>1.84E-2</v>
      </c>
      <c r="F30" s="7"/>
    </row>
    <row r="31" spans="1:7">
      <c r="A31" t="s">
        <v>94</v>
      </c>
      <c r="C31" s="90">
        <v>3424299</v>
      </c>
      <c r="E31" s="93"/>
      <c r="F31" s="7"/>
    </row>
    <row r="32" spans="1:7">
      <c r="A32" t="s">
        <v>95</v>
      </c>
      <c r="C32" s="90">
        <v>118364</v>
      </c>
      <c r="D32" t="s">
        <v>103</v>
      </c>
      <c r="E32" s="93">
        <v>1.1999999999999999E-3</v>
      </c>
      <c r="F32" s="7"/>
      <c r="G32" s="7"/>
    </row>
    <row r="33" spans="1:7">
      <c r="A33" s="91" t="s">
        <v>9</v>
      </c>
      <c r="B33" s="91"/>
      <c r="C33" s="92">
        <v>416929</v>
      </c>
      <c r="D33" t="s">
        <v>104</v>
      </c>
      <c r="E33" s="93">
        <v>2.1899999999999999E-2</v>
      </c>
      <c r="F33" s="7"/>
    </row>
    <row r="34" spans="1:7">
      <c r="A34" s="95" t="s">
        <v>96</v>
      </c>
      <c r="B34" s="95"/>
      <c r="C34" s="96">
        <v>3959592</v>
      </c>
    </row>
    <row r="35" spans="1:7">
      <c r="A35" s="95" t="s">
        <v>97</v>
      </c>
      <c r="B35" s="95"/>
      <c r="C35" s="96">
        <v>458830</v>
      </c>
      <c r="D35" t="s">
        <v>11</v>
      </c>
      <c r="E35" s="97">
        <v>0.11</v>
      </c>
      <c r="G35" s="94"/>
    </row>
    <row r="36" spans="1:7">
      <c r="A36" t="s">
        <v>98</v>
      </c>
      <c r="C36" s="90">
        <v>4418422</v>
      </c>
    </row>
    <row r="38" spans="1:7">
      <c r="C38" s="90"/>
      <c r="E38" s="93"/>
      <c r="F38" s="7"/>
    </row>
    <row r="39" spans="1:7">
      <c r="C39" s="90"/>
      <c r="E39" s="93"/>
      <c r="F39" s="7"/>
    </row>
    <row r="40" spans="1:7">
      <c r="E40" s="93"/>
      <c r="F40" s="7"/>
    </row>
    <row r="41" spans="1:7">
      <c r="C41" s="90"/>
      <c r="E41" s="93"/>
      <c r="F41" s="7"/>
    </row>
    <row r="43" spans="1:7">
      <c r="C43" s="90"/>
      <c r="E43" s="93"/>
      <c r="F43" s="7"/>
    </row>
    <row r="44" spans="1:7">
      <c r="G44" s="7">
        <f>SUMPRODUCT(F25:F43,E25:E43)</f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NII Exercise</vt:lpstr>
      <vt:lpstr>DGAP </vt:lpstr>
      <vt:lpstr>Marginal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Alaric Coury</dc:creator>
  <cp:lastModifiedBy>Genna Dankis</cp:lastModifiedBy>
  <dcterms:created xsi:type="dcterms:W3CDTF">2021-03-12T01:31:51Z</dcterms:created>
  <dcterms:modified xsi:type="dcterms:W3CDTF">2022-03-22T18:45:33Z</dcterms:modified>
</cp:coreProperties>
</file>